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2.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https://mycuhk-my.sharepoint.com/personal/1155109636_link_cuhk_edu_hk/Documents/Project/More than Exam/JUPAS Cal/2021/"/>
    </mc:Choice>
  </mc:AlternateContent>
  <xr:revisionPtr revIDLastSave="290" documentId="13_ncr:1_{CD35D74E-A5D8-435C-9042-C91E0BDA196F}" xr6:coauthVersionLast="47" xr6:coauthVersionMax="47" xr10:uidLastSave="{D0DF8ED8-2A54-40A5-8430-35725A822B7F}"/>
  <bookViews>
    <workbookView xWindow="-108" yWindow="-108" windowWidth="30936" windowHeight="16896" tabRatio="724" firstSheet="3" activeTab="3" xr2:uid="{00000000-000D-0000-FFFF-FFFF00000000}"/>
  </bookViews>
  <sheets>
    <sheet name="A123" sheetId="17" state="hidden" r:id="rId1"/>
    <sheet name="Retake" sheetId="23" state="hidden" r:id="rId2"/>
    <sheet name="入學要求" sheetId="6" state="hidden" r:id="rId3"/>
    <sheet name="主頁" sheetId="1" r:id="rId4"/>
    <sheet name="CityU" sheetId="12" r:id="rId5"/>
    <sheet name="HKBU" sheetId="16" r:id="rId6"/>
    <sheet name="選單" sheetId="3" state="hidden" r:id="rId7"/>
    <sheet name="Offer Statistics" sheetId="26" state="hidden" r:id="rId8"/>
    <sheet name="PolyU" sheetId="9" r:id="rId9"/>
    <sheet name="CUHK" sheetId="21" r:id="rId10"/>
    <sheet name="UST" sheetId="10" r:id="rId11"/>
    <sheet name="計分版" sheetId="2" state="hidden" r:id="rId12"/>
    <sheet name="HKU" sheetId="8" r:id="rId13"/>
    <sheet name="LingU" sheetId="15" r:id="rId14"/>
    <sheet name="EdUHK" sheetId="14" r:id="rId15"/>
    <sheet name="OUHK" sheetId="19" r:id="rId16"/>
    <sheet name="Programme List (2021)" sheetId="22" state="hidden" r:id="rId17"/>
    <sheet name="SSSDP" sheetId="20" r:id="rId18"/>
    <sheet name="PolyU 參考分數" sheetId="27" r:id="rId19"/>
    <sheet name="Retake 扣分" sheetId="28" r:id="rId20"/>
  </sheets>
  <externalReferences>
    <externalReference r:id="rId21"/>
  </externalReferences>
  <definedNames>
    <definedName name="_xlnm._FilterDatabase" localSheetId="7" hidden="1">'Offer Statistics'!$A$1:$A$23</definedName>
    <definedName name="丙類科目等級" localSheetId="9">[1]選單!$G$2:$G$8</definedName>
    <definedName name="丙類科目等級">選單!$H$2:$H$8</definedName>
    <definedName name="丙類選修科" localSheetId="9">[1]選單!$F$2:$F$8</definedName>
    <definedName name="丙類選修科">選單!$G$2:$G$8</definedName>
    <definedName name="差">選單!$F$7:$F$9</definedName>
    <definedName name="差距ULM">選單!$F$7:$F$9</definedName>
    <definedName name="差距UML">選單!$F$7:$F$9</definedName>
    <definedName name="第一選修科" localSheetId="9">[1]選單!$B$2:$B$25</definedName>
    <definedName name="第一選修科">選單!#REF!</definedName>
    <definedName name="第二選修科" localSheetId="9">[1]選單!$C$2:$C$25</definedName>
    <definedName name="第二選修科">選單!$D$2:$D$25</definedName>
    <definedName name="第三選修科">選單!$E$2:$E$25</definedName>
    <definedName name="第四選修科" localSheetId="9">[1]選單!$E$2:$E$6</definedName>
    <definedName name="第四選修科">選單!$F$2:$F$6</definedName>
    <definedName name="等級" localSheetId="9">[1]選單!$A$2:$A$10</definedName>
    <definedName name="等級">選單!$A$2:$A$10</definedName>
    <definedName name="數學延伸部份" localSheetId="9">[1]選單!#REF!</definedName>
    <definedName name="數學延伸部份" localSheetId="7">選單!#REF!</definedName>
    <definedName name="數學延伸部份">選單!#REF!</definedName>
    <definedName name="選修科">選單!#REF!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9" l="1"/>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6" i="9"/>
  <c r="G7" i="9"/>
  <c r="G5" i="9"/>
  <c r="Y28" i="27"/>
  <c r="Z28" i="27"/>
  <c r="AA28" i="27"/>
  <c r="AB28" i="27"/>
  <c r="AC28" i="27"/>
  <c r="AD28" i="27"/>
  <c r="AE28" i="27"/>
  <c r="AF28" i="27"/>
  <c r="Y30" i="27"/>
  <c r="Z30" i="27"/>
  <c r="AA30" i="27"/>
  <c r="AB30" i="27"/>
  <c r="AC30" i="27"/>
  <c r="AD30" i="27"/>
  <c r="AE30" i="27"/>
  <c r="AF30" i="27"/>
  <c r="Y31" i="27"/>
  <c r="Z31" i="27"/>
  <c r="AA31" i="27"/>
  <c r="AB31" i="27"/>
  <c r="AC31" i="27"/>
  <c r="AD31" i="27"/>
  <c r="AE31" i="27"/>
  <c r="AF31" i="27"/>
  <c r="Y33" i="27"/>
  <c r="Z33" i="27"/>
  <c r="AA33" i="27"/>
  <c r="AB33" i="27"/>
  <c r="AC33" i="27"/>
  <c r="AD33" i="27"/>
  <c r="AE33" i="27"/>
  <c r="AF33" i="27"/>
  <c r="Y34" i="27"/>
  <c r="Z34" i="27"/>
  <c r="AA34" i="27"/>
  <c r="AB34" i="27"/>
  <c r="AC34" i="27"/>
  <c r="AD34" i="27"/>
  <c r="AE34" i="27"/>
  <c r="AF34" i="27"/>
  <c r="Y36" i="27"/>
  <c r="Z36" i="27"/>
  <c r="AA36" i="27"/>
  <c r="AB36" i="27"/>
  <c r="AC36" i="27"/>
  <c r="AD36" i="27"/>
  <c r="AE36" i="27"/>
  <c r="AF36" i="27"/>
  <c r="Y37" i="27"/>
  <c r="Z37" i="27"/>
  <c r="AA37" i="27"/>
  <c r="AB37" i="27"/>
  <c r="AC37" i="27"/>
  <c r="AD37" i="27"/>
  <c r="AE37" i="27"/>
  <c r="AF37" i="27"/>
  <c r="Y39" i="27"/>
  <c r="Z39" i="27"/>
  <c r="AA39" i="27"/>
  <c r="AB39" i="27"/>
  <c r="AC39" i="27"/>
  <c r="AD39" i="27"/>
  <c r="AE39" i="27"/>
  <c r="AF39" i="27"/>
  <c r="Y40" i="27"/>
  <c r="Z40" i="27"/>
  <c r="AA40" i="27"/>
  <c r="AB40" i="27"/>
  <c r="AC40" i="27"/>
  <c r="AD40" i="27"/>
  <c r="AE40" i="27"/>
  <c r="AF40" i="27"/>
  <c r="Y42" i="27"/>
  <c r="Z42" i="27"/>
  <c r="AA42" i="27"/>
  <c r="AB42" i="27"/>
  <c r="AC42" i="27"/>
  <c r="AD42" i="27"/>
  <c r="AE42" i="27"/>
  <c r="AF42" i="27"/>
  <c r="Y43" i="27"/>
  <c r="Z43" i="27"/>
  <c r="AA43" i="27"/>
  <c r="AB43" i="27"/>
  <c r="AC43" i="27"/>
  <c r="AD43" i="27"/>
  <c r="AE43" i="27"/>
  <c r="AF43" i="27"/>
  <c r="Y45" i="27"/>
  <c r="Z45" i="27"/>
  <c r="AA45" i="27"/>
  <c r="AB45" i="27"/>
  <c r="AC45" i="27"/>
  <c r="AD45" i="27"/>
  <c r="AE45" i="27"/>
  <c r="AF45" i="27"/>
  <c r="Y46" i="27"/>
  <c r="Z46" i="27"/>
  <c r="AA46" i="27"/>
  <c r="AB46" i="27"/>
  <c r="AC46" i="27"/>
  <c r="AD46" i="27"/>
  <c r="AE46" i="27"/>
  <c r="AF46" i="27"/>
  <c r="Y48" i="27"/>
  <c r="Z48" i="27"/>
  <c r="AA48" i="27"/>
  <c r="AB48" i="27"/>
  <c r="AC48" i="27"/>
  <c r="AD48" i="27"/>
  <c r="AE48" i="27"/>
  <c r="AF48" i="27"/>
  <c r="Y49" i="27"/>
  <c r="Z49" i="27"/>
  <c r="AA49" i="27"/>
  <c r="AB49" i="27"/>
  <c r="AC49" i="27"/>
  <c r="AD49" i="27"/>
  <c r="AE49" i="27"/>
  <c r="AF49" i="27"/>
  <c r="Y51" i="27"/>
  <c r="Z51" i="27"/>
  <c r="AA51" i="27"/>
  <c r="AB51" i="27"/>
  <c r="AC51" i="27"/>
  <c r="AD51" i="27"/>
  <c r="AE51" i="27"/>
  <c r="AF51" i="27"/>
  <c r="Y52" i="27"/>
  <c r="Z52" i="27"/>
  <c r="AA52" i="27"/>
  <c r="AB52" i="27"/>
  <c r="AC52" i="27"/>
  <c r="AD52" i="27"/>
  <c r="AE52" i="27"/>
  <c r="AF52" i="27"/>
  <c r="Y54" i="27"/>
  <c r="Z54" i="27"/>
  <c r="AA54" i="27"/>
  <c r="AB54" i="27"/>
  <c r="AC54" i="27"/>
  <c r="AD54" i="27"/>
  <c r="AE54" i="27"/>
  <c r="AF54" i="27"/>
  <c r="Y55" i="27"/>
  <c r="Z55" i="27"/>
  <c r="AA55" i="27"/>
  <c r="AB55" i="27"/>
  <c r="AC55" i="27"/>
  <c r="AD55" i="27"/>
  <c r="AE55" i="27"/>
  <c r="AF55" i="27"/>
  <c r="Y57" i="27"/>
  <c r="Z57" i="27"/>
  <c r="AA57" i="27"/>
  <c r="AB57" i="27"/>
  <c r="AC57" i="27"/>
  <c r="AD57" i="27"/>
  <c r="AE57" i="27"/>
  <c r="AF57" i="27"/>
  <c r="Y58" i="27"/>
  <c r="Z58" i="27"/>
  <c r="AA58" i="27"/>
  <c r="AB58" i="27"/>
  <c r="AC58" i="27"/>
  <c r="AD58" i="27"/>
  <c r="AE58" i="27"/>
  <c r="AF58" i="27"/>
  <c r="Y60" i="27"/>
  <c r="Z60" i="27"/>
  <c r="AA60" i="27"/>
  <c r="AB60" i="27"/>
  <c r="AC60" i="27"/>
  <c r="AD60" i="27"/>
  <c r="AE60" i="27"/>
  <c r="AF60" i="27"/>
  <c r="Y61" i="27"/>
  <c r="Z61" i="27"/>
  <c r="AA61" i="27"/>
  <c r="AB61" i="27"/>
  <c r="AC61" i="27"/>
  <c r="AD61" i="27"/>
  <c r="AE61" i="27"/>
  <c r="AF61" i="27"/>
  <c r="Y63" i="27"/>
  <c r="Z63" i="27"/>
  <c r="AA63" i="27"/>
  <c r="AB63" i="27"/>
  <c r="AC63" i="27"/>
  <c r="AD63" i="27"/>
  <c r="AE63" i="27"/>
  <c r="AF63" i="27"/>
  <c r="Y64" i="27"/>
  <c r="Z64" i="27"/>
  <c r="AA64" i="27"/>
  <c r="AB64" i="27"/>
  <c r="AC64" i="27"/>
  <c r="AD64" i="27"/>
  <c r="AE64" i="27"/>
  <c r="AF64" i="27"/>
  <c r="Y66" i="27"/>
  <c r="Z66" i="27"/>
  <c r="AA66" i="27"/>
  <c r="AB66" i="27"/>
  <c r="AC66" i="27"/>
  <c r="AD66" i="27"/>
  <c r="AE66" i="27"/>
  <c r="AF66" i="27"/>
  <c r="Y67" i="27"/>
  <c r="Z67" i="27"/>
  <c r="AA67" i="27"/>
  <c r="AB67" i="27"/>
  <c r="AC67" i="27"/>
  <c r="AD67" i="27"/>
  <c r="AE67" i="27"/>
  <c r="AF67" i="27"/>
  <c r="Y69" i="27"/>
  <c r="Z69" i="27"/>
  <c r="AA69" i="27"/>
  <c r="AB69" i="27"/>
  <c r="AC69" i="27"/>
  <c r="AD69" i="27"/>
  <c r="AE69" i="27"/>
  <c r="AF69" i="27"/>
  <c r="Y70" i="27"/>
  <c r="Z70" i="27"/>
  <c r="AA70" i="27"/>
  <c r="AB70" i="27"/>
  <c r="AC70" i="27"/>
  <c r="AD70" i="27"/>
  <c r="AE70" i="27"/>
  <c r="AF70" i="27"/>
  <c r="Y72" i="27"/>
  <c r="Z72" i="27"/>
  <c r="AA72" i="27"/>
  <c r="AB72" i="27"/>
  <c r="AC72" i="27"/>
  <c r="AD72" i="27"/>
  <c r="AE72" i="27"/>
  <c r="AF72" i="27"/>
  <c r="Y73" i="27"/>
  <c r="Z73" i="27"/>
  <c r="AA73" i="27"/>
  <c r="AB73" i="27"/>
  <c r="AC73" i="27"/>
  <c r="AD73" i="27"/>
  <c r="AE73" i="27"/>
  <c r="AF73" i="27"/>
  <c r="Y75" i="27"/>
  <c r="Z75" i="27"/>
  <c r="AA75" i="27"/>
  <c r="AB75" i="27"/>
  <c r="AC75" i="27"/>
  <c r="AD75" i="27"/>
  <c r="AE75" i="27"/>
  <c r="AF75" i="27"/>
  <c r="Y76" i="27"/>
  <c r="Z76" i="27"/>
  <c r="AA76" i="27"/>
  <c r="AB76" i="27"/>
  <c r="AC76" i="27"/>
  <c r="AD76" i="27"/>
  <c r="AE76" i="27"/>
  <c r="AF76" i="27"/>
  <c r="Y78" i="27"/>
  <c r="Z78" i="27"/>
  <c r="AA78" i="27"/>
  <c r="AB78" i="27"/>
  <c r="AC78" i="27"/>
  <c r="AD78" i="27"/>
  <c r="AE78" i="27"/>
  <c r="AF78" i="27"/>
  <c r="Y79" i="27"/>
  <c r="Z79" i="27"/>
  <c r="AA79" i="27"/>
  <c r="AB79" i="27"/>
  <c r="AC79" i="27"/>
  <c r="AD79" i="27"/>
  <c r="AE79" i="27"/>
  <c r="AF79" i="27"/>
  <c r="Y81" i="27"/>
  <c r="Z81" i="27"/>
  <c r="AA81" i="27"/>
  <c r="AB81" i="27"/>
  <c r="AC81" i="27"/>
  <c r="AD81" i="27"/>
  <c r="AE81" i="27"/>
  <c r="AF81" i="27"/>
  <c r="Y82" i="27"/>
  <c r="Z82" i="27"/>
  <c r="AA82" i="27"/>
  <c r="AB82" i="27"/>
  <c r="AC82" i="27"/>
  <c r="AD82" i="27"/>
  <c r="AE82" i="27"/>
  <c r="AF82" i="27"/>
  <c r="Y84" i="27"/>
  <c r="Z84" i="27"/>
  <c r="AA84" i="27"/>
  <c r="AB84" i="27"/>
  <c r="AC84" i="27"/>
  <c r="AD84" i="27"/>
  <c r="AE84" i="27"/>
  <c r="AF84" i="27"/>
  <c r="Y85" i="27"/>
  <c r="Z85" i="27"/>
  <c r="AA85" i="27"/>
  <c r="AB85" i="27"/>
  <c r="AC85" i="27"/>
  <c r="AD85" i="27"/>
  <c r="AE85" i="27"/>
  <c r="AF85" i="27"/>
  <c r="Y87" i="27"/>
  <c r="Z87" i="27"/>
  <c r="AA87" i="27"/>
  <c r="AB87" i="27"/>
  <c r="AC87" i="27"/>
  <c r="AD87" i="27"/>
  <c r="AE87" i="27"/>
  <c r="AF87" i="27"/>
  <c r="Y88" i="27"/>
  <c r="Z88" i="27"/>
  <c r="AA88" i="27"/>
  <c r="AB88" i="27"/>
  <c r="AC88" i="27"/>
  <c r="AD88" i="27"/>
  <c r="AE88" i="27"/>
  <c r="AF88" i="27"/>
  <c r="Y90" i="27"/>
  <c r="Z90" i="27"/>
  <c r="AA90" i="27"/>
  <c r="AB90" i="27"/>
  <c r="AC90" i="27"/>
  <c r="AD90" i="27"/>
  <c r="AE90" i="27"/>
  <c r="AF90" i="27"/>
  <c r="Y91" i="27"/>
  <c r="Z91" i="27"/>
  <c r="AA91" i="27"/>
  <c r="AB91" i="27"/>
  <c r="AC91" i="27"/>
  <c r="AD91" i="27"/>
  <c r="AE91" i="27"/>
  <c r="AF91" i="27"/>
  <c r="Y93" i="27"/>
  <c r="Z93" i="27"/>
  <c r="AA93" i="27"/>
  <c r="AB93" i="27"/>
  <c r="AC93" i="27"/>
  <c r="AD93" i="27"/>
  <c r="AE93" i="27"/>
  <c r="AF93" i="27"/>
  <c r="Y94" i="27"/>
  <c r="Z94" i="27"/>
  <c r="AA94" i="27"/>
  <c r="AB94" i="27"/>
  <c r="AC94" i="27"/>
  <c r="AD94" i="27"/>
  <c r="AE94" i="27"/>
  <c r="AF94" i="27"/>
  <c r="Y96" i="27"/>
  <c r="Z96" i="27"/>
  <c r="AA96" i="27"/>
  <c r="AB96" i="27"/>
  <c r="AC96" i="27"/>
  <c r="AD96" i="27"/>
  <c r="AE96" i="27"/>
  <c r="AF96" i="27"/>
  <c r="Y97" i="27"/>
  <c r="Z97" i="27"/>
  <c r="AA97" i="27"/>
  <c r="AB97" i="27"/>
  <c r="AC97" i="27"/>
  <c r="AD97" i="27"/>
  <c r="AE97" i="27"/>
  <c r="AF97" i="27"/>
  <c r="Y99" i="27"/>
  <c r="Z99" i="27"/>
  <c r="AA99" i="27"/>
  <c r="AB99" i="27"/>
  <c r="AC99" i="27"/>
  <c r="AD99" i="27"/>
  <c r="AE99" i="27"/>
  <c r="AF99" i="27"/>
  <c r="Y100" i="27"/>
  <c r="Z100" i="27"/>
  <c r="AA100" i="27"/>
  <c r="AB100" i="27"/>
  <c r="AC100" i="27"/>
  <c r="AD100" i="27"/>
  <c r="AE100" i="27"/>
  <c r="AF100" i="27"/>
  <c r="Y102" i="27"/>
  <c r="Z102" i="27"/>
  <c r="AA102" i="27"/>
  <c r="AB102" i="27"/>
  <c r="AC102" i="27"/>
  <c r="AD102" i="27"/>
  <c r="AE102" i="27"/>
  <c r="AF102" i="27"/>
  <c r="Y103" i="27"/>
  <c r="Z103" i="27"/>
  <c r="AA103" i="27"/>
  <c r="AB103" i="27"/>
  <c r="AC103" i="27"/>
  <c r="AD103" i="27"/>
  <c r="AE103" i="27"/>
  <c r="AF103" i="27"/>
  <c r="Y105" i="27"/>
  <c r="Z105" i="27"/>
  <c r="AA105" i="27"/>
  <c r="AB105" i="27"/>
  <c r="AC105" i="27"/>
  <c r="AD105" i="27"/>
  <c r="AE105" i="27"/>
  <c r="AF105" i="27"/>
  <c r="Y106" i="27"/>
  <c r="Z106" i="27"/>
  <c r="AA106" i="27"/>
  <c r="AB106" i="27"/>
  <c r="AC106" i="27"/>
  <c r="AD106" i="27"/>
  <c r="AE106" i="27"/>
  <c r="AF106" i="27"/>
  <c r="Y108" i="27"/>
  <c r="Z108" i="27"/>
  <c r="AA108" i="27"/>
  <c r="AB108" i="27"/>
  <c r="AC108" i="27"/>
  <c r="AD108" i="27"/>
  <c r="AE108" i="27"/>
  <c r="AF108" i="27"/>
  <c r="Y109" i="27"/>
  <c r="Z109" i="27"/>
  <c r="AA109" i="27"/>
  <c r="AB109" i="27"/>
  <c r="AC109" i="27"/>
  <c r="AD109" i="27"/>
  <c r="AE109" i="27"/>
  <c r="AF109" i="27"/>
  <c r="Y111" i="27"/>
  <c r="Z111" i="27"/>
  <c r="AA111" i="27"/>
  <c r="AB111" i="27"/>
  <c r="AC111" i="27"/>
  <c r="AD111" i="27"/>
  <c r="AE111" i="27"/>
  <c r="AF111" i="27"/>
  <c r="Y112" i="27"/>
  <c r="Z112" i="27"/>
  <c r="AA112" i="27"/>
  <c r="AB112" i="27"/>
  <c r="AC112" i="27"/>
  <c r="AD112" i="27"/>
  <c r="AE112" i="27"/>
  <c r="AF112" i="27"/>
  <c r="Y114" i="27"/>
  <c r="Z114" i="27"/>
  <c r="AA114" i="27"/>
  <c r="AB114" i="27"/>
  <c r="AC114" i="27"/>
  <c r="AD114" i="27"/>
  <c r="AE114" i="27"/>
  <c r="AF114" i="27"/>
  <c r="Y115" i="27"/>
  <c r="Z115" i="27"/>
  <c r="AA115" i="27"/>
  <c r="AB115" i="27"/>
  <c r="AC115" i="27"/>
  <c r="AD115" i="27"/>
  <c r="AE115" i="27"/>
  <c r="AF115" i="27"/>
  <c r="Y117" i="27"/>
  <c r="Z117" i="27"/>
  <c r="AA117" i="27"/>
  <c r="AB117" i="27"/>
  <c r="AC117" i="27"/>
  <c r="AD117" i="27"/>
  <c r="AE117" i="27"/>
  <c r="AF117" i="27"/>
  <c r="Y118" i="27"/>
  <c r="Z118" i="27"/>
  <c r="AA118" i="27"/>
  <c r="AB118" i="27"/>
  <c r="AC118" i="27"/>
  <c r="AD118" i="27"/>
  <c r="AE118" i="27"/>
  <c r="AF118" i="27"/>
  <c r="Y120" i="27"/>
  <c r="Z120" i="27"/>
  <c r="AA120" i="27"/>
  <c r="AB120" i="27"/>
  <c r="AC120" i="27"/>
  <c r="AD120" i="27"/>
  <c r="AE120" i="27"/>
  <c r="AF120" i="27"/>
  <c r="Y121" i="27"/>
  <c r="Z121" i="27"/>
  <c r="AA121" i="27"/>
  <c r="AB121" i="27"/>
  <c r="AC121" i="27"/>
  <c r="AD121" i="27"/>
  <c r="AE121" i="27"/>
  <c r="AF121" i="27"/>
  <c r="Y123" i="27"/>
  <c r="Z123" i="27"/>
  <c r="AA123" i="27"/>
  <c r="AB123" i="27"/>
  <c r="AC123" i="27"/>
  <c r="AD123" i="27"/>
  <c r="AE123" i="27"/>
  <c r="AF123" i="27"/>
  <c r="Y124" i="27"/>
  <c r="Z124" i="27"/>
  <c r="AA124" i="27"/>
  <c r="AB124" i="27"/>
  <c r="AC124" i="27"/>
  <c r="AD124" i="27"/>
  <c r="AE124" i="27"/>
  <c r="AF124" i="27"/>
  <c r="Y126" i="27"/>
  <c r="Z126" i="27"/>
  <c r="AA126" i="27"/>
  <c r="AB126" i="27"/>
  <c r="AC126" i="27"/>
  <c r="AD126" i="27"/>
  <c r="AE126" i="27"/>
  <c r="AF126" i="27"/>
  <c r="Y127" i="27"/>
  <c r="Z127" i="27"/>
  <c r="AA127" i="27"/>
  <c r="AB127" i="27"/>
  <c r="AC127" i="27"/>
  <c r="AD127" i="27"/>
  <c r="AE127" i="27"/>
  <c r="AF127" i="27"/>
  <c r="Y129" i="27"/>
  <c r="Z129" i="27"/>
  <c r="AA129" i="27"/>
  <c r="AB129" i="27"/>
  <c r="AC129" i="27"/>
  <c r="AD129" i="27"/>
  <c r="AE129" i="27"/>
  <c r="AF129" i="27"/>
  <c r="Y130" i="27"/>
  <c r="Z130" i="27"/>
  <c r="AA130" i="27"/>
  <c r="AB130" i="27"/>
  <c r="AC130" i="27"/>
  <c r="AD130" i="27"/>
  <c r="AE130" i="27"/>
  <c r="AF130" i="27"/>
  <c r="Y132" i="27"/>
  <c r="Z132" i="27"/>
  <c r="AA132" i="27"/>
  <c r="AB132" i="27"/>
  <c r="AC132" i="27"/>
  <c r="AD132" i="27"/>
  <c r="AE132" i="27"/>
  <c r="AF132" i="27"/>
  <c r="Y133" i="27"/>
  <c r="Z133" i="27"/>
  <c r="AA133" i="27"/>
  <c r="AB133" i="27"/>
  <c r="AC133" i="27"/>
  <c r="AD133" i="27"/>
  <c r="AE133" i="27"/>
  <c r="AF133" i="27"/>
  <c r="Y135" i="27"/>
  <c r="Z135" i="27"/>
  <c r="AA135" i="27"/>
  <c r="AB135" i="27"/>
  <c r="AC135" i="27"/>
  <c r="AD135" i="27"/>
  <c r="AE135" i="27"/>
  <c r="AF135" i="27"/>
  <c r="Y136" i="27"/>
  <c r="Z136" i="27"/>
  <c r="AA136" i="27"/>
  <c r="AB136" i="27"/>
  <c r="AC136" i="27"/>
  <c r="AD136" i="27"/>
  <c r="AE136" i="27"/>
  <c r="AF136" i="27"/>
  <c r="Y25" i="27"/>
  <c r="Z25" i="27"/>
  <c r="AA25" i="27"/>
  <c r="AB25" i="27"/>
  <c r="AC25" i="27"/>
  <c r="AD25" i="27"/>
  <c r="AE25" i="27"/>
  <c r="AF25" i="27"/>
  <c r="Y22" i="27"/>
  <c r="Z22" i="27"/>
  <c r="AA22" i="27"/>
  <c r="AB22" i="27"/>
  <c r="AC22" i="27"/>
  <c r="AD22" i="27"/>
  <c r="AE22" i="27"/>
  <c r="AF22" i="27"/>
  <c r="Y19" i="27"/>
  <c r="Z19" i="27"/>
  <c r="AA19" i="27"/>
  <c r="AB19" i="27"/>
  <c r="AC19" i="27"/>
  <c r="AD19" i="27"/>
  <c r="AE19" i="27"/>
  <c r="AF19" i="27"/>
  <c r="Y16" i="27"/>
  <c r="Z16" i="27"/>
  <c r="AA16" i="27"/>
  <c r="AB16" i="27"/>
  <c r="AC16" i="27"/>
  <c r="AD16" i="27"/>
  <c r="AE16" i="27"/>
  <c r="AF16" i="27"/>
  <c r="Y13" i="27"/>
  <c r="Z13" i="27"/>
  <c r="AA13" i="27"/>
  <c r="AB13" i="27"/>
  <c r="AC13" i="27"/>
  <c r="AD13" i="27"/>
  <c r="AE13" i="27"/>
  <c r="AF13" i="27"/>
  <c r="Y10" i="27"/>
  <c r="Z10" i="27"/>
  <c r="AA10" i="27"/>
  <c r="AB10" i="27"/>
  <c r="AC10" i="27"/>
  <c r="AD10" i="27"/>
  <c r="AE10" i="27"/>
  <c r="AF10" i="27"/>
  <c r="Y7" i="27"/>
  <c r="Z7" i="27"/>
  <c r="AA7" i="27"/>
  <c r="AB7" i="27"/>
  <c r="AC7" i="27"/>
  <c r="AD7" i="27"/>
  <c r="AE7" i="27"/>
  <c r="AF7" i="27"/>
  <c r="Y4" i="27"/>
  <c r="Z4" i="27"/>
  <c r="AA4" i="27"/>
  <c r="AB4" i="27"/>
  <c r="AC4" i="27"/>
  <c r="AD4" i="27"/>
  <c r="AE4" i="27"/>
  <c r="AF4" i="27"/>
  <c r="N2" i="2"/>
  <c r="N13" i="2" s="1"/>
  <c r="AD280" i="6" s="1"/>
  <c r="AC196" i="2"/>
  <c r="R194" i="2"/>
  <c r="S194" i="2"/>
  <c r="T194" i="2"/>
  <c r="Q194" i="2"/>
  <c r="H48" i="21"/>
  <c r="G48" i="21"/>
  <c r="F48" i="21"/>
  <c r="J1" i="2"/>
  <c r="Q169" i="2" s="1"/>
  <c r="K1" i="2"/>
  <c r="V194" i="2" s="1"/>
  <c r="L1" i="2"/>
  <c r="W194" i="2" s="1"/>
  <c r="J238" i="17"/>
  <c r="J237" i="17"/>
  <c r="J236" i="17"/>
  <c r="J226" i="17"/>
  <c r="J173" i="17"/>
  <c r="J258" i="17"/>
  <c r="J257" i="17"/>
  <c r="AC29" i="20"/>
  <c r="V29" i="20"/>
  <c r="AC28" i="20"/>
  <c r="V28" i="20"/>
  <c r="AC25" i="20"/>
  <c r="L395" i="17" s="1"/>
  <c r="V25" i="20"/>
  <c r="AC3" i="20"/>
  <c r="L373" i="17" s="1"/>
  <c r="V3" i="20"/>
  <c r="AC4" i="20"/>
  <c r="L374" i="17" s="1"/>
  <c r="V4" i="20"/>
  <c r="AC5" i="20"/>
  <c r="L375" i="17" s="1"/>
  <c r="V5" i="20"/>
  <c r="AC6" i="20"/>
  <c r="V6" i="20"/>
  <c r="AC7" i="20"/>
  <c r="V7" i="20"/>
  <c r="AC8" i="20"/>
  <c r="V8" i="20"/>
  <c r="AC9" i="20"/>
  <c r="V9" i="20"/>
  <c r="AC10" i="20"/>
  <c r="V10" i="20"/>
  <c r="AC11" i="20"/>
  <c r="V11" i="20"/>
  <c r="AC12" i="20"/>
  <c r="V12" i="20"/>
  <c r="AC13" i="20"/>
  <c r="V13" i="20"/>
  <c r="AC14" i="20"/>
  <c r="V14" i="20"/>
  <c r="AC15" i="20"/>
  <c r="V15" i="20"/>
  <c r="L385" i="17" s="1"/>
  <c r="AC16" i="20"/>
  <c r="V16" i="20"/>
  <c r="AC17" i="20"/>
  <c r="V17" i="20"/>
  <c r="AC18" i="20"/>
  <c r="L388" i="17" s="1"/>
  <c r="V18" i="20"/>
  <c r="AC19" i="20"/>
  <c r="L389" i="17" s="1"/>
  <c r="V19" i="20"/>
  <c r="AC20" i="20"/>
  <c r="V20" i="20"/>
  <c r="AC21" i="20"/>
  <c r="V21" i="20"/>
  <c r="AC22" i="20"/>
  <c r="V22" i="20"/>
  <c r="AC23" i="20"/>
  <c r="V23" i="20"/>
  <c r="AC24" i="20"/>
  <c r="V24" i="20"/>
  <c r="AC26" i="20"/>
  <c r="V26" i="20"/>
  <c r="AC27" i="20"/>
  <c r="V27" i="20"/>
  <c r="AC30" i="20"/>
  <c r="V30" i="20"/>
  <c r="AC31" i="20"/>
  <c r="L401" i="17" s="1"/>
  <c r="V31" i="20"/>
  <c r="AC32" i="20"/>
  <c r="V32" i="20"/>
  <c r="AC33" i="20"/>
  <c r="L403" i="17" s="1"/>
  <c r="V33" i="20"/>
  <c r="AC34" i="20"/>
  <c r="V34" i="20"/>
  <c r="AC35" i="20"/>
  <c r="V35" i="20"/>
  <c r="AC36" i="20"/>
  <c r="V36" i="20"/>
  <c r="AC37" i="20"/>
  <c r="V37" i="20"/>
  <c r="AC38" i="20"/>
  <c r="V38" i="20"/>
  <c r="AC39" i="20"/>
  <c r="L409" i="17" s="1"/>
  <c r="V39" i="20"/>
  <c r="AC40" i="20"/>
  <c r="V40" i="20"/>
  <c r="AC41" i="20"/>
  <c r="V41" i="20"/>
  <c r="AC42" i="20"/>
  <c r="V42" i="20"/>
  <c r="L412" i="17" s="1"/>
  <c r="AC43" i="20"/>
  <c r="V43" i="20"/>
  <c r="AC44" i="20"/>
  <c r="V44" i="20"/>
  <c r="AC45" i="20"/>
  <c r="V45" i="20"/>
  <c r="AC46" i="20"/>
  <c r="V46" i="20"/>
  <c r="AC2" i="20"/>
  <c r="L372" i="17" s="1"/>
  <c r="V2" i="20"/>
  <c r="AB3" i="19"/>
  <c r="L336" i="17" s="1"/>
  <c r="U3" i="19"/>
  <c r="AB4" i="19"/>
  <c r="L337" i="17" s="1"/>
  <c r="U4" i="19"/>
  <c r="AB5" i="19"/>
  <c r="U5" i="19"/>
  <c r="L338" i="17"/>
  <c r="AB6" i="19"/>
  <c r="L339" i="17" s="1"/>
  <c r="U6" i="19"/>
  <c r="AB7" i="19"/>
  <c r="L340" i="17" s="1"/>
  <c r="U7" i="19"/>
  <c r="AB8" i="19"/>
  <c r="L341" i="17" s="1"/>
  <c r="U8" i="19"/>
  <c r="AB9" i="19"/>
  <c r="U9" i="19"/>
  <c r="L342" i="17" s="1"/>
  <c r="AB10" i="19"/>
  <c r="U10" i="19"/>
  <c r="L343" i="17"/>
  <c r="AB11" i="19"/>
  <c r="L344" i="17" s="1"/>
  <c r="U11" i="19"/>
  <c r="AB12" i="19"/>
  <c r="L345" i="17" s="1"/>
  <c r="U12" i="19"/>
  <c r="AB13" i="19"/>
  <c r="U13" i="19"/>
  <c r="L346" i="17" s="1"/>
  <c r="AB14" i="19"/>
  <c r="U14" i="19"/>
  <c r="L347" i="17"/>
  <c r="AB15" i="19"/>
  <c r="L348" i="17" s="1"/>
  <c r="U15" i="19"/>
  <c r="AB16" i="19"/>
  <c r="U16" i="19"/>
  <c r="L349" i="17" s="1"/>
  <c r="AB17" i="19"/>
  <c r="L350" i="17" s="1"/>
  <c r="U17" i="19"/>
  <c r="AB18" i="19"/>
  <c r="U18" i="19"/>
  <c r="L351" i="17"/>
  <c r="AB19" i="19"/>
  <c r="L352" i="17" s="1"/>
  <c r="U19" i="19"/>
  <c r="AB20" i="19"/>
  <c r="L353" i="17" s="1"/>
  <c r="U20" i="19"/>
  <c r="AB21" i="19"/>
  <c r="U21" i="19"/>
  <c r="L354" i="17"/>
  <c r="AB22" i="19"/>
  <c r="L355" i="17" s="1"/>
  <c r="U22" i="19"/>
  <c r="AB23" i="19"/>
  <c r="L356" i="17" s="1"/>
  <c r="U23" i="19"/>
  <c r="AB24" i="19"/>
  <c r="L357" i="17" s="1"/>
  <c r="U24" i="19"/>
  <c r="AB25" i="19"/>
  <c r="U25" i="19"/>
  <c r="L358" i="17" s="1"/>
  <c r="AB26" i="19"/>
  <c r="U26" i="19"/>
  <c r="L359" i="17"/>
  <c r="AB27" i="19"/>
  <c r="L360" i="17" s="1"/>
  <c r="U27" i="19"/>
  <c r="AB28" i="19"/>
  <c r="L361" i="17" s="1"/>
  <c r="U28" i="19"/>
  <c r="AB29" i="19"/>
  <c r="U29" i="19"/>
  <c r="L362" i="17" s="1"/>
  <c r="AB30" i="19"/>
  <c r="U30" i="19"/>
  <c r="L363" i="17"/>
  <c r="AB31" i="19"/>
  <c r="L364" i="17" s="1"/>
  <c r="U31" i="19"/>
  <c r="AB32" i="19"/>
  <c r="U32" i="19"/>
  <c r="L365" i="17" s="1"/>
  <c r="AB33" i="19"/>
  <c r="L366" i="17" s="1"/>
  <c r="U33" i="19"/>
  <c r="AB34" i="19"/>
  <c r="U34" i="19"/>
  <c r="L367" i="17"/>
  <c r="AB35" i="19"/>
  <c r="L368" i="17" s="1"/>
  <c r="U35" i="19"/>
  <c r="AB36" i="19"/>
  <c r="L369" i="17" s="1"/>
  <c r="U36" i="19"/>
  <c r="AB2" i="19"/>
  <c r="U2" i="19"/>
  <c r="L335" i="17"/>
  <c r="AA11" i="14"/>
  <c r="L319" i="17" s="1"/>
  <c r="T11" i="14"/>
  <c r="AA3" i="14"/>
  <c r="L311" i="17" s="1"/>
  <c r="T3" i="14"/>
  <c r="AA4" i="14"/>
  <c r="L312" i="17" s="1"/>
  <c r="T4" i="14"/>
  <c r="AA5" i="14"/>
  <c r="T5" i="14"/>
  <c r="L313" i="17" s="1"/>
  <c r="AA6" i="14"/>
  <c r="T6" i="14"/>
  <c r="L314" i="17"/>
  <c r="AA7" i="14"/>
  <c r="L315" i="17" s="1"/>
  <c r="T7" i="14"/>
  <c r="AA8" i="14"/>
  <c r="L316" i="17" s="1"/>
  <c r="T8" i="14"/>
  <c r="AA9" i="14"/>
  <c r="T9" i="14"/>
  <c r="L317" i="17" s="1"/>
  <c r="AA10" i="14"/>
  <c r="T10" i="14"/>
  <c r="L318" i="17"/>
  <c r="AA12" i="14"/>
  <c r="L320" i="17" s="1"/>
  <c r="T12" i="14"/>
  <c r="AA13" i="14"/>
  <c r="T13" i="14"/>
  <c r="L321" i="17" s="1"/>
  <c r="AA14" i="14"/>
  <c r="L322" i="17" s="1"/>
  <c r="T14" i="14"/>
  <c r="AA15" i="14"/>
  <c r="T15" i="14"/>
  <c r="L323" i="17"/>
  <c r="AA16" i="14"/>
  <c r="L324" i="17" s="1"/>
  <c r="T16" i="14"/>
  <c r="AA17" i="14"/>
  <c r="L325" i="17" s="1"/>
  <c r="T17" i="14"/>
  <c r="AA18" i="14"/>
  <c r="T18" i="14"/>
  <c r="L326" i="17"/>
  <c r="AA19" i="14"/>
  <c r="L327" i="17" s="1"/>
  <c r="T19" i="14"/>
  <c r="AA20" i="14"/>
  <c r="L328" i="17" s="1"/>
  <c r="T20" i="14"/>
  <c r="AA21" i="14"/>
  <c r="L329" i="17" s="1"/>
  <c r="T21" i="14"/>
  <c r="AA22" i="14"/>
  <c r="T22" i="14"/>
  <c r="L330" i="17" s="1"/>
  <c r="AA23" i="14"/>
  <c r="T23" i="14"/>
  <c r="L331" i="17"/>
  <c r="AA24" i="14"/>
  <c r="L332" i="17" s="1"/>
  <c r="T24" i="14"/>
  <c r="AA2" i="14"/>
  <c r="L310" i="17" s="1"/>
  <c r="T2" i="14"/>
  <c r="AB3" i="15"/>
  <c r="U3" i="15"/>
  <c r="L297" i="17" s="1"/>
  <c r="AB4" i="15"/>
  <c r="U4" i="15"/>
  <c r="L298" i="17"/>
  <c r="AB5" i="15"/>
  <c r="L299" i="17" s="1"/>
  <c r="U5" i="15"/>
  <c r="AB6" i="15"/>
  <c r="U6" i="15"/>
  <c r="L300" i="17" s="1"/>
  <c r="AB7" i="15"/>
  <c r="L301" i="17" s="1"/>
  <c r="U7" i="15"/>
  <c r="AB8" i="15"/>
  <c r="U8" i="15"/>
  <c r="L302" i="17"/>
  <c r="AB9" i="15"/>
  <c r="L303" i="17" s="1"/>
  <c r="U9" i="15"/>
  <c r="AB10" i="15"/>
  <c r="L304" i="17" s="1"/>
  <c r="U10" i="15"/>
  <c r="AB11" i="15"/>
  <c r="U11" i="15"/>
  <c r="L305" i="17"/>
  <c r="AB12" i="15"/>
  <c r="L306" i="17" s="1"/>
  <c r="U12" i="15"/>
  <c r="AB13" i="15"/>
  <c r="L307" i="17" s="1"/>
  <c r="U13" i="15"/>
  <c r="AB2" i="15"/>
  <c r="L296" i="17" s="1"/>
  <c r="U2" i="15"/>
  <c r="AD3" i="8"/>
  <c r="W3" i="8"/>
  <c r="L252" i="17" s="1"/>
  <c r="AD4" i="8"/>
  <c r="W4" i="8"/>
  <c r="L253" i="17"/>
  <c r="AD5" i="8"/>
  <c r="L254" i="17" s="1"/>
  <c r="W5" i="8"/>
  <c r="AD6" i="8"/>
  <c r="L255" i="17" s="1"/>
  <c r="W6" i="8"/>
  <c r="AD7" i="8"/>
  <c r="W7" i="8"/>
  <c r="L256" i="17" s="1"/>
  <c r="AD8" i="8"/>
  <c r="W8" i="8"/>
  <c r="L257" i="17"/>
  <c r="AD9" i="8"/>
  <c r="L258" i="17" s="1"/>
  <c r="W9" i="8"/>
  <c r="AD10" i="8"/>
  <c r="W10" i="8"/>
  <c r="L259" i="17" s="1"/>
  <c r="AD11" i="8"/>
  <c r="L260" i="17" s="1"/>
  <c r="W11" i="8"/>
  <c r="AD12" i="8"/>
  <c r="W12" i="8"/>
  <c r="L261" i="17"/>
  <c r="AD13" i="8"/>
  <c r="L262" i="17" s="1"/>
  <c r="W13" i="8"/>
  <c r="AD14" i="8"/>
  <c r="L263" i="17" s="1"/>
  <c r="W14" i="8"/>
  <c r="AD15" i="8"/>
  <c r="W15" i="8"/>
  <c r="L264" i="17"/>
  <c r="AD16" i="8"/>
  <c r="L265" i="17" s="1"/>
  <c r="W16" i="8"/>
  <c r="AD17" i="8"/>
  <c r="L266" i="17" s="1"/>
  <c r="W17" i="8"/>
  <c r="AD18" i="8"/>
  <c r="L267" i="17" s="1"/>
  <c r="W18" i="8"/>
  <c r="AD19" i="8"/>
  <c r="W19" i="8"/>
  <c r="L268" i="17" s="1"/>
  <c r="AD20" i="8"/>
  <c r="W20" i="8"/>
  <c r="L269" i="17"/>
  <c r="AD21" i="8"/>
  <c r="L270" i="17" s="1"/>
  <c r="W21" i="8"/>
  <c r="AD22" i="8"/>
  <c r="L271" i="17" s="1"/>
  <c r="W22" i="8"/>
  <c r="AD23" i="8"/>
  <c r="W23" i="8"/>
  <c r="L272" i="17" s="1"/>
  <c r="AD24" i="8"/>
  <c r="W24" i="8"/>
  <c r="L273" i="17"/>
  <c r="AD25" i="8"/>
  <c r="L274" i="17" s="1"/>
  <c r="W25" i="8"/>
  <c r="AD26" i="8"/>
  <c r="W26" i="8"/>
  <c r="L275" i="17" s="1"/>
  <c r="AD27" i="8"/>
  <c r="L276" i="17" s="1"/>
  <c r="W27" i="8"/>
  <c r="AD28" i="8"/>
  <c r="W28" i="8"/>
  <c r="L277" i="17"/>
  <c r="AD29" i="8"/>
  <c r="L278" i="17" s="1"/>
  <c r="W29" i="8"/>
  <c r="AD30" i="8"/>
  <c r="L279" i="17" s="1"/>
  <c r="W30" i="8"/>
  <c r="AD31" i="8"/>
  <c r="W31" i="8"/>
  <c r="L280" i="17"/>
  <c r="AD32" i="8"/>
  <c r="L281" i="17" s="1"/>
  <c r="W32" i="8"/>
  <c r="AD33" i="8"/>
  <c r="L282" i="17" s="1"/>
  <c r="W33" i="8"/>
  <c r="AD34" i="8"/>
  <c r="L283" i="17" s="1"/>
  <c r="W34" i="8"/>
  <c r="AD35" i="8"/>
  <c r="W35" i="8"/>
  <c r="L284" i="17" s="1"/>
  <c r="AD36" i="8"/>
  <c r="W36" i="8"/>
  <c r="L285" i="17"/>
  <c r="AD37" i="8"/>
  <c r="L286" i="17" s="1"/>
  <c r="W37" i="8"/>
  <c r="AD38" i="8"/>
  <c r="L287" i="17" s="1"/>
  <c r="W38" i="8"/>
  <c r="AD39" i="8"/>
  <c r="W39" i="8"/>
  <c r="L288" i="17" s="1"/>
  <c r="AD40" i="8"/>
  <c r="W40" i="8"/>
  <c r="L289" i="17"/>
  <c r="AD41" i="8"/>
  <c r="L290" i="17" s="1"/>
  <c r="W41" i="8"/>
  <c r="AD42" i="8"/>
  <c r="W42" i="8"/>
  <c r="L291" i="17" s="1"/>
  <c r="AD43" i="8"/>
  <c r="W43" i="8"/>
  <c r="L292" i="17" s="1"/>
  <c r="AD44" i="8"/>
  <c r="W44" i="8"/>
  <c r="L293" i="17"/>
  <c r="AD2" i="8"/>
  <c r="L251" i="17" s="1"/>
  <c r="W2" i="8"/>
  <c r="AC26" i="10"/>
  <c r="L248" i="17" s="1"/>
  <c r="V26" i="10"/>
  <c r="AC3" i="10"/>
  <c r="V3" i="10"/>
  <c r="L225" i="17"/>
  <c r="AC4" i="10"/>
  <c r="L226" i="17" s="1"/>
  <c r="V4" i="10"/>
  <c r="AC5" i="10"/>
  <c r="L227" i="17" s="1"/>
  <c r="V5" i="10"/>
  <c r="AC6" i="10"/>
  <c r="L228" i="17" s="1"/>
  <c r="V6" i="10"/>
  <c r="AC7" i="10"/>
  <c r="V7" i="10"/>
  <c r="L229" i="17" s="1"/>
  <c r="AC8" i="10"/>
  <c r="V8" i="10"/>
  <c r="L230" i="17"/>
  <c r="AC9" i="10"/>
  <c r="L231" i="17" s="1"/>
  <c r="V9" i="10"/>
  <c r="AC10" i="10"/>
  <c r="L232" i="17" s="1"/>
  <c r="V10" i="10"/>
  <c r="AC11" i="10"/>
  <c r="V11" i="10"/>
  <c r="L233" i="17" s="1"/>
  <c r="AC12" i="10"/>
  <c r="V12" i="10"/>
  <c r="L234" i="17"/>
  <c r="AC13" i="10"/>
  <c r="L235" i="17" s="1"/>
  <c r="V13" i="10"/>
  <c r="AC14" i="10"/>
  <c r="L236" i="17" s="1"/>
  <c r="V14" i="10"/>
  <c r="AC15" i="10"/>
  <c r="V15" i="10"/>
  <c r="L237" i="17" s="1"/>
  <c r="AC16" i="10"/>
  <c r="V16" i="10"/>
  <c r="L238" i="17"/>
  <c r="AC17" i="10"/>
  <c r="L239" i="17" s="1"/>
  <c r="V17" i="10"/>
  <c r="AC18" i="10"/>
  <c r="L240" i="17" s="1"/>
  <c r="V18" i="10"/>
  <c r="AC19" i="10"/>
  <c r="V19" i="10"/>
  <c r="L241" i="17"/>
  <c r="AC20" i="10"/>
  <c r="L242" i="17" s="1"/>
  <c r="V20" i="10"/>
  <c r="AC21" i="10"/>
  <c r="L243" i="17" s="1"/>
  <c r="V21" i="10"/>
  <c r="AC22" i="10"/>
  <c r="L244" i="17" s="1"/>
  <c r="V22" i="10"/>
  <c r="AC23" i="10"/>
  <c r="V23" i="10"/>
  <c r="L245" i="17" s="1"/>
  <c r="AC24" i="10"/>
  <c r="V24" i="10"/>
  <c r="L246" i="17"/>
  <c r="AC25" i="10"/>
  <c r="L247" i="17" s="1"/>
  <c r="V25" i="10"/>
  <c r="AC2" i="10"/>
  <c r="L224" i="17" s="1"/>
  <c r="V2" i="10"/>
  <c r="AA2" i="9"/>
  <c r="AC39" i="9"/>
  <c r="L141" i="17" s="1"/>
  <c r="V39" i="9"/>
  <c r="AB2" i="21"/>
  <c r="AD14" i="21" s="1"/>
  <c r="L173" i="17" s="1"/>
  <c r="AD5" i="21"/>
  <c r="L164" i="17" s="1"/>
  <c r="W5" i="21"/>
  <c r="W14" i="21"/>
  <c r="AD3" i="21"/>
  <c r="L162" i="17" s="1"/>
  <c r="W3" i="21"/>
  <c r="AD4" i="21"/>
  <c r="L163" i="17" s="1"/>
  <c r="W4" i="21"/>
  <c r="AD6" i="21"/>
  <c r="L165" i="17" s="1"/>
  <c r="W6" i="21"/>
  <c r="AD7" i="21"/>
  <c r="W7" i="21"/>
  <c r="L166" i="17" s="1"/>
  <c r="W8" i="21"/>
  <c r="AD9" i="21"/>
  <c r="L168" i="17" s="1"/>
  <c r="W9" i="21"/>
  <c r="AD10" i="21"/>
  <c r="L169" i="17" s="1"/>
  <c r="W10" i="21"/>
  <c r="W11" i="21"/>
  <c r="W12" i="21"/>
  <c r="AD13" i="21"/>
  <c r="L172" i="17" s="1"/>
  <c r="W13" i="21"/>
  <c r="AD15" i="21"/>
  <c r="L174" i="17" s="1"/>
  <c r="W15" i="21"/>
  <c r="W16" i="21"/>
  <c r="W17" i="21"/>
  <c r="AD18" i="21"/>
  <c r="L177" i="17" s="1"/>
  <c r="W18" i="21"/>
  <c r="AD19" i="21"/>
  <c r="L178" i="17" s="1"/>
  <c r="W19" i="21"/>
  <c r="AD20" i="21"/>
  <c r="W20" i="21"/>
  <c r="L179" i="17"/>
  <c r="AD21" i="21"/>
  <c r="L180" i="17" s="1"/>
  <c r="W21" i="21"/>
  <c r="AD22" i="21"/>
  <c r="L181" i="17" s="1"/>
  <c r="W22" i="21"/>
  <c r="AD23" i="21"/>
  <c r="L182" i="17" s="1"/>
  <c r="W23" i="21"/>
  <c r="AD24" i="21"/>
  <c r="W24" i="21"/>
  <c r="L183" i="17" s="1"/>
  <c r="AD25" i="21"/>
  <c r="W25" i="21"/>
  <c r="L184" i="17"/>
  <c r="AD26" i="21"/>
  <c r="L185" i="17" s="1"/>
  <c r="W26" i="21"/>
  <c r="AD27" i="21"/>
  <c r="L186" i="17" s="1"/>
  <c r="W27" i="21"/>
  <c r="W28" i="21"/>
  <c r="AD29" i="21"/>
  <c r="W29" i="21"/>
  <c r="L188" i="17"/>
  <c r="AD30" i="21"/>
  <c r="L189" i="17" s="1"/>
  <c r="W30" i="21"/>
  <c r="AD31" i="21"/>
  <c r="L190" i="17" s="1"/>
  <c r="W31" i="21"/>
  <c r="AD32" i="21"/>
  <c r="W32" i="21"/>
  <c r="L191" i="17" s="1"/>
  <c r="W33" i="21"/>
  <c r="AD34" i="21"/>
  <c r="L193" i="17" s="1"/>
  <c r="W34" i="21"/>
  <c r="AD35" i="21"/>
  <c r="L194" i="17" s="1"/>
  <c r="W35" i="21"/>
  <c r="AD36" i="21"/>
  <c r="W36" i="21"/>
  <c r="L195" i="17"/>
  <c r="AD37" i="21"/>
  <c r="L196" i="17" s="1"/>
  <c r="W37" i="21"/>
  <c r="AD38" i="21"/>
  <c r="L197" i="17" s="1"/>
  <c r="W38" i="21"/>
  <c r="AD39" i="21"/>
  <c r="L198" i="17" s="1"/>
  <c r="W39" i="21"/>
  <c r="AD40" i="21"/>
  <c r="W40" i="21"/>
  <c r="L199" i="17" s="1"/>
  <c r="AD41" i="21"/>
  <c r="W41" i="21"/>
  <c r="L200" i="17"/>
  <c r="AD42" i="21"/>
  <c r="L201" i="17" s="1"/>
  <c r="W42" i="21"/>
  <c r="AD43" i="21"/>
  <c r="L202" i="17" s="1"/>
  <c r="W43" i="21"/>
  <c r="W44" i="21"/>
  <c r="AD45" i="21"/>
  <c r="W45" i="21"/>
  <c r="L204" i="17"/>
  <c r="AD46" i="21"/>
  <c r="L205" i="17" s="1"/>
  <c r="W46" i="21"/>
  <c r="AD47" i="21"/>
  <c r="W47" i="21"/>
  <c r="AD48" i="21"/>
  <c r="W48" i="21"/>
  <c r="L207" i="17" s="1"/>
  <c r="W49" i="21"/>
  <c r="AD50" i="21"/>
  <c r="W50" i="21"/>
  <c r="L209" i="17"/>
  <c r="AD51" i="21"/>
  <c r="L210" i="17" s="1"/>
  <c r="W51" i="21"/>
  <c r="AD52" i="21"/>
  <c r="W52" i="21"/>
  <c r="L211" i="17"/>
  <c r="AD53" i="21"/>
  <c r="L212" i="17" s="1"/>
  <c r="W53" i="21"/>
  <c r="AD54" i="21"/>
  <c r="L213" i="17" s="1"/>
  <c r="W54" i="21"/>
  <c r="AD55" i="21"/>
  <c r="L214" i="17" s="1"/>
  <c r="W55" i="21"/>
  <c r="AD56" i="21"/>
  <c r="W56" i="21"/>
  <c r="L215" i="17" s="1"/>
  <c r="AD57" i="21"/>
  <c r="W57" i="21"/>
  <c r="L216" i="17"/>
  <c r="AD58" i="21"/>
  <c r="L217" i="17" s="1"/>
  <c r="W58" i="21"/>
  <c r="AD59" i="21"/>
  <c r="L218" i="17" s="1"/>
  <c r="W59" i="21"/>
  <c r="W60" i="21"/>
  <c r="AD61" i="21"/>
  <c r="W61" i="21"/>
  <c r="L220" i="17"/>
  <c r="AD62" i="21"/>
  <c r="L221" i="17" s="1"/>
  <c r="W62" i="21"/>
  <c r="AD2" i="21"/>
  <c r="W2" i="21"/>
  <c r="AC57" i="9"/>
  <c r="V57" i="9"/>
  <c r="L158" i="17" s="1"/>
  <c r="AC3" i="9"/>
  <c r="V3" i="9"/>
  <c r="L105" i="17"/>
  <c r="AC4" i="9"/>
  <c r="V4" i="9"/>
  <c r="L106" i="17"/>
  <c r="AC5" i="9"/>
  <c r="L107" i="17" s="1"/>
  <c r="V5" i="9"/>
  <c r="AC6" i="9"/>
  <c r="V6" i="9"/>
  <c r="L108" i="17"/>
  <c r="AC7" i="9"/>
  <c r="L109" i="17" s="1"/>
  <c r="V7" i="9"/>
  <c r="AC8" i="9"/>
  <c r="L110" i="17" s="1"/>
  <c r="V8" i="9"/>
  <c r="AC9" i="9"/>
  <c r="L111" i="17" s="1"/>
  <c r="V9" i="9"/>
  <c r="AC10" i="9"/>
  <c r="V10" i="9"/>
  <c r="L112" i="17" s="1"/>
  <c r="AC11" i="9"/>
  <c r="V11" i="9"/>
  <c r="L113" i="17"/>
  <c r="AC12" i="9"/>
  <c r="L114" i="17" s="1"/>
  <c r="V12" i="9"/>
  <c r="AC13" i="9"/>
  <c r="L115" i="17" s="1"/>
  <c r="V13" i="9"/>
  <c r="AC14" i="9"/>
  <c r="V14" i="9"/>
  <c r="L116" i="17" s="1"/>
  <c r="AC15" i="9"/>
  <c r="V15" i="9"/>
  <c r="L117" i="17"/>
  <c r="AC16" i="9"/>
  <c r="L118" i="17" s="1"/>
  <c r="V16" i="9"/>
  <c r="AC17" i="9"/>
  <c r="V17" i="9"/>
  <c r="AC18" i="9"/>
  <c r="V18" i="9"/>
  <c r="L120" i="17" s="1"/>
  <c r="AC19" i="9"/>
  <c r="V19" i="9"/>
  <c r="L121" i="17"/>
  <c r="AC20" i="9"/>
  <c r="V20" i="9"/>
  <c r="L122" i="17"/>
  <c r="AC21" i="9"/>
  <c r="L123" i="17" s="1"/>
  <c r="V21" i="9"/>
  <c r="AC22" i="9"/>
  <c r="V22" i="9"/>
  <c r="L124" i="17"/>
  <c r="AC23" i="9"/>
  <c r="L125" i="17" s="1"/>
  <c r="V23" i="9"/>
  <c r="AC24" i="9"/>
  <c r="L126" i="17" s="1"/>
  <c r="V24" i="9"/>
  <c r="AC25" i="9"/>
  <c r="L127" i="17" s="1"/>
  <c r="V25" i="9"/>
  <c r="AC26" i="9"/>
  <c r="V26" i="9"/>
  <c r="L128" i="17" s="1"/>
  <c r="AC27" i="9"/>
  <c r="V27" i="9"/>
  <c r="L129" i="17"/>
  <c r="AC28" i="9"/>
  <c r="L130" i="17" s="1"/>
  <c r="V28" i="9"/>
  <c r="AC29" i="9"/>
  <c r="L131" i="17" s="1"/>
  <c r="V29" i="9"/>
  <c r="AC30" i="9"/>
  <c r="V30" i="9"/>
  <c r="L132" i="17" s="1"/>
  <c r="AC31" i="9"/>
  <c r="V31" i="9"/>
  <c r="L133" i="17"/>
  <c r="AC32" i="9"/>
  <c r="L134" i="17" s="1"/>
  <c r="V32" i="9"/>
  <c r="AC33" i="9"/>
  <c r="L135" i="17" s="1"/>
  <c r="V33" i="9"/>
  <c r="AC34" i="9"/>
  <c r="V34" i="9"/>
  <c r="L136" i="17" s="1"/>
  <c r="AC35" i="9"/>
  <c r="V35" i="9"/>
  <c r="L137" i="17"/>
  <c r="AC36" i="9"/>
  <c r="V36" i="9"/>
  <c r="L138" i="17"/>
  <c r="AC37" i="9"/>
  <c r="L139" i="17" s="1"/>
  <c r="V37" i="9"/>
  <c r="AC38" i="9"/>
  <c r="V38" i="9"/>
  <c r="L140" i="17"/>
  <c r="AC40" i="9"/>
  <c r="L142" i="17" s="1"/>
  <c r="V40" i="9"/>
  <c r="AC41" i="9"/>
  <c r="L143" i="17" s="1"/>
  <c r="V41" i="9"/>
  <c r="AC42" i="9"/>
  <c r="L144" i="17" s="1"/>
  <c r="V42" i="9"/>
  <c r="AC43" i="9"/>
  <c r="V43" i="9"/>
  <c r="L145" i="17" s="1"/>
  <c r="AC44" i="9"/>
  <c r="V44" i="9"/>
  <c r="L146" i="17"/>
  <c r="AC45" i="9"/>
  <c r="L147" i="17" s="1"/>
  <c r="V45" i="9"/>
  <c r="AC46" i="9"/>
  <c r="L148" i="17" s="1"/>
  <c r="V46" i="9"/>
  <c r="AC48" i="9"/>
  <c r="V48" i="9"/>
  <c r="L149" i="17" s="1"/>
  <c r="AC49" i="9"/>
  <c r="V49" i="9"/>
  <c r="L150" i="17"/>
  <c r="AC50" i="9"/>
  <c r="L151" i="17" s="1"/>
  <c r="V50" i="9"/>
  <c r="AC51" i="9"/>
  <c r="V51" i="9"/>
  <c r="AC52" i="9"/>
  <c r="V52" i="9"/>
  <c r="L153" i="17"/>
  <c r="AC53" i="9"/>
  <c r="V53" i="9"/>
  <c r="L154" i="17"/>
  <c r="AC54" i="9"/>
  <c r="V54" i="9"/>
  <c r="L155" i="17"/>
  <c r="AC55" i="9"/>
  <c r="L156" i="17" s="1"/>
  <c r="V55" i="9"/>
  <c r="AC56" i="9"/>
  <c r="V56" i="9"/>
  <c r="L157" i="17"/>
  <c r="AC2" i="9"/>
  <c r="L104" i="17" s="1"/>
  <c r="V2" i="9"/>
  <c r="AA2" i="16"/>
  <c r="AC6" i="16" s="1"/>
  <c r="L77" i="17" s="1"/>
  <c r="V3" i="16"/>
  <c r="V4" i="16"/>
  <c r="AC5" i="16"/>
  <c r="L76" i="17" s="1"/>
  <c r="V5" i="16"/>
  <c r="V6" i="16"/>
  <c r="AC7" i="16"/>
  <c r="L78" i="17" s="1"/>
  <c r="V7" i="16"/>
  <c r="AC8" i="16"/>
  <c r="L79" i="17" s="1"/>
  <c r="V8" i="16"/>
  <c r="AC9" i="16"/>
  <c r="L80" i="17" s="1"/>
  <c r="V9" i="16"/>
  <c r="AC10" i="16"/>
  <c r="V10" i="16"/>
  <c r="L81" i="17" s="1"/>
  <c r="V11" i="16"/>
  <c r="AC12" i="16"/>
  <c r="L83" i="17" s="1"/>
  <c r="V12" i="16"/>
  <c r="V13" i="16"/>
  <c r="V14" i="16"/>
  <c r="V15" i="16"/>
  <c r="AC2" i="16"/>
  <c r="L73" i="17" s="1"/>
  <c r="V2" i="16"/>
  <c r="AA2" i="12"/>
  <c r="AC4" i="12" s="1"/>
  <c r="L23" i="17" s="1"/>
  <c r="V4" i="12"/>
  <c r="V3" i="12"/>
  <c r="V5" i="12"/>
  <c r="AC6" i="12"/>
  <c r="L25" i="17" s="1"/>
  <c r="V6" i="12"/>
  <c r="V7" i="12"/>
  <c r="V8" i="12"/>
  <c r="V9" i="12"/>
  <c r="V10" i="12"/>
  <c r="V11" i="12"/>
  <c r="V12" i="12"/>
  <c r="V13" i="12"/>
  <c r="AC14" i="12"/>
  <c r="L33" i="17" s="1"/>
  <c r="V14" i="12"/>
  <c r="V15" i="12"/>
  <c r="V16" i="12"/>
  <c r="V17" i="12"/>
  <c r="V18" i="12"/>
  <c r="V19" i="12"/>
  <c r="V20" i="12"/>
  <c r="V21" i="12"/>
  <c r="V22" i="12"/>
  <c r="V23" i="12"/>
  <c r="V24" i="12"/>
  <c r="AC25" i="12"/>
  <c r="L44" i="17" s="1"/>
  <c r="V25" i="12"/>
  <c r="V26" i="12"/>
  <c r="V27" i="12"/>
  <c r="V28" i="12"/>
  <c r="V29" i="12"/>
  <c r="AC30" i="12"/>
  <c r="V30" i="12"/>
  <c r="V31" i="12"/>
  <c r="V32" i="12"/>
  <c r="V33" i="12"/>
  <c r="AC34" i="12"/>
  <c r="L53" i="17" s="1"/>
  <c r="V34" i="12"/>
  <c r="V35" i="12"/>
  <c r="V36" i="12"/>
  <c r="V37" i="12"/>
  <c r="V38" i="12"/>
  <c r="V39" i="12"/>
  <c r="V40" i="12"/>
  <c r="AC41" i="12"/>
  <c r="L60" i="17" s="1"/>
  <c r="V41" i="12"/>
  <c r="V42" i="12"/>
  <c r="V43" i="12"/>
  <c r="V44" i="12"/>
  <c r="V45" i="12"/>
  <c r="AC46" i="12"/>
  <c r="L65" i="17" s="1"/>
  <c r="V46" i="12"/>
  <c r="V47" i="12"/>
  <c r="V48" i="12"/>
  <c r="V49" i="12"/>
  <c r="AC50" i="12"/>
  <c r="L69" i="17" s="1"/>
  <c r="V50" i="12"/>
  <c r="V51" i="12"/>
  <c r="V2" i="12"/>
  <c r="U3" i="20"/>
  <c r="K373" i="17" s="1"/>
  <c r="U4" i="20"/>
  <c r="K374" i="17" s="1"/>
  <c r="U5" i="20"/>
  <c r="K375" i="17" s="1"/>
  <c r="U6" i="20"/>
  <c r="K376" i="17" s="1"/>
  <c r="U7" i="20"/>
  <c r="K377" i="17" s="1"/>
  <c r="U8" i="20"/>
  <c r="K378" i="17" s="1"/>
  <c r="U9" i="20"/>
  <c r="K379" i="17" s="1"/>
  <c r="U10" i="20"/>
  <c r="K380" i="17" s="1"/>
  <c r="U11" i="20"/>
  <c r="K381" i="17" s="1"/>
  <c r="U12" i="20"/>
  <c r="K382" i="17" s="1"/>
  <c r="U13" i="20"/>
  <c r="K383" i="17" s="1"/>
  <c r="U14" i="20"/>
  <c r="K384" i="17" s="1"/>
  <c r="U15" i="20"/>
  <c r="K385" i="17" s="1"/>
  <c r="U16" i="20"/>
  <c r="K386" i="17" s="1"/>
  <c r="U17" i="20"/>
  <c r="K387" i="17" s="1"/>
  <c r="U18" i="20"/>
  <c r="K388" i="17" s="1"/>
  <c r="U19" i="20"/>
  <c r="K389" i="17" s="1"/>
  <c r="U20" i="20"/>
  <c r="K390" i="17" s="1"/>
  <c r="U21" i="20"/>
  <c r="K391" i="17" s="1"/>
  <c r="U22" i="20"/>
  <c r="K392" i="17" s="1"/>
  <c r="U23" i="20"/>
  <c r="K393" i="17" s="1"/>
  <c r="U24" i="20"/>
  <c r="K394" i="17" s="1"/>
  <c r="U25" i="20"/>
  <c r="K395" i="17" s="1"/>
  <c r="U26" i="20"/>
  <c r="K396" i="17" s="1"/>
  <c r="U27" i="20"/>
  <c r="K397" i="17" s="1"/>
  <c r="U28" i="20"/>
  <c r="K398" i="17" s="1"/>
  <c r="U29" i="20"/>
  <c r="K399" i="17" s="1"/>
  <c r="U30" i="20"/>
  <c r="K400" i="17" s="1"/>
  <c r="U31" i="20"/>
  <c r="K401" i="17" s="1"/>
  <c r="U32" i="20"/>
  <c r="K402" i="17" s="1"/>
  <c r="U33" i="20"/>
  <c r="K403" i="17" s="1"/>
  <c r="U34" i="20"/>
  <c r="K404" i="17" s="1"/>
  <c r="U35" i="20"/>
  <c r="K405" i="17" s="1"/>
  <c r="U36" i="20"/>
  <c r="K406" i="17" s="1"/>
  <c r="U37" i="20"/>
  <c r="K407" i="17" s="1"/>
  <c r="U38" i="20"/>
  <c r="K408" i="17" s="1"/>
  <c r="U39" i="20"/>
  <c r="K409" i="17" s="1"/>
  <c r="U40" i="20"/>
  <c r="K410" i="17" s="1"/>
  <c r="U41" i="20"/>
  <c r="K411" i="17" s="1"/>
  <c r="U42" i="20"/>
  <c r="K412" i="17" s="1"/>
  <c r="U43" i="20"/>
  <c r="K413" i="17" s="1"/>
  <c r="U44" i="20"/>
  <c r="K414" i="17" s="1"/>
  <c r="U45" i="20"/>
  <c r="K415" i="17" s="1"/>
  <c r="U46" i="20"/>
  <c r="K416" i="17" s="1"/>
  <c r="U2" i="20"/>
  <c r="K372" i="17" s="1"/>
  <c r="T3" i="19"/>
  <c r="K336" i="17"/>
  <c r="T4" i="19"/>
  <c r="K337" i="17" s="1"/>
  <c r="T5" i="19"/>
  <c r="K338" i="17"/>
  <c r="T6" i="19"/>
  <c r="K339" i="17" s="1"/>
  <c r="T7" i="19"/>
  <c r="K340" i="17"/>
  <c r="T8" i="19"/>
  <c r="K341" i="17" s="1"/>
  <c r="T9" i="19"/>
  <c r="K342" i="17"/>
  <c r="T10" i="19"/>
  <c r="K343" i="17" s="1"/>
  <c r="T11" i="19"/>
  <c r="K344" i="17"/>
  <c r="T12" i="19"/>
  <c r="K345" i="17" s="1"/>
  <c r="T13" i="19"/>
  <c r="K346" i="17"/>
  <c r="T14" i="19"/>
  <c r="K347" i="17" s="1"/>
  <c r="T15" i="19"/>
  <c r="K348" i="17"/>
  <c r="T16" i="19"/>
  <c r="K349" i="17" s="1"/>
  <c r="T17" i="19"/>
  <c r="K350" i="17"/>
  <c r="T18" i="19"/>
  <c r="K351" i="17" s="1"/>
  <c r="T19" i="19"/>
  <c r="K352" i="17"/>
  <c r="T20" i="19"/>
  <c r="K353" i="17" s="1"/>
  <c r="T21" i="19"/>
  <c r="K354" i="17"/>
  <c r="T22" i="19"/>
  <c r="K355" i="17" s="1"/>
  <c r="T23" i="19"/>
  <c r="K356" i="17"/>
  <c r="T24" i="19"/>
  <c r="K357" i="17" s="1"/>
  <c r="T25" i="19"/>
  <c r="K358" i="17"/>
  <c r="T26" i="19"/>
  <c r="K359" i="17" s="1"/>
  <c r="T27" i="19"/>
  <c r="K360" i="17"/>
  <c r="T28" i="19"/>
  <c r="K361" i="17" s="1"/>
  <c r="T29" i="19"/>
  <c r="K362" i="17"/>
  <c r="T30" i="19"/>
  <c r="K363" i="17" s="1"/>
  <c r="T31" i="19"/>
  <c r="K364" i="17"/>
  <c r="T32" i="19"/>
  <c r="K365" i="17" s="1"/>
  <c r="T33" i="19"/>
  <c r="K366" i="17"/>
  <c r="T34" i="19"/>
  <c r="K367" i="17" s="1"/>
  <c r="T35" i="19"/>
  <c r="K368" i="17"/>
  <c r="T36" i="19"/>
  <c r="K369" i="17" s="1"/>
  <c r="T2" i="19"/>
  <c r="K335" i="17"/>
  <c r="S3" i="14"/>
  <c r="K311" i="17" s="1"/>
  <c r="S4" i="14"/>
  <c r="K312" i="17"/>
  <c r="S5" i="14"/>
  <c r="K313" i="17" s="1"/>
  <c r="S6" i="14"/>
  <c r="K314" i="17"/>
  <c r="S7" i="14"/>
  <c r="K315" i="17" s="1"/>
  <c r="S8" i="14"/>
  <c r="K316" i="17"/>
  <c r="S9" i="14"/>
  <c r="K317" i="17" s="1"/>
  <c r="S10" i="14"/>
  <c r="K318" i="17"/>
  <c r="S11" i="14"/>
  <c r="K319" i="17" s="1"/>
  <c r="S12" i="14"/>
  <c r="K320" i="17"/>
  <c r="S13" i="14"/>
  <c r="K321" i="17" s="1"/>
  <c r="S14" i="14"/>
  <c r="K322" i="17"/>
  <c r="S15" i="14"/>
  <c r="K323" i="17" s="1"/>
  <c r="S16" i="14"/>
  <c r="K324" i="17"/>
  <c r="S17" i="14"/>
  <c r="K325" i="17" s="1"/>
  <c r="S18" i="14"/>
  <c r="K326" i="17"/>
  <c r="S19" i="14"/>
  <c r="K327" i="17" s="1"/>
  <c r="S20" i="14"/>
  <c r="K328" i="17"/>
  <c r="S21" i="14"/>
  <c r="K329" i="17" s="1"/>
  <c r="S22" i="14"/>
  <c r="K330" i="17"/>
  <c r="S23" i="14"/>
  <c r="K331" i="17" s="1"/>
  <c r="S24" i="14"/>
  <c r="K332" i="17"/>
  <c r="S2" i="14"/>
  <c r="K310" i="17" s="1"/>
  <c r="T3" i="15"/>
  <c r="K297" i="17"/>
  <c r="T4" i="15"/>
  <c r="K298" i="17" s="1"/>
  <c r="T5" i="15"/>
  <c r="K299" i="17"/>
  <c r="T6" i="15"/>
  <c r="K300" i="17" s="1"/>
  <c r="T7" i="15"/>
  <c r="K301" i="17"/>
  <c r="T8" i="15"/>
  <c r="K302" i="17" s="1"/>
  <c r="T9" i="15"/>
  <c r="K303" i="17"/>
  <c r="T10" i="15"/>
  <c r="K304" i="17" s="1"/>
  <c r="T11" i="15"/>
  <c r="K305" i="17"/>
  <c r="T12" i="15"/>
  <c r="K306" i="17" s="1"/>
  <c r="T13" i="15"/>
  <c r="K307" i="17"/>
  <c r="T2" i="15"/>
  <c r="K296" i="17" s="1"/>
  <c r="V3" i="8"/>
  <c r="K252" i="17"/>
  <c r="V4" i="8"/>
  <c r="K253" i="17" s="1"/>
  <c r="V5" i="8"/>
  <c r="K254" i="17"/>
  <c r="V6" i="8"/>
  <c r="K255" i="17" s="1"/>
  <c r="V7" i="8"/>
  <c r="K256" i="17"/>
  <c r="V8" i="8"/>
  <c r="K257" i="17" s="1"/>
  <c r="V9" i="8"/>
  <c r="K258" i="17"/>
  <c r="V10" i="8"/>
  <c r="K259" i="17" s="1"/>
  <c r="V11" i="8"/>
  <c r="K260" i="17"/>
  <c r="V12" i="8"/>
  <c r="K261" i="17" s="1"/>
  <c r="V13" i="8"/>
  <c r="K262" i="17"/>
  <c r="V14" i="8"/>
  <c r="K263" i="17" s="1"/>
  <c r="V15" i="8"/>
  <c r="K264" i="17"/>
  <c r="V16" i="8"/>
  <c r="K265" i="17" s="1"/>
  <c r="V17" i="8"/>
  <c r="K266" i="17"/>
  <c r="V18" i="8"/>
  <c r="K267" i="17" s="1"/>
  <c r="V19" i="8"/>
  <c r="K268" i="17"/>
  <c r="V20" i="8"/>
  <c r="K269" i="17" s="1"/>
  <c r="V21" i="8"/>
  <c r="K270" i="17"/>
  <c r="V22" i="8"/>
  <c r="K271" i="17" s="1"/>
  <c r="V23" i="8"/>
  <c r="K272" i="17"/>
  <c r="V24" i="8"/>
  <c r="K273" i="17" s="1"/>
  <c r="V25" i="8"/>
  <c r="K274" i="17"/>
  <c r="V26" i="8"/>
  <c r="K275" i="17" s="1"/>
  <c r="V27" i="8"/>
  <c r="K276" i="17"/>
  <c r="V28" i="8"/>
  <c r="K277" i="17" s="1"/>
  <c r="V29" i="8"/>
  <c r="K278" i="17"/>
  <c r="V30" i="8"/>
  <c r="K279" i="17" s="1"/>
  <c r="V31" i="8"/>
  <c r="K280" i="17"/>
  <c r="V32" i="8"/>
  <c r="K281" i="17" s="1"/>
  <c r="V33" i="8"/>
  <c r="K282" i="17"/>
  <c r="V34" i="8"/>
  <c r="K283" i="17" s="1"/>
  <c r="V35" i="8"/>
  <c r="K284" i="17"/>
  <c r="V36" i="8"/>
  <c r="K285" i="17" s="1"/>
  <c r="V37" i="8"/>
  <c r="K286" i="17"/>
  <c r="V38" i="8"/>
  <c r="K287" i="17" s="1"/>
  <c r="V39" i="8"/>
  <c r="K288" i="17"/>
  <c r="V40" i="8"/>
  <c r="K289" i="17" s="1"/>
  <c r="V41" i="8"/>
  <c r="K290" i="17"/>
  <c r="V42" i="8"/>
  <c r="K291" i="17" s="1"/>
  <c r="V43" i="8"/>
  <c r="K292" i="17"/>
  <c r="V44" i="8"/>
  <c r="K293" i="17" s="1"/>
  <c r="V2" i="8"/>
  <c r="K251" i="17"/>
  <c r="U3" i="10"/>
  <c r="K225" i="17" s="1"/>
  <c r="U4" i="10"/>
  <c r="K226" i="17"/>
  <c r="U5" i="10"/>
  <c r="K227" i="17" s="1"/>
  <c r="U6" i="10"/>
  <c r="K228" i="17"/>
  <c r="U7" i="10"/>
  <c r="K229" i="17" s="1"/>
  <c r="U8" i="10"/>
  <c r="K230" i="17"/>
  <c r="U9" i="10"/>
  <c r="K231" i="17" s="1"/>
  <c r="U10" i="10"/>
  <c r="K232" i="17"/>
  <c r="U11" i="10"/>
  <c r="K233" i="17" s="1"/>
  <c r="U12" i="10"/>
  <c r="K234" i="17"/>
  <c r="U13" i="10"/>
  <c r="K235" i="17" s="1"/>
  <c r="U14" i="10"/>
  <c r="K236" i="17"/>
  <c r="U15" i="10"/>
  <c r="K237" i="17" s="1"/>
  <c r="U16" i="10"/>
  <c r="K238" i="17"/>
  <c r="U17" i="10"/>
  <c r="K239" i="17" s="1"/>
  <c r="U18" i="10"/>
  <c r="K240" i="17"/>
  <c r="U19" i="10"/>
  <c r="K241" i="17" s="1"/>
  <c r="U20" i="10"/>
  <c r="K242" i="17"/>
  <c r="U21" i="10"/>
  <c r="K243" i="17" s="1"/>
  <c r="U22" i="10"/>
  <c r="K244" i="17"/>
  <c r="U23" i="10"/>
  <c r="K245" i="17" s="1"/>
  <c r="U24" i="10"/>
  <c r="K246" i="17"/>
  <c r="U25" i="10"/>
  <c r="K247" i="17" s="1"/>
  <c r="U26" i="10"/>
  <c r="K248" i="17"/>
  <c r="U2" i="10"/>
  <c r="K224" i="17" s="1"/>
  <c r="V3" i="21"/>
  <c r="K162" i="17"/>
  <c r="V4" i="21"/>
  <c r="K163" i="17" s="1"/>
  <c r="V5" i="21"/>
  <c r="K164" i="17"/>
  <c r="V6" i="21"/>
  <c r="K165" i="17" s="1"/>
  <c r="V7" i="21"/>
  <c r="K166" i="17"/>
  <c r="V8" i="21"/>
  <c r="K167" i="17" s="1"/>
  <c r="V9" i="21"/>
  <c r="K168" i="17"/>
  <c r="V10" i="21"/>
  <c r="K169" i="17" s="1"/>
  <c r="V11" i="21"/>
  <c r="K170" i="17"/>
  <c r="V12" i="21"/>
  <c r="K171" i="17" s="1"/>
  <c r="V13" i="21"/>
  <c r="K172" i="17"/>
  <c r="V14" i="21"/>
  <c r="K173" i="17" s="1"/>
  <c r="V15" i="21"/>
  <c r="K174" i="17"/>
  <c r="V16" i="21"/>
  <c r="K175" i="17" s="1"/>
  <c r="V17" i="21"/>
  <c r="K176" i="17"/>
  <c r="V18" i="21"/>
  <c r="K177" i="17" s="1"/>
  <c r="V19" i="21"/>
  <c r="K178" i="17"/>
  <c r="V20" i="21"/>
  <c r="K179" i="17" s="1"/>
  <c r="V21" i="21"/>
  <c r="K180" i="17"/>
  <c r="V22" i="21"/>
  <c r="K181" i="17" s="1"/>
  <c r="V23" i="21"/>
  <c r="K182" i="17"/>
  <c r="V24" i="21"/>
  <c r="K183" i="17" s="1"/>
  <c r="V25" i="21"/>
  <c r="K184" i="17"/>
  <c r="V26" i="21"/>
  <c r="K185" i="17" s="1"/>
  <c r="V27" i="21"/>
  <c r="K186" i="17"/>
  <c r="V28" i="21"/>
  <c r="K187" i="17" s="1"/>
  <c r="V29" i="21"/>
  <c r="K188" i="17"/>
  <c r="V30" i="21"/>
  <c r="K189" i="17" s="1"/>
  <c r="V31" i="21"/>
  <c r="K190" i="17"/>
  <c r="V32" i="21"/>
  <c r="K191" i="17" s="1"/>
  <c r="V33" i="21"/>
  <c r="K192" i="17"/>
  <c r="V34" i="21"/>
  <c r="K193" i="17" s="1"/>
  <c r="V35" i="21"/>
  <c r="K194" i="17"/>
  <c r="V36" i="21"/>
  <c r="K195" i="17" s="1"/>
  <c r="V37" i="21"/>
  <c r="K196" i="17"/>
  <c r="V38" i="21"/>
  <c r="K197" i="17" s="1"/>
  <c r="V39" i="21"/>
  <c r="K198" i="17"/>
  <c r="V40" i="21"/>
  <c r="K199" i="17" s="1"/>
  <c r="V41" i="21"/>
  <c r="K200" i="17"/>
  <c r="V42" i="21"/>
  <c r="K201" i="17" s="1"/>
  <c r="V43" i="21"/>
  <c r="K202" i="17"/>
  <c r="V44" i="21"/>
  <c r="K203" i="17" s="1"/>
  <c r="V45" i="21"/>
  <c r="K204" i="17"/>
  <c r="V46" i="21"/>
  <c r="K205" i="17" s="1"/>
  <c r="V47" i="21"/>
  <c r="K206" i="17"/>
  <c r="V48" i="21"/>
  <c r="K207" i="17" s="1"/>
  <c r="V49" i="21"/>
  <c r="K208" i="17"/>
  <c r="V50" i="21"/>
  <c r="K209" i="17" s="1"/>
  <c r="V51" i="21"/>
  <c r="K210" i="17"/>
  <c r="V52" i="21"/>
  <c r="K211" i="17" s="1"/>
  <c r="V53" i="21"/>
  <c r="K212" i="17"/>
  <c r="V54" i="21"/>
  <c r="K213" i="17" s="1"/>
  <c r="V55" i="21"/>
  <c r="K214" i="17"/>
  <c r="V56" i="21"/>
  <c r="K215" i="17" s="1"/>
  <c r="V57" i="21"/>
  <c r="K216" i="17"/>
  <c r="V58" i="21"/>
  <c r="K217" i="17" s="1"/>
  <c r="V59" i="21"/>
  <c r="K218" i="17"/>
  <c r="V60" i="21"/>
  <c r="K219" i="17" s="1"/>
  <c r="V61" i="21"/>
  <c r="K220" i="17"/>
  <c r="V62" i="21"/>
  <c r="K221" i="17" s="1"/>
  <c r="V2" i="21"/>
  <c r="K161" i="17"/>
  <c r="U3" i="9"/>
  <c r="K105" i="17" s="1"/>
  <c r="U4" i="9"/>
  <c r="K106" i="17"/>
  <c r="U5" i="9"/>
  <c r="K107" i="17" s="1"/>
  <c r="U6" i="9"/>
  <c r="K108" i="17"/>
  <c r="U7" i="9"/>
  <c r="K109" i="17" s="1"/>
  <c r="U8" i="9"/>
  <c r="K110" i="17"/>
  <c r="U9" i="9"/>
  <c r="K111" i="17" s="1"/>
  <c r="U10" i="9"/>
  <c r="K112" i="17"/>
  <c r="U11" i="9"/>
  <c r="K113" i="17" s="1"/>
  <c r="U12" i="9"/>
  <c r="K114" i="17"/>
  <c r="U13" i="9"/>
  <c r="K115" i="17" s="1"/>
  <c r="U14" i="9"/>
  <c r="K116" i="17"/>
  <c r="U15" i="9"/>
  <c r="K117" i="17" s="1"/>
  <c r="U16" i="9"/>
  <c r="K118" i="17"/>
  <c r="U17" i="9"/>
  <c r="K119" i="17" s="1"/>
  <c r="U18" i="9"/>
  <c r="K120" i="17"/>
  <c r="U19" i="9"/>
  <c r="K121" i="17" s="1"/>
  <c r="U20" i="9"/>
  <c r="K122" i="17"/>
  <c r="U21" i="9"/>
  <c r="K123" i="17" s="1"/>
  <c r="U22" i="9"/>
  <c r="K124" i="17"/>
  <c r="U23" i="9"/>
  <c r="K125" i="17" s="1"/>
  <c r="U24" i="9"/>
  <c r="K126" i="17"/>
  <c r="U25" i="9"/>
  <c r="K127" i="17" s="1"/>
  <c r="U26" i="9"/>
  <c r="K128" i="17"/>
  <c r="U27" i="9"/>
  <c r="K129" i="17" s="1"/>
  <c r="U28" i="9"/>
  <c r="K130" i="17"/>
  <c r="U29" i="9"/>
  <c r="K131" i="17" s="1"/>
  <c r="U30" i="9"/>
  <c r="K132" i="17"/>
  <c r="U31" i="9"/>
  <c r="K133" i="17" s="1"/>
  <c r="U32" i="9"/>
  <c r="K134" i="17"/>
  <c r="U33" i="9"/>
  <c r="K135" i="17" s="1"/>
  <c r="U34" i="9"/>
  <c r="K136" i="17"/>
  <c r="U35" i="9"/>
  <c r="K137" i="17" s="1"/>
  <c r="U36" i="9"/>
  <c r="K138" i="17"/>
  <c r="U37" i="9"/>
  <c r="K139" i="17" s="1"/>
  <c r="U38" i="9"/>
  <c r="K140" i="17"/>
  <c r="U39" i="9"/>
  <c r="K141" i="17" s="1"/>
  <c r="U40" i="9"/>
  <c r="K142" i="17"/>
  <c r="U41" i="9"/>
  <c r="K143" i="17" s="1"/>
  <c r="U42" i="9"/>
  <c r="K144" i="17"/>
  <c r="U43" i="9"/>
  <c r="K145" i="17" s="1"/>
  <c r="U44" i="9"/>
  <c r="K146" i="17"/>
  <c r="U45" i="9"/>
  <c r="K147" i="17" s="1"/>
  <c r="U46" i="9"/>
  <c r="K148" i="17"/>
  <c r="K149" i="17"/>
  <c r="U48" i="9"/>
  <c r="K150" i="17"/>
  <c r="U49" i="9"/>
  <c r="K151" i="17" s="1"/>
  <c r="U50" i="9"/>
  <c r="K152" i="17"/>
  <c r="U51" i="9"/>
  <c r="K153" i="17" s="1"/>
  <c r="U52" i="9"/>
  <c r="K154" i="17"/>
  <c r="U53" i="9"/>
  <c r="K155" i="17"/>
  <c r="U54" i="9"/>
  <c r="K156" i="17"/>
  <c r="U55" i="9"/>
  <c r="K157" i="17"/>
  <c r="U56" i="9"/>
  <c r="K158" i="17"/>
  <c r="U2" i="9"/>
  <c r="K104" i="17" s="1"/>
  <c r="U3" i="16"/>
  <c r="K74" i="17"/>
  <c r="U4" i="16"/>
  <c r="K75" i="17" s="1"/>
  <c r="U5" i="16"/>
  <c r="K76" i="17"/>
  <c r="U6" i="16"/>
  <c r="K77" i="17" s="1"/>
  <c r="U7" i="16"/>
  <c r="K78" i="17"/>
  <c r="U8" i="16"/>
  <c r="K79" i="17"/>
  <c r="U9" i="16"/>
  <c r="K80" i="17"/>
  <c r="U10" i="16"/>
  <c r="K81" i="17" s="1"/>
  <c r="U11" i="16"/>
  <c r="K82" i="17"/>
  <c r="U12" i="16"/>
  <c r="K83" i="17" s="1"/>
  <c r="U13" i="16"/>
  <c r="K84" i="17"/>
  <c r="U14" i="16"/>
  <c r="K85" i="17" s="1"/>
  <c r="U15" i="16"/>
  <c r="K86" i="17"/>
  <c r="U2" i="16"/>
  <c r="K73" i="17"/>
  <c r="U3" i="12"/>
  <c r="K22" i="17"/>
  <c r="U4" i="12"/>
  <c r="K23" i="17" s="1"/>
  <c r="U5" i="12"/>
  <c r="K24" i="17"/>
  <c r="U6" i="12"/>
  <c r="K25" i="17" s="1"/>
  <c r="U7" i="12"/>
  <c r="K26" i="17"/>
  <c r="U8" i="12"/>
  <c r="K27" i="17"/>
  <c r="U9" i="12"/>
  <c r="K28" i="17"/>
  <c r="U10" i="12"/>
  <c r="K29" i="17"/>
  <c r="U11" i="12"/>
  <c r="K30" i="17"/>
  <c r="U12" i="12"/>
  <c r="K31" i="17" s="1"/>
  <c r="U13" i="12"/>
  <c r="K32" i="17"/>
  <c r="U14" i="12"/>
  <c r="K33" i="17" s="1"/>
  <c r="U15" i="12"/>
  <c r="K34" i="17"/>
  <c r="U16" i="12"/>
  <c r="K35" i="17" s="1"/>
  <c r="U17" i="12"/>
  <c r="K36" i="17"/>
  <c r="U18" i="12"/>
  <c r="K37" i="17"/>
  <c r="U19" i="12"/>
  <c r="K38" i="17"/>
  <c r="U20" i="12"/>
  <c r="K39" i="17" s="1"/>
  <c r="U21" i="12"/>
  <c r="K40" i="17"/>
  <c r="U22" i="12"/>
  <c r="K41" i="17" s="1"/>
  <c r="U23" i="12"/>
  <c r="K42" i="17"/>
  <c r="U24" i="12"/>
  <c r="K43" i="17"/>
  <c r="U25" i="12"/>
  <c r="K44" i="17"/>
  <c r="U26" i="12"/>
  <c r="K45" i="17"/>
  <c r="U27" i="12"/>
  <c r="K46" i="17"/>
  <c r="U28" i="12"/>
  <c r="K47" i="17" s="1"/>
  <c r="U29" i="12"/>
  <c r="K48" i="17"/>
  <c r="U30" i="12"/>
  <c r="K49" i="17" s="1"/>
  <c r="U31" i="12"/>
  <c r="K50" i="17"/>
  <c r="U32" i="12"/>
  <c r="K51" i="17"/>
  <c r="U33" i="12"/>
  <c r="K52" i="17"/>
  <c r="U34" i="12"/>
  <c r="K53" i="17"/>
  <c r="U35" i="12"/>
  <c r="K54" i="17"/>
  <c r="U36" i="12"/>
  <c r="K55" i="17" s="1"/>
  <c r="U37" i="12"/>
  <c r="K56" i="17"/>
  <c r="U38" i="12"/>
  <c r="K57" i="17" s="1"/>
  <c r="U39" i="12"/>
  <c r="K58" i="17"/>
  <c r="U40" i="12"/>
  <c r="K59" i="17" s="1"/>
  <c r="U41" i="12"/>
  <c r="K60" i="17"/>
  <c r="U42" i="12"/>
  <c r="K61" i="17"/>
  <c r="U43" i="12"/>
  <c r="K62" i="17"/>
  <c r="U44" i="12"/>
  <c r="K63" i="17" s="1"/>
  <c r="U45" i="12"/>
  <c r="K64" i="17"/>
  <c r="U46" i="12"/>
  <c r="K65" i="17" s="1"/>
  <c r="U47" i="12"/>
  <c r="K66" i="17"/>
  <c r="U48" i="12"/>
  <c r="K67" i="17"/>
  <c r="U49" i="12"/>
  <c r="K68" i="17"/>
  <c r="U50" i="12"/>
  <c r="K69" i="17"/>
  <c r="U51" i="12"/>
  <c r="K70" i="17"/>
  <c r="U2" i="12"/>
  <c r="K21" i="17" s="1"/>
  <c r="D34" i="28"/>
  <c r="E34" i="28"/>
  <c r="F34" i="28"/>
  <c r="D35" i="28"/>
  <c r="E35" i="28"/>
  <c r="F35" i="28"/>
  <c r="D36" i="28"/>
  <c r="E36" i="28"/>
  <c r="F36" i="28"/>
  <c r="D37" i="28"/>
  <c r="E37" i="28"/>
  <c r="F37" i="28"/>
  <c r="D38" i="28"/>
  <c r="E38" i="28"/>
  <c r="F38" i="28"/>
  <c r="D39" i="28"/>
  <c r="E39" i="28"/>
  <c r="F39" i="28"/>
  <c r="D40" i="28"/>
  <c r="E40" i="28"/>
  <c r="F40" i="28"/>
  <c r="D41" i="28"/>
  <c r="E41" i="28"/>
  <c r="F41" i="28"/>
  <c r="D42" i="28"/>
  <c r="E42" i="28"/>
  <c r="F42" i="28"/>
  <c r="D43" i="28"/>
  <c r="E43" i="28"/>
  <c r="F43" i="28"/>
  <c r="D44" i="28"/>
  <c r="E44" i="28"/>
  <c r="F44" i="28"/>
  <c r="D45" i="28"/>
  <c r="E45" i="28"/>
  <c r="F45" i="28"/>
  <c r="D46" i="28"/>
  <c r="E46" i="28"/>
  <c r="F46" i="28"/>
  <c r="D47" i="28"/>
  <c r="E47" i="28"/>
  <c r="F47" i="28"/>
  <c r="D48" i="28"/>
  <c r="E48" i="28"/>
  <c r="F48" i="28"/>
  <c r="D49" i="28"/>
  <c r="E49" i="28"/>
  <c r="F49" i="28"/>
  <c r="D50" i="28"/>
  <c r="E50" i="28"/>
  <c r="F50" i="28"/>
  <c r="D51" i="28"/>
  <c r="E51" i="28"/>
  <c r="F51" i="28"/>
  <c r="D52" i="28"/>
  <c r="E52" i="28"/>
  <c r="F52" i="28"/>
  <c r="D53" i="28"/>
  <c r="E53" i="28"/>
  <c r="F53" i="28"/>
  <c r="D54" i="28"/>
  <c r="E54" i="28"/>
  <c r="F54" i="28"/>
  <c r="D55" i="28"/>
  <c r="E55" i="28"/>
  <c r="F55" i="28"/>
  <c r="D56" i="28"/>
  <c r="E56" i="28"/>
  <c r="F56" i="28"/>
  <c r="D57" i="28"/>
  <c r="E57" i="28"/>
  <c r="F57" i="28"/>
  <c r="D58" i="28"/>
  <c r="E58" i="28"/>
  <c r="F58" i="28"/>
  <c r="D59" i="28"/>
  <c r="E59" i="28"/>
  <c r="F59" i="28"/>
  <c r="D60" i="28"/>
  <c r="E60" i="28"/>
  <c r="F60" i="28"/>
  <c r="D61" i="28"/>
  <c r="E61" i="28"/>
  <c r="F61" i="28"/>
  <c r="D62" i="28"/>
  <c r="E62" i="28"/>
  <c r="F62" i="28"/>
  <c r="D63" i="28"/>
  <c r="E63" i="28"/>
  <c r="F63" i="28"/>
  <c r="D64" i="28"/>
  <c r="E64" i="28"/>
  <c r="F64" i="28"/>
  <c r="D65" i="28"/>
  <c r="E65" i="28"/>
  <c r="F65" i="28"/>
  <c r="D66" i="28"/>
  <c r="E66" i="28"/>
  <c r="F66" i="28"/>
  <c r="D67" i="28"/>
  <c r="E67" i="28"/>
  <c r="F67" i="28"/>
  <c r="D68" i="28"/>
  <c r="E68" i="28"/>
  <c r="F68" i="28"/>
  <c r="D69" i="28"/>
  <c r="E69" i="28"/>
  <c r="F69" i="28"/>
  <c r="D70" i="28"/>
  <c r="E70" i="28"/>
  <c r="F70" i="28"/>
  <c r="D71" i="28"/>
  <c r="E71" i="28"/>
  <c r="F71" i="28"/>
  <c r="D72" i="28"/>
  <c r="E72" i="28"/>
  <c r="F72" i="28"/>
  <c r="D73" i="28"/>
  <c r="E73" i="28"/>
  <c r="F73" i="28"/>
  <c r="D74" i="28"/>
  <c r="E74" i="28"/>
  <c r="F74" i="28"/>
  <c r="D75" i="28"/>
  <c r="E75" i="28"/>
  <c r="F75" i="28"/>
  <c r="E33" i="28"/>
  <c r="F33" i="28"/>
  <c r="D33" i="28"/>
  <c r="H62" i="21"/>
  <c r="F29" i="28"/>
  <c r="G62" i="21"/>
  <c r="E29" i="28" s="1"/>
  <c r="F62" i="21"/>
  <c r="D29" i="28"/>
  <c r="H54" i="21"/>
  <c r="F28" i="28" s="1"/>
  <c r="G54" i="21"/>
  <c r="E28" i="28"/>
  <c r="F54" i="21"/>
  <c r="D28" i="28" s="1"/>
  <c r="H40" i="21"/>
  <c r="F27" i="28"/>
  <c r="G40" i="21"/>
  <c r="E27" i="28" s="1"/>
  <c r="F40" i="21"/>
  <c r="D27" i="28"/>
  <c r="H38" i="21"/>
  <c r="F26" i="28" s="1"/>
  <c r="G38" i="21"/>
  <c r="E26" i="28"/>
  <c r="F38" i="21"/>
  <c r="D26" i="28" s="1"/>
  <c r="H37" i="21"/>
  <c r="F25" i="28"/>
  <c r="G37" i="21"/>
  <c r="E25" i="28" s="1"/>
  <c r="F37" i="21"/>
  <c r="D25" i="28"/>
  <c r="H29" i="21"/>
  <c r="F24" i="28" s="1"/>
  <c r="G29" i="21"/>
  <c r="E24" i="28"/>
  <c r="F29" i="21"/>
  <c r="D24" i="28" s="1"/>
  <c r="H28" i="21"/>
  <c r="F23" i="28"/>
  <c r="G28" i="21"/>
  <c r="E23" i="28" s="1"/>
  <c r="F28" i="21"/>
  <c r="D23" i="28"/>
  <c r="H27" i="21"/>
  <c r="F22" i="28" s="1"/>
  <c r="G27" i="21"/>
  <c r="E22" i="28"/>
  <c r="F27" i="21"/>
  <c r="D22" i="28" s="1"/>
  <c r="H26" i="21"/>
  <c r="F21" i="28"/>
  <c r="G26" i="21"/>
  <c r="E21" i="28" s="1"/>
  <c r="F26" i="21"/>
  <c r="D21" i="28"/>
  <c r="H24" i="21"/>
  <c r="F20" i="28" s="1"/>
  <c r="G24" i="21"/>
  <c r="E20" i="28"/>
  <c r="F24" i="21"/>
  <c r="D20" i="28" s="1"/>
  <c r="H22" i="21"/>
  <c r="F19" i="28"/>
  <c r="G22" i="21"/>
  <c r="E19" i="28" s="1"/>
  <c r="F22" i="21"/>
  <c r="D19" i="28"/>
  <c r="H21" i="21"/>
  <c r="F18" i="28" s="1"/>
  <c r="G21" i="21"/>
  <c r="E18" i="28"/>
  <c r="F21" i="21"/>
  <c r="D18" i="28" s="1"/>
  <c r="H20" i="21"/>
  <c r="F17" i="28"/>
  <c r="G20" i="21"/>
  <c r="E17" i="28" s="1"/>
  <c r="F20" i="21"/>
  <c r="D17" i="28"/>
  <c r="H19" i="21"/>
  <c r="F16" i="28" s="1"/>
  <c r="G19" i="21"/>
  <c r="E16" i="28"/>
  <c r="F19" i="21"/>
  <c r="D16" i="28" s="1"/>
  <c r="H18" i="21"/>
  <c r="F15" i="28"/>
  <c r="G18" i="21"/>
  <c r="E15" i="28" s="1"/>
  <c r="F18" i="21"/>
  <c r="D15" i="28"/>
  <c r="H17" i="21"/>
  <c r="F14" i="28" s="1"/>
  <c r="G17" i="21"/>
  <c r="E14" i="28"/>
  <c r="F17" i="21"/>
  <c r="D14" i="28" s="1"/>
  <c r="H15" i="21"/>
  <c r="F13" i="28"/>
  <c r="G15" i="21"/>
  <c r="E13" i="28" s="1"/>
  <c r="F15" i="21"/>
  <c r="D13" i="28"/>
  <c r="G8" i="28"/>
  <c r="G7" i="28"/>
  <c r="G6" i="28"/>
  <c r="G5" i="28"/>
  <c r="G4" i="28"/>
  <c r="C8" i="28"/>
  <c r="C7" i="28"/>
  <c r="C6" i="28"/>
  <c r="C5" i="28"/>
  <c r="C4" i="28"/>
  <c r="A4" i="28"/>
  <c r="A5" i="28"/>
  <c r="A6" i="28"/>
  <c r="A7" i="28"/>
  <c r="A8" i="28"/>
  <c r="E3" i="28"/>
  <c r="A3" i="28"/>
  <c r="B257" i="6"/>
  <c r="AF27" i="27"/>
  <c r="AE27" i="27"/>
  <c r="AD27" i="27"/>
  <c r="AC27" i="27"/>
  <c r="AB27" i="27"/>
  <c r="AA27" i="27"/>
  <c r="Z27" i="27"/>
  <c r="Y27" i="27"/>
  <c r="AF24" i="27"/>
  <c r="AE24" i="27"/>
  <c r="AD24" i="27"/>
  <c r="AC24" i="27"/>
  <c r="AB24" i="27"/>
  <c r="AA24" i="27"/>
  <c r="Z24" i="27"/>
  <c r="Y24" i="27"/>
  <c r="AF21" i="27"/>
  <c r="AE21" i="27"/>
  <c r="AD21" i="27"/>
  <c r="AC21" i="27"/>
  <c r="AB21" i="27"/>
  <c r="AA21" i="27"/>
  <c r="Z21" i="27"/>
  <c r="Y21" i="27"/>
  <c r="AF18" i="27"/>
  <c r="AE18" i="27"/>
  <c r="AD18" i="27"/>
  <c r="Y18" i="27"/>
  <c r="Z18" i="27"/>
  <c r="AA18" i="27"/>
  <c r="AB18" i="27"/>
  <c r="AC18" i="27"/>
  <c r="AF15" i="27"/>
  <c r="AE15" i="27"/>
  <c r="AD15" i="27"/>
  <c r="AC15" i="27"/>
  <c r="AB15" i="27"/>
  <c r="AA15" i="27"/>
  <c r="Z15" i="27"/>
  <c r="Y15" i="27"/>
  <c r="AF12" i="27"/>
  <c r="AE12" i="27"/>
  <c r="AD12" i="27"/>
  <c r="AC12" i="27"/>
  <c r="AB12" i="27"/>
  <c r="AA12" i="27"/>
  <c r="Z12" i="27"/>
  <c r="Y12" i="27"/>
  <c r="AF9" i="27"/>
  <c r="AE9" i="27"/>
  <c r="AD9" i="27"/>
  <c r="AC9" i="27"/>
  <c r="AB9" i="27"/>
  <c r="AA9" i="27"/>
  <c r="Z9" i="27"/>
  <c r="Y9" i="27"/>
  <c r="AF6" i="27"/>
  <c r="AE6" i="27"/>
  <c r="AD6" i="27"/>
  <c r="Y6" i="27"/>
  <c r="Z6" i="27"/>
  <c r="AA6" i="27"/>
  <c r="AB6" i="27"/>
  <c r="AC6" i="27"/>
  <c r="Z3" i="27"/>
  <c r="AA3" i="27"/>
  <c r="AB3" i="27"/>
  <c r="AC3" i="27"/>
  <c r="AD3" i="27"/>
  <c r="AE3" i="27"/>
  <c r="AF3" i="27"/>
  <c r="Y3" i="27"/>
  <c r="Q271" i="2"/>
  <c r="AD363" i="6"/>
  <c r="AC363" i="6"/>
  <c r="AB363" i="6"/>
  <c r="AA363" i="6"/>
  <c r="Z363" i="6"/>
  <c r="AD325" i="6"/>
  <c r="AC325" i="6"/>
  <c r="AB325" i="6"/>
  <c r="AA325" i="6"/>
  <c r="Z325" i="6"/>
  <c r="AD299" i="6"/>
  <c r="AC299" i="6"/>
  <c r="AB299" i="6"/>
  <c r="AA299" i="6"/>
  <c r="Z299" i="6"/>
  <c r="AD284" i="6"/>
  <c r="AC284" i="6"/>
  <c r="AB284" i="6"/>
  <c r="AA284" i="6"/>
  <c r="Z284" i="6"/>
  <c r="AD238" i="6"/>
  <c r="AC238" i="6"/>
  <c r="AB238" i="6"/>
  <c r="AA238" i="6"/>
  <c r="Z238" i="6"/>
  <c r="AD210" i="6"/>
  <c r="AC210" i="6"/>
  <c r="AB210" i="6"/>
  <c r="AA210" i="6"/>
  <c r="Z210" i="6"/>
  <c r="AD146" i="6"/>
  <c r="AC146" i="6"/>
  <c r="AB146" i="6"/>
  <c r="AA146" i="6"/>
  <c r="Z146" i="6"/>
  <c r="AD87" i="6"/>
  <c r="AC87" i="6"/>
  <c r="AB87" i="6"/>
  <c r="AA87" i="6"/>
  <c r="Z87" i="6"/>
  <c r="AD55" i="6"/>
  <c r="AC55" i="6"/>
  <c r="AB55" i="6"/>
  <c r="AA55" i="6"/>
  <c r="Z55" i="6"/>
  <c r="AD2" i="6"/>
  <c r="AC2" i="6"/>
  <c r="AB2" i="6"/>
  <c r="AA2" i="6"/>
  <c r="Z2" i="6"/>
  <c r="G19" i="16"/>
  <c r="F19" i="16"/>
  <c r="G20" i="16"/>
  <c r="H91" i="17" s="1"/>
  <c r="F20" i="16"/>
  <c r="B30" i="3"/>
  <c r="B31" i="3"/>
  <c r="B32" i="3"/>
  <c r="B29" i="3"/>
  <c r="B37" i="1"/>
  <c r="E5" i="28" s="1"/>
  <c r="B38" i="1"/>
  <c r="E6" i="28" s="1"/>
  <c r="B39" i="1"/>
  <c r="E7" i="28" s="1"/>
  <c r="B40" i="1"/>
  <c r="E8" i="28"/>
  <c r="B36" i="1"/>
  <c r="E4" i="28" s="1"/>
  <c r="A66" i="17"/>
  <c r="C66" i="17"/>
  <c r="D66" i="17"/>
  <c r="E66" i="17"/>
  <c r="G66" i="17"/>
  <c r="H66" i="17"/>
  <c r="J66" i="17"/>
  <c r="J68" i="17"/>
  <c r="J69" i="17"/>
  <c r="J70" i="17"/>
  <c r="J67" i="17"/>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25" i="2"/>
  <c r="AI3" i="20"/>
  <c r="AI4" i="20"/>
  <c r="AI5" i="20"/>
  <c r="AI6" i="20"/>
  <c r="AI7" i="20"/>
  <c r="AI8" i="20"/>
  <c r="AI9" i="20"/>
  <c r="AI10" i="20"/>
  <c r="AI11" i="20"/>
  <c r="AI12" i="20"/>
  <c r="AI13" i="20"/>
  <c r="AI14" i="20"/>
  <c r="AI15" i="20"/>
  <c r="AI16" i="20"/>
  <c r="AI17" i="20"/>
  <c r="AI18" i="20"/>
  <c r="AI19" i="20"/>
  <c r="AI20" i="20"/>
  <c r="AI21" i="20"/>
  <c r="AI22" i="20"/>
  <c r="AI23" i="20"/>
  <c r="AI24" i="20"/>
  <c r="AI25" i="20"/>
  <c r="AI26" i="20"/>
  <c r="AI27" i="20"/>
  <c r="AI28" i="20"/>
  <c r="AI29" i="20"/>
  <c r="AI30" i="20"/>
  <c r="AI31" i="20"/>
  <c r="AI32" i="20"/>
  <c r="AI33" i="20"/>
  <c r="AI34" i="20"/>
  <c r="AI35" i="20"/>
  <c r="AI36" i="20"/>
  <c r="AI37" i="20"/>
  <c r="AI38" i="20"/>
  <c r="AI39" i="20"/>
  <c r="AI40" i="20"/>
  <c r="AI41" i="20"/>
  <c r="AI42" i="20"/>
  <c r="AI43" i="20"/>
  <c r="AI44" i="20"/>
  <c r="AI45" i="20"/>
  <c r="AI46" i="20"/>
  <c r="AI2" i="20"/>
  <c r="AH3" i="19"/>
  <c r="AH4" i="19"/>
  <c r="AH5" i="19"/>
  <c r="AH6" i="19"/>
  <c r="AH7" i="19"/>
  <c r="AH8" i="19"/>
  <c r="AH9" i="19"/>
  <c r="AH10" i="19"/>
  <c r="AH11" i="19"/>
  <c r="AH12" i="19"/>
  <c r="AH13" i="19"/>
  <c r="AH14" i="19"/>
  <c r="AH15" i="19"/>
  <c r="AH16" i="19"/>
  <c r="AH17" i="19"/>
  <c r="AH18" i="19"/>
  <c r="AH19" i="19"/>
  <c r="AH20" i="19"/>
  <c r="AH21" i="19"/>
  <c r="AH22" i="19"/>
  <c r="AH23" i="19"/>
  <c r="AH24" i="19"/>
  <c r="AH25" i="19"/>
  <c r="AH26" i="19"/>
  <c r="AH27" i="19"/>
  <c r="AH28" i="19"/>
  <c r="AH29" i="19"/>
  <c r="AH30" i="19"/>
  <c r="AH31" i="19"/>
  <c r="AH32" i="19"/>
  <c r="AH33" i="19"/>
  <c r="AH34" i="19"/>
  <c r="AH35" i="19"/>
  <c r="AH36" i="19"/>
  <c r="AH2" i="19"/>
  <c r="AG3" i="14"/>
  <c r="AG4" i="14"/>
  <c r="AG5" i="14"/>
  <c r="AG6" i="14"/>
  <c r="AG7" i="14"/>
  <c r="AG8" i="14"/>
  <c r="AG9" i="14"/>
  <c r="AG10" i="14"/>
  <c r="AG11" i="14"/>
  <c r="AG12" i="14"/>
  <c r="AG13" i="14"/>
  <c r="AG14" i="14"/>
  <c r="AG15" i="14"/>
  <c r="AG16" i="14"/>
  <c r="AG17" i="14"/>
  <c r="AG18" i="14"/>
  <c r="AG19" i="14"/>
  <c r="AG20" i="14"/>
  <c r="AG21" i="14"/>
  <c r="AG22" i="14"/>
  <c r="AG23" i="14"/>
  <c r="AG24" i="14"/>
  <c r="AG2" i="14"/>
  <c r="AH3" i="15"/>
  <c r="AH4" i="15"/>
  <c r="AH5" i="15"/>
  <c r="AH6" i="15"/>
  <c r="AH7" i="15"/>
  <c r="AH8" i="15"/>
  <c r="AH9" i="15"/>
  <c r="AH10" i="15"/>
  <c r="AH11" i="15"/>
  <c r="AH12" i="15"/>
  <c r="AH13" i="15"/>
  <c r="AH2" i="15"/>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 r="AJ40" i="8"/>
  <c r="AJ41" i="8"/>
  <c r="AJ42" i="8"/>
  <c r="AJ43" i="8"/>
  <c r="AJ44" i="8"/>
  <c r="AJ2" i="8"/>
  <c r="AI3" i="10"/>
  <c r="AI4" i="10"/>
  <c r="AI5" i="10"/>
  <c r="AI6" i="10"/>
  <c r="AI7" i="10"/>
  <c r="AI8" i="10"/>
  <c r="AI9" i="10"/>
  <c r="AI10" i="10"/>
  <c r="AI11" i="10"/>
  <c r="AI12" i="10"/>
  <c r="AI13" i="10"/>
  <c r="AI14" i="10"/>
  <c r="AI15" i="10"/>
  <c r="AI16" i="10"/>
  <c r="AI17" i="10"/>
  <c r="AI18" i="10"/>
  <c r="AI19" i="10"/>
  <c r="AI20" i="10"/>
  <c r="AI21" i="10"/>
  <c r="AI22" i="10"/>
  <c r="AI23" i="10"/>
  <c r="AI24" i="10"/>
  <c r="AI25" i="10"/>
  <c r="AI26" i="10"/>
  <c r="AI2" i="10"/>
  <c r="AJ3" i="21"/>
  <c r="AJ4" i="21"/>
  <c r="AJ5" i="21"/>
  <c r="AJ6" i="21"/>
  <c r="AJ7" i="21"/>
  <c r="AJ8" i="21"/>
  <c r="AJ9" i="21"/>
  <c r="AJ10" i="21"/>
  <c r="AJ11" i="21"/>
  <c r="AJ12" i="21"/>
  <c r="AJ13" i="21"/>
  <c r="AJ14" i="21"/>
  <c r="AJ15" i="21"/>
  <c r="AJ16" i="21"/>
  <c r="AJ17" i="21"/>
  <c r="AJ18" i="21"/>
  <c r="AJ19" i="21"/>
  <c r="AJ20" i="21"/>
  <c r="AJ21" i="21"/>
  <c r="AJ22" i="21"/>
  <c r="AJ23" i="21"/>
  <c r="AJ24" i="21"/>
  <c r="AJ25" i="21"/>
  <c r="AJ26" i="21"/>
  <c r="AJ27" i="21"/>
  <c r="AJ28" i="21"/>
  <c r="AJ29" i="21"/>
  <c r="AJ30" i="21"/>
  <c r="AJ31" i="21"/>
  <c r="AJ32" i="21"/>
  <c r="AJ33" i="21"/>
  <c r="AJ34" i="21"/>
  <c r="AJ35" i="21"/>
  <c r="AJ36" i="21"/>
  <c r="AJ37" i="21"/>
  <c r="AJ38" i="21"/>
  <c r="AJ39" i="21"/>
  <c r="AJ40" i="21"/>
  <c r="AJ41" i="21"/>
  <c r="AJ42" i="21"/>
  <c r="AJ43" i="21"/>
  <c r="AJ44" i="21"/>
  <c r="AJ45" i="21"/>
  <c r="AJ46" i="21"/>
  <c r="AJ47" i="21"/>
  <c r="AJ48" i="21"/>
  <c r="AJ49" i="21"/>
  <c r="AJ50" i="21"/>
  <c r="AJ51" i="21"/>
  <c r="AJ52" i="21"/>
  <c r="AJ53" i="21"/>
  <c r="AJ54" i="21"/>
  <c r="AJ55" i="21"/>
  <c r="AJ56" i="21"/>
  <c r="AJ57" i="21"/>
  <c r="AJ58" i="21"/>
  <c r="AJ59" i="21"/>
  <c r="AJ60" i="21"/>
  <c r="AJ61" i="21"/>
  <c r="AJ62" i="21"/>
  <c r="AJ2" i="21"/>
  <c r="AI49" i="9"/>
  <c r="AI50" i="9"/>
  <c r="AI51" i="9"/>
  <c r="AI52" i="9"/>
  <c r="AI53" i="9"/>
  <c r="AI54" i="9"/>
  <c r="AI55" i="9"/>
  <c r="AI56" i="9"/>
  <c r="AI57" i="9"/>
  <c r="AI48" i="9"/>
  <c r="AI3" i="9"/>
  <c r="AI4" i="9"/>
  <c r="AI5" i="9"/>
  <c r="AI6" i="9"/>
  <c r="AI7" i="9"/>
  <c r="AI8" i="9"/>
  <c r="AI9" i="9"/>
  <c r="AI10" i="9"/>
  <c r="AI11" i="9"/>
  <c r="AI12" i="9"/>
  <c r="AI13" i="9"/>
  <c r="AI14" i="9"/>
  <c r="AI15" i="9"/>
  <c r="AI16" i="9"/>
  <c r="AI17" i="9"/>
  <c r="AI18" i="9"/>
  <c r="AI19" i="9"/>
  <c r="AI20" i="9"/>
  <c r="AI21" i="9"/>
  <c r="AI22" i="9"/>
  <c r="AI23" i="9"/>
  <c r="AI24" i="9"/>
  <c r="AI25" i="9"/>
  <c r="AI26" i="9"/>
  <c r="AI27" i="9"/>
  <c r="AI28" i="9"/>
  <c r="AI29" i="9"/>
  <c r="AI30" i="9"/>
  <c r="AI31" i="9"/>
  <c r="AI32" i="9"/>
  <c r="AI33" i="9"/>
  <c r="AI34" i="9"/>
  <c r="AI35" i="9"/>
  <c r="AI36" i="9"/>
  <c r="AI37" i="9"/>
  <c r="AI38" i="9"/>
  <c r="AI39" i="9"/>
  <c r="AI40" i="9"/>
  <c r="AI41" i="9"/>
  <c r="AI42" i="9"/>
  <c r="AI43" i="9"/>
  <c r="AI44" i="9"/>
  <c r="AI45" i="9"/>
  <c r="AI46" i="9"/>
  <c r="AI2" i="9"/>
  <c r="AI3" i="16"/>
  <c r="AI4" i="16"/>
  <c r="AI5" i="16"/>
  <c r="AI6" i="16"/>
  <c r="AI7" i="16"/>
  <c r="AI8" i="16"/>
  <c r="AI9" i="16"/>
  <c r="AI10" i="16"/>
  <c r="AI11" i="16"/>
  <c r="AI12" i="16"/>
  <c r="AI13" i="16"/>
  <c r="AI14" i="16"/>
  <c r="AI15" i="16"/>
  <c r="AI16" i="16"/>
  <c r="AI17" i="16"/>
  <c r="AI18" i="16"/>
  <c r="AI19" i="16"/>
  <c r="AI20" i="16"/>
  <c r="AI21" i="16"/>
  <c r="AI22" i="16"/>
  <c r="AI23" i="16"/>
  <c r="AI24" i="16"/>
  <c r="AI25" i="16"/>
  <c r="AI26" i="16"/>
  <c r="AI27" i="16"/>
  <c r="AI28" i="16"/>
  <c r="AI29" i="16"/>
  <c r="AI30" i="16"/>
  <c r="AI2" i="16"/>
  <c r="AI3" i="12"/>
  <c r="AI4" i="12"/>
  <c r="AI5" i="12"/>
  <c r="AI6" i="12"/>
  <c r="AI7" i="12"/>
  <c r="AI8" i="12"/>
  <c r="AI9" i="12"/>
  <c r="AI10" i="12"/>
  <c r="AI11" i="12"/>
  <c r="AI12" i="12"/>
  <c r="AI13" i="12"/>
  <c r="AI14" i="12"/>
  <c r="AI15" i="12"/>
  <c r="AI16" i="12"/>
  <c r="AI17" i="12"/>
  <c r="AI18" i="12"/>
  <c r="AI19" i="12"/>
  <c r="AI20" i="12"/>
  <c r="AI21" i="12"/>
  <c r="AI22" i="12"/>
  <c r="AI23" i="12"/>
  <c r="AI24" i="12"/>
  <c r="AI25" i="12"/>
  <c r="AI26" i="12"/>
  <c r="AI27" i="12"/>
  <c r="AI28" i="12"/>
  <c r="AI29" i="12"/>
  <c r="AI30" i="12"/>
  <c r="AI31" i="12"/>
  <c r="AI32" i="12"/>
  <c r="AI33" i="12"/>
  <c r="AI34" i="12"/>
  <c r="AI35" i="12"/>
  <c r="AI36" i="12"/>
  <c r="AI37" i="12"/>
  <c r="AI38" i="12"/>
  <c r="AI39" i="12"/>
  <c r="AI40" i="12"/>
  <c r="AI41" i="12"/>
  <c r="AI42" i="12"/>
  <c r="AI43" i="12"/>
  <c r="AI44" i="12"/>
  <c r="AI45" i="12"/>
  <c r="AI46" i="12"/>
  <c r="AI47" i="12"/>
  <c r="AI48" i="12"/>
  <c r="AI49" i="12"/>
  <c r="AI50" i="12"/>
  <c r="AI51" i="12"/>
  <c r="AI2" i="12"/>
  <c r="W46" i="12"/>
  <c r="X46" i="12"/>
  <c r="Y46" i="12"/>
  <c r="Z46" i="12"/>
  <c r="W47" i="12"/>
  <c r="X47" i="12"/>
  <c r="Y47" i="12"/>
  <c r="Z47" i="12"/>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372"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35" i="17"/>
  <c r="J311" i="17"/>
  <c r="J312" i="17"/>
  <c r="J313" i="17"/>
  <c r="J314" i="17"/>
  <c r="J315" i="17"/>
  <c r="J316" i="17"/>
  <c r="J317" i="17"/>
  <c r="J318" i="17"/>
  <c r="J319" i="17"/>
  <c r="J320" i="17"/>
  <c r="J321" i="17"/>
  <c r="J322" i="17"/>
  <c r="J323" i="17"/>
  <c r="J324" i="17"/>
  <c r="J325" i="17"/>
  <c r="J326" i="17"/>
  <c r="J327" i="17"/>
  <c r="J328" i="17"/>
  <c r="J329" i="17"/>
  <c r="J330" i="17"/>
  <c r="J331" i="17"/>
  <c r="J332" i="17"/>
  <c r="J310" i="17"/>
  <c r="J297" i="17"/>
  <c r="J298" i="17"/>
  <c r="J299" i="17"/>
  <c r="J300" i="17"/>
  <c r="J301" i="17"/>
  <c r="J302" i="17"/>
  <c r="J303" i="17"/>
  <c r="J304" i="17"/>
  <c r="J305" i="17"/>
  <c r="J306" i="17"/>
  <c r="J307" i="17"/>
  <c r="J296" i="17"/>
  <c r="J252" i="17"/>
  <c r="J253" i="17"/>
  <c r="J254" i="17"/>
  <c r="J255" i="17"/>
  <c r="J256"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51" i="17"/>
  <c r="J225" i="17"/>
  <c r="J227" i="17"/>
  <c r="J228" i="17"/>
  <c r="J229" i="17"/>
  <c r="J230" i="17"/>
  <c r="J231" i="17"/>
  <c r="J232" i="17"/>
  <c r="J233" i="17"/>
  <c r="J234" i="17"/>
  <c r="J235" i="17"/>
  <c r="J239" i="17"/>
  <c r="J240" i="17"/>
  <c r="J241" i="17"/>
  <c r="J242" i="17"/>
  <c r="J243" i="17"/>
  <c r="J244" i="17"/>
  <c r="J245" i="17"/>
  <c r="J246" i="17"/>
  <c r="J247" i="17"/>
  <c r="J248" i="17"/>
  <c r="J224" i="17"/>
  <c r="J162" i="17"/>
  <c r="J163" i="17"/>
  <c r="J164" i="17"/>
  <c r="J165" i="17"/>
  <c r="J166" i="17"/>
  <c r="J167" i="17"/>
  <c r="J168" i="17"/>
  <c r="J169" i="17"/>
  <c r="J170" i="17"/>
  <c r="J171" i="17"/>
  <c r="J172"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161" i="17"/>
  <c r="J150" i="17"/>
  <c r="J151" i="17"/>
  <c r="J152" i="17"/>
  <c r="J153" i="17"/>
  <c r="J154" i="17"/>
  <c r="J155" i="17"/>
  <c r="J156" i="17"/>
  <c r="J157" i="17"/>
  <c r="J158" i="17"/>
  <c r="J149"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04"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21" i="17"/>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3" i="6"/>
  <c r="A17" i="17"/>
  <c r="A21" i="17"/>
  <c r="A22" i="17"/>
  <c r="A23" i="17"/>
  <c r="A24" i="17"/>
  <c r="A25" i="17"/>
  <c r="H17" i="17" s="1"/>
  <c r="L17" i="1" s="1"/>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7" i="17"/>
  <c r="A68" i="17"/>
  <c r="A69" i="17"/>
  <c r="A70"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4" i="17"/>
  <c r="A105" i="17"/>
  <c r="A106" i="17"/>
  <c r="A107" i="17"/>
  <c r="A108" i="17"/>
  <c r="A109" i="17"/>
  <c r="A110" i="17"/>
  <c r="A111" i="17"/>
  <c r="A112" i="17"/>
  <c r="A113" i="17"/>
  <c r="A114" i="17"/>
  <c r="A115" i="17"/>
  <c r="A116" i="17"/>
  <c r="A117" i="17"/>
  <c r="A118" i="17"/>
  <c r="A119" i="17"/>
  <c r="A120" i="17"/>
  <c r="A121" i="17"/>
  <c r="A122" i="17"/>
  <c r="A123" i="17"/>
  <c r="A124" i="17"/>
  <c r="A125" i="17"/>
  <c r="A126" i="17"/>
  <c r="A127" i="17"/>
  <c r="A128" i="17"/>
  <c r="A129" i="17"/>
  <c r="A130" i="17"/>
  <c r="A131" i="17"/>
  <c r="A132" i="17"/>
  <c r="A133" i="17"/>
  <c r="A134" i="17"/>
  <c r="A135" i="17"/>
  <c r="A136" i="17"/>
  <c r="A137" i="17"/>
  <c r="A138" i="17"/>
  <c r="A139" i="17"/>
  <c r="A140" i="17"/>
  <c r="A141" i="17"/>
  <c r="A142" i="17"/>
  <c r="A143" i="17"/>
  <c r="A144" i="17"/>
  <c r="A145" i="17"/>
  <c r="A146" i="17"/>
  <c r="A147" i="17"/>
  <c r="A148" i="17"/>
  <c r="A149" i="17"/>
  <c r="A150" i="17"/>
  <c r="A151" i="17"/>
  <c r="A152" i="17"/>
  <c r="A153" i="17"/>
  <c r="A154" i="17"/>
  <c r="A155" i="17"/>
  <c r="A156" i="17"/>
  <c r="A157" i="17"/>
  <c r="A158" i="17"/>
  <c r="A161" i="17"/>
  <c r="A162" i="17"/>
  <c r="A163" i="17"/>
  <c r="A164" i="17"/>
  <c r="A165" i="17"/>
  <c r="A166" i="17"/>
  <c r="A167" i="17"/>
  <c r="A168" i="17"/>
  <c r="A169" i="17"/>
  <c r="A170" i="17"/>
  <c r="A171" i="17"/>
  <c r="A172" i="17"/>
  <c r="A173" i="17"/>
  <c r="A174" i="17"/>
  <c r="A175" i="17"/>
  <c r="A176" i="17"/>
  <c r="A177" i="17"/>
  <c r="A178" i="17"/>
  <c r="A179" i="17"/>
  <c r="A180" i="17"/>
  <c r="A181" i="17"/>
  <c r="A182" i="17"/>
  <c r="A183" i="17"/>
  <c r="A184" i="17"/>
  <c r="A185" i="17"/>
  <c r="A186" i="17"/>
  <c r="A187" i="17"/>
  <c r="A188" i="17"/>
  <c r="A189" i="17"/>
  <c r="A190" i="17"/>
  <c r="A191" i="17"/>
  <c r="A192" i="17"/>
  <c r="A193" i="17"/>
  <c r="A194" i="17"/>
  <c r="A195" i="17"/>
  <c r="A196" i="17"/>
  <c r="A197" i="17"/>
  <c r="A198" i="17"/>
  <c r="A199" i="17"/>
  <c r="A200" i="17"/>
  <c r="A201" i="17"/>
  <c r="A202" i="17"/>
  <c r="A203" i="17"/>
  <c r="A204" i="17"/>
  <c r="A205" i="17"/>
  <c r="A206" i="17"/>
  <c r="A207" i="17"/>
  <c r="A208" i="17"/>
  <c r="A209" i="17"/>
  <c r="A210" i="17"/>
  <c r="A211" i="17"/>
  <c r="A212" i="17"/>
  <c r="A213" i="17"/>
  <c r="A214" i="17"/>
  <c r="A215" i="17"/>
  <c r="A216" i="17"/>
  <c r="A217" i="17"/>
  <c r="A218" i="17"/>
  <c r="A219" i="17"/>
  <c r="A220" i="17"/>
  <c r="A221" i="17"/>
  <c r="A224" i="17"/>
  <c r="A225" i="17"/>
  <c r="A226" i="17"/>
  <c r="A227" i="17"/>
  <c r="A228" i="17"/>
  <c r="A229" i="17"/>
  <c r="A230" i="17"/>
  <c r="A231" i="17"/>
  <c r="A232" i="17"/>
  <c r="A233" i="17"/>
  <c r="A234" i="17"/>
  <c r="A235" i="17"/>
  <c r="A236" i="17"/>
  <c r="A237" i="17"/>
  <c r="A238" i="17"/>
  <c r="A239" i="17"/>
  <c r="A240" i="17"/>
  <c r="A241" i="17"/>
  <c r="A242" i="17"/>
  <c r="A243" i="17"/>
  <c r="A244" i="17"/>
  <c r="A245" i="17"/>
  <c r="A246" i="17"/>
  <c r="A247" i="17"/>
  <c r="A248" i="17"/>
  <c r="A251" i="17"/>
  <c r="A252" i="17"/>
  <c r="A253" i="17"/>
  <c r="A254" i="17"/>
  <c r="A255" i="17"/>
  <c r="A256" i="17"/>
  <c r="A257" i="17"/>
  <c r="A258" i="17"/>
  <c r="A259" i="17"/>
  <c r="A260" i="17"/>
  <c r="A261" i="17"/>
  <c r="A262" i="17"/>
  <c r="A263" i="17"/>
  <c r="A264" i="17"/>
  <c r="A265" i="17"/>
  <c r="A266" i="17"/>
  <c r="A267" i="17"/>
  <c r="A268" i="17"/>
  <c r="A269" i="17"/>
  <c r="A270" i="17"/>
  <c r="A271" i="17"/>
  <c r="A272" i="17"/>
  <c r="A273" i="17"/>
  <c r="A274" i="17"/>
  <c r="A275" i="17"/>
  <c r="A276" i="17"/>
  <c r="A277" i="17"/>
  <c r="A278" i="17"/>
  <c r="A279" i="17"/>
  <c r="A280" i="17"/>
  <c r="A281" i="17"/>
  <c r="A282" i="17"/>
  <c r="A283" i="17"/>
  <c r="A284" i="17"/>
  <c r="A285" i="17"/>
  <c r="A286" i="17"/>
  <c r="A287" i="17"/>
  <c r="A288" i="17"/>
  <c r="A289" i="17"/>
  <c r="A290" i="17"/>
  <c r="A291" i="17"/>
  <c r="A292" i="17"/>
  <c r="A293" i="17"/>
  <c r="A296" i="17"/>
  <c r="A297" i="17"/>
  <c r="A298" i="17"/>
  <c r="A299" i="17"/>
  <c r="A300" i="17"/>
  <c r="A301" i="17"/>
  <c r="A302" i="17"/>
  <c r="A303" i="17"/>
  <c r="A304" i="17"/>
  <c r="A305" i="17"/>
  <c r="A306" i="17"/>
  <c r="A307" i="17"/>
  <c r="A310" i="17"/>
  <c r="A311" i="17"/>
  <c r="A312" i="17"/>
  <c r="A313" i="17"/>
  <c r="A314" i="17"/>
  <c r="A315" i="17"/>
  <c r="A316" i="17"/>
  <c r="A317" i="17"/>
  <c r="A318" i="17"/>
  <c r="A319" i="17"/>
  <c r="A320" i="17"/>
  <c r="A321" i="17"/>
  <c r="A322" i="17"/>
  <c r="A323" i="17"/>
  <c r="A324" i="17"/>
  <c r="A325" i="17"/>
  <c r="A326" i="17"/>
  <c r="A327" i="17"/>
  <c r="A328" i="17"/>
  <c r="A329" i="17"/>
  <c r="A330" i="17"/>
  <c r="A331" i="17"/>
  <c r="A332" i="17"/>
  <c r="A335" i="17"/>
  <c r="A336" i="17"/>
  <c r="A337" i="17"/>
  <c r="A338" i="17"/>
  <c r="A339" i="17"/>
  <c r="A340" i="17"/>
  <c r="A341" i="17"/>
  <c r="A342" i="17"/>
  <c r="A343" i="17"/>
  <c r="A344" i="17"/>
  <c r="A345" i="17"/>
  <c r="A346" i="17"/>
  <c r="A347" i="17"/>
  <c r="A348" i="17"/>
  <c r="A349" i="17"/>
  <c r="A350" i="17"/>
  <c r="A351" i="17"/>
  <c r="A352" i="17"/>
  <c r="A353" i="17"/>
  <c r="A354" i="17"/>
  <c r="A355" i="17"/>
  <c r="A356" i="17"/>
  <c r="A357" i="17"/>
  <c r="A358" i="17"/>
  <c r="A359" i="17"/>
  <c r="A360" i="17"/>
  <c r="A361" i="17"/>
  <c r="A362" i="17"/>
  <c r="A363" i="17"/>
  <c r="A364" i="17"/>
  <c r="A365" i="17"/>
  <c r="A366" i="17"/>
  <c r="A367" i="17"/>
  <c r="A368" i="17"/>
  <c r="A369" i="17"/>
  <c r="A372" i="17"/>
  <c r="A373" i="17"/>
  <c r="A374" i="17"/>
  <c r="A375" i="17"/>
  <c r="A376" i="17"/>
  <c r="A377" i="17"/>
  <c r="A378" i="17"/>
  <c r="A379" i="17"/>
  <c r="A380" i="17"/>
  <c r="A381" i="17"/>
  <c r="A382" i="17"/>
  <c r="A383" i="17"/>
  <c r="A384" i="17"/>
  <c r="A385" i="17"/>
  <c r="A386" i="17"/>
  <c r="A387" i="17"/>
  <c r="A388" i="17"/>
  <c r="A389" i="17"/>
  <c r="A390" i="17"/>
  <c r="A391" i="17"/>
  <c r="A392" i="17"/>
  <c r="A393" i="17"/>
  <c r="A394" i="17"/>
  <c r="A395" i="17"/>
  <c r="A396" i="17"/>
  <c r="A397" i="17"/>
  <c r="A398" i="17"/>
  <c r="A399" i="17"/>
  <c r="A400" i="17"/>
  <c r="A401" i="17"/>
  <c r="A402" i="17"/>
  <c r="A403" i="17"/>
  <c r="A404" i="17"/>
  <c r="A405" i="17"/>
  <c r="A406" i="17"/>
  <c r="A407" i="17"/>
  <c r="A408" i="17"/>
  <c r="A409" i="17"/>
  <c r="A410" i="17"/>
  <c r="A411" i="17"/>
  <c r="A412" i="17"/>
  <c r="A413" i="17"/>
  <c r="A414" i="17"/>
  <c r="A415" i="17"/>
  <c r="A416"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7" i="17"/>
  <c r="H68" i="17"/>
  <c r="H69" i="17"/>
  <c r="H70" i="17"/>
  <c r="G2" i="16"/>
  <c r="H73" i="17"/>
  <c r="G3" i="16"/>
  <c r="H74" i="17"/>
  <c r="G4" i="16"/>
  <c r="H75" i="17" s="1"/>
  <c r="G5" i="16"/>
  <c r="H76" i="17" s="1"/>
  <c r="G6" i="16"/>
  <c r="H77" i="17"/>
  <c r="G7" i="16"/>
  <c r="H78" i="17" s="1"/>
  <c r="G8" i="16"/>
  <c r="H79" i="17" s="1"/>
  <c r="G9" i="16"/>
  <c r="H80" i="17" s="1"/>
  <c r="G10" i="16"/>
  <c r="H81" i="17"/>
  <c r="G11" i="16"/>
  <c r="H82" i="17"/>
  <c r="G12" i="16"/>
  <c r="H83" i="17" s="1"/>
  <c r="G13" i="16"/>
  <c r="H84" i="17" s="1"/>
  <c r="G14" i="16"/>
  <c r="H85" i="17"/>
  <c r="G15" i="16"/>
  <c r="H86" i="17" s="1"/>
  <c r="G16" i="16"/>
  <c r="H87" i="17" s="1"/>
  <c r="H88" i="17"/>
  <c r="H89" i="17"/>
  <c r="H90" i="17"/>
  <c r="G21" i="16"/>
  <c r="H92" i="17" s="1"/>
  <c r="G22" i="16"/>
  <c r="H93" i="17" s="1"/>
  <c r="G23" i="16"/>
  <c r="H94" i="17" s="1"/>
  <c r="G24" i="16"/>
  <c r="H95" i="17" s="1"/>
  <c r="G25" i="16"/>
  <c r="H96" i="17"/>
  <c r="G26" i="16"/>
  <c r="H97" i="17"/>
  <c r="G27" i="16"/>
  <c r="H98" i="17" s="1"/>
  <c r="G28" i="16"/>
  <c r="H99" i="17"/>
  <c r="G29" i="16"/>
  <c r="H100" i="17" s="1"/>
  <c r="G30" i="16"/>
  <c r="H101" i="17" s="1"/>
  <c r="H2" i="21"/>
  <c r="H161" i="17" s="1"/>
  <c r="H3" i="21"/>
  <c r="H162" i="17" s="1"/>
  <c r="H4" i="21"/>
  <c r="H163" i="17"/>
  <c r="H5" i="21"/>
  <c r="H164" i="17"/>
  <c r="H6" i="21"/>
  <c r="H165" i="17" s="1"/>
  <c r="H7" i="21"/>
  <c r="H166" i="17"/>
  <c r="H8" i="21"/>
  <c r="H167" i="17" s="1"/>
  <c r="H9" i="21"/>
  <c r="H168" i="17" s="1"/>
  <c r="H10" i="21"/>
  <c r="H169" i="17" s="1"/>
  <c r="H11" i="21"/>
  <c r="H170" i="17" s="1"/>
  <c r="H12" i="21"/>
  <c r="H171" i="17"/>
  <c r="H13" i="21"/>
  <c r="H172" i="17"/>
  <c r="H173" i="17"/>
  <c r="H174" i="17"/>
  <c r="H16" i="21"/>
  <c r="H175" i="17"/>
  <c r="H176" i="17"/>
  <c r="H177" i="17"/>
  <c r="H178" i="17"/>
  <c r="H179" i="17"/>
  <c r="H180" i="17"/>
  <c r="H181" i="17"/>
  <c r="H23" i="21"/>
  <c r="H182" i="17" s="1"/>
  <c r="H183" i="17"/>
  <c r="H25" i="21"/>
  <c r="H184" i="17" s="1"/>
  <c r="H185" i="17"/>
  <c r="H186" i="17"/>
  <c r="H187" i="17"/>
  <c r="H188" i="17"/>
  <c r="H30" i="21"/>
  <c r="H189" i="17"/>
  <c r="H31" i="21"/>
  <c r="H190" i="17"/>
  <c r="H32" i="21"/>
  <c r="H191" i="17" s="1"/>
  <c r="H33" i="21"/>
  <c r="H192" i="17" s="1"/>
  <c r="H34" i="21"/>
  <c r="H193" i="17"/>
  <c r="H35" i="21"/>
  <c r="H194" i="17" s="1"/>
  <c r="H36" i="21"/>
  <c r="H195" i="17" s="1"/>
  <c r="H196" i="17"/>
  <c r="H197" i="17"/>
  <c r="H39" i="21"/>
  <c r="H198" i="17"/>
  <c r="H199" i="17"/>
  <c r="H41" i="21"/>
  <c r="H200" i="17" s="1"/>
  <c r="H42" i="21"/>
  <c r="H201" i="17" s="1"/>
  <c r="H43" i="21"/>
  <c r="H202" i="17" s="1"/>
  <c r="H44" i="21"/>
  <c r="H203" i="17"/>
  <c r="H45" i="21"/>
  <c r="H204" i="17"/>
  <c r="H46" i="21"/>
  <c r="H205" i="17" s="1"/>
  <c r="H47" i="21"/>
  <c r="H206" i="17"/>
  <c r="H207" i="17"/>
  <c r="H49" i="21"/>
  <c r="H208" i="17"/>
  <c r="H50" i="21"/>
  <c r="H209" i="17" s="1"/>
  <c r="H51" i="21"/>
  <c r="H210" i="17" s="1"/>
  <c r="H52" i="21"/>
  <c r="H211" i="17"/>
  <c r="H53" i="21"/>
  <c r="H212" i="17" s="1"/>
  <c r="H213" i="17"/>
  <c r="H55" i="21"/>
  <c r="H214" i="17" s="1"/>
  <c r="H56" i="21"/>
  <c r="H215" i="17"/>
  <c r="H57" i="21"/>
  <c r="H216" i="17" s="1"/>
  <c r="H58" i="21"/>
  <c r="H217" i="17" s="1"/>
  <c r="H59" i="21"/>
  <c r="H218" i="17" s="1"/>
  <c r="H60" i="21"/>
  <c r="H219" i="17" s="1"/>
  <c r="H61" i="21"/>
  <c r="H220" i="17"/>
  <c r="H221"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3" i="17"/>
  <c r="H284" i="17"/>
  <c r="H285" i="17"/>
  <c r="H286" i="17"/>
  <c r="H287" i="17"/>
  <c r="H288" i="17"/>
  <c r="H289" i="17"/>
  <c r="H290" i="17"/>
  <c r="H291" i="17"/>
  <c r="H292" i="17"/>
  <c r="H293" i="17"/>
  <c r="H296" i="17"/>
  <c r="H297" i="17"/>
  <c r="H298" i="17"/>
  <c r="H299" i="17"/>
  <c r="H300" i="17"/>
  <c r="H301" i="17"/>
  <c r="H302" i="17"/>
  <c r="H303" i="17"/>
  <c r="H304" i="17"/>
  <c r="H305" i="17"/>
  <c r="H306" i="17"/>
  <c r="H307"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AD3" i="20"/>
  <c r="AE3" i="20"/>
  <c r="AF3" i="20"/>
  <c r="AG3" i="20"/>
  <c r="AB3" i="20"/>
  <c r="AD4" i="20"/>
  <c r="AE4" i="20"/>
  <c r="AF4" i="20"/>
  <c r="AG4" i="20"/>
  <c r="AB4" i="20"/>
  <c r="AD5" i="20"/>
  <c r="AE5" i="20"/>
  <c r="AF5" i="20"/>
  <c r="AG5" i="20"/>
  <c r="AB5" i="20"/>
  <c r="AD6" i="20"/>
  <c r="AE6" i="20"/>
  <c r="AF6" i="20"/>
  <c r="AG6" i="20"/>
  <c r="AB6" i="20"/>
  <c r="AD7" i="20"/>
  <c r="AE7" i="20"/>
  <c r="AF7" i="20"/>
  <c r="AG7" i="20"/>
  <c r="AB7" i="20"/>
  <c r="AD8" i="20"/>
  <c r="AE8" i="20"/>
  <c r="AF8" i="20"/>
  <c r="AG8" i="20"/>
  <c r="AB8" i="20"/>
  <c r="AD9" i="20"/>
  <c r="AE9" i="20"/>
  <c r="AF9" i="20"/>
  <c r="AG9" i="20"/>
  <c r="AB9" i="20"/>
  <c r="AD10" i="20"/>
  <c r="AE10" i="20"/>
  <c r="AF10" i="20"/>
  <c r="AG10" i="20"/>
  <c r="AB10" i="20"/>
  <c r="AD11" i="20"/>
  <c r="AE11" i="20"/>
  <c r="AF11" i="20"/>
  <c r="AG11" i="20"/>
  <c r="AB11" i="20"/>
  <c r="AD12" i="20"/>
  <c r="AE12" i="20"/>
  <c r="AF12" i="20"/>
  <c r="AG12" i="20"/>
  <c r="AB12" i="20"/>
  <c r="AD13" i="20"/>
  <c r="AE13" i="20"/>
  <c r="AF13" i="20"/>
  <c r="AG13" i="20"/>
  <c r="AB13" i="20"/>
  <c r="AD14" i="20"/>
  <c r="AE14" i="20"/>
  <c r="AF14" i="20"/>
  <c r="AG14" i="20"/>
  <c r="AB14" i="20"/>
  <c r="AD15" i="20"/>
  <c r="AE15" i="20"/>
  <c r="AF15" i="20"/>
  <c r="AG15" i="20"/>
  <c r="AB15" i="20"/>
  <c r="AD16" i="20"/>
  <c r="AE16" i="20"/>
  <c r="AF16" i="20"/>
  <c r="AG16" i="20"/>
  <c r="AB16" i="20"/>
  <c r="AD17" i="20"/>
  <c r="AE17" i="20"/>
  <c r="AF17" i="20"/>
  <c r="AG17" i="20"/>
  <c r="AB17" i="20"/>
  <c r="AD18" i="20"/>
  <c r="AE18" i="20"/>
  <c r="AF18" i="20"/>
  <c r="AG18" i="20"/>
  <c r="AB18" i="20"/>
  <c r="AD19" i="20"/>
  <c r="AE19" i="20"/>
  <c r="AF19" i="20"/>
  <c r="AG19" i="20"/>
  <c r="AB19" i="20"/>
  <c r="AD20" i="20"/>
  <c r="AE20" i="20"/>
  <c r="AF20" i="20"/>
  <c r="AG20" i="20"/>
  <c r="AB20" i="20"/>
  <c r="AD21" i="20"/>
  <c r="AE21" i="20"/>
  <c r="AF21" i="20"/>
  <c r="AG21" i="20"/>
  <c r="AB21" i="20"/>
  <c r="AD22" i="20"/>
  <c r="AE22" i="20"/>
  <c r="AF22" i="20"/>
  <c r="AG22" i="20"/>
  <c r="AB22" i="20"/>
  <c r="AD23" i="20"/>
  <c r="AE23" i="20"/>
  <c r="AF23" i="20"/>
  <c r="AG23" i="20"/>
  <c r="AB23" i="20"/>
  <c r="AD24" i="20"/>
  <c r="AE24" i="20"/>
  <c r="AF24" i="20"/>
  <c r="AG24" i="20"/>
  <c r="AB24" i="20"/>
  <c r="AD25" i="20"/>
  <c r="AE25" i="20"/>
  <c r="AF25" i="20"/>
  <c r="AG25" i="20"/>
  <c r="AB25" i="20"/>
  <c r="AD26" i="20"/>
  <c r="AE26" i="20"/>
  <c r="AF26" i="20"/>
  <c r="AG26" i="20"/>
  <c r="AB26" i="20"/>
  <c r="AD27" i="20"/>
  <c r="AE27" i="20"/>
  <c r="AF27" i="20"/>
  <c r="AG27" i="20"/>
  <c r="AB27" i="20"/>
  <c r="AD28" i="20"/>
  <c r="AE28" i="20"/>
  <c r="AF28" i="20"/>
  <c r="AG28" i="20"/>
  <c r="AB28" i="20"/>
  <c r="AD29" i="20"/>
  <c r="AE29" i="20"/>
  <c r="AF29" i="20"/>
  <c r="AG29" i="20"/>
  <c r="AB29" i="20"/>
  <c r="AD30" i="20"/>
  <c r="AE30" i="20"/>
  <c r="AF30" i="20"/>
  <c r="AG30" i="20"/>
  <c r="AB30" i="20"/>
  <c r="AD31" i="20"/>
  <c r="AE31" i="20"/>
  <c r="AF31" i="20"/>
  <c r="AG31" i="20"/>
  <c r="AB31" i="20"/>
  <c r="AD32" i="20"/>
  <c r="AE32" i="20"/>
  <c r="AF32" i="20"/>
  <c r="AG32" i="20"/>
  <c r="AB32" i="20"/>
  <c r="AD33" i="20"/>
  <c r="AE33" i="20"/>
  <c r="AF33" i="20"/>
  <c r="AG33" i="20"/>
  <c r="AB33" i="20"/>
  <c r="AD34" i="20"/>
  <c r="AE34" i="20"/>
  <c r="AF34" i="20"/>
  <c r="AG34" i="20"/>
  <c r="AB34" i="20"/>
  <c r="AD35" i="20"/>
  <c r="AE35" i="20"/>
  <c r="AF35" i="20"/>
  <c r="AG35" i="20"/>
  <c r="AB35" i="20"/>
  <c r="AD36" i="20"/>
  <c r="AE36" i="20"/>
  <c r="AF36" i="20"/>
  <c r="AG36" i="20"/>
  <c r="AB36" i="20"/>
  <c r="AD37" i="20"/>
  <c r="AE37" i="20"/>
  <c r="AF37" i="20"/>
  <c r="AG37" i="20"/>
  <c r="AB37" i="20"/>
  <c r="AD38" i="20"/>
  <c r="AE38" i="20"/>
  <c r="AF38" i="20"/>
  <c r="AG38" i="20"/>
  <c r="AB38" i="20"/>
  <c r="AD39" i="20"/>
  <c r="AE39" i="20"/>
  <c r="AF39" i="20"/>
  <c r="AG39" i="20"/>
  <c r="AB39" i="20"/>
  <c r="AD40" i="20"/>
  <c r="AE40" i="20"/>
  <c r="AF40" i="20"/>
  <c r="AG40" i="20"/>
  <c r="AB40" i="20"/>
  <c r="AD41" i="20"/>
  <c r="AE41" i="20"/>
  <c r="AF41" i="20"/>
  <c r="AG41" i="20"/>
  <c r="AB41" i="20"/>
  <c r="AD42" i="20"/>
  <c r="AE42" i="20"/>
  <c r="AF42" i="20"/>
  <c r="AG42" i="20"/>
  <c r="AB42" i="20"/>
  <c r="AD43" i="20"/>
  <c r="AE43" i="20"/>
  <c r="AF43" i="20"/>
  <c r="AG43" i="20"/>
  <c r="AB43" i="20"/>
  <c r="AD44" i="20"/>
  <c r="AE44" i="20"/>
  <c r="AF44" i="20"/>
  <c r="AG44" i="20"/>
  <c r="AB44" i="20"/>
  <c r="AD45" i="20"/>
  <c r="AE45" i="20"/>
  <c r="AF45" i="20"/>
  <c r="AG45" i="20"/>
  <c r="AB45" i="20"/>
  <c r="AD46" i="20"/>
  <c r="AE46" i="20"/>
  <c r="AF46" i="20"/>
  <c r="AG46" i="20"/>
  <c r="AB46" i="20"/>
  <c r="AD2" i="20"/>
  <c r="AE2" i="20"/>
  <c r="AF2" i="20"/>
  <c r="AG2" i="20"/>
  <c r="AB2" i="20"/>
  <c r="AA2" i="20"/>
  <c r="W3" i="20"/>
  <c r="X3" i="20"/>
  <c r="Y3" i="20"/>
  <c r="Z3" i="20"/>
  <c r="W4" i="20"/>
  <c r="X4" i="20"/>
  <c r="Y4" i="20"/>
  <c r="Z4" i="20"/>
  <c r="W5" i="20"/>
  <c r="X5" i="20"/>
  <c r="Y5" i="20"/>
  <c r="Z5" i="20"/>
  <c r="W6" i="20"/>
  <c r="X6" i="20"/>
  <c r="Y6" i="20"/>
  <c r="Z6" i="20"/>
  <c r="W7" i="20"/>
  <c r="X7" i="20"/>
  <c r="Y7" i="20"/>
  <c r="Z7" i="20"/>
  <c r="W8" i="20"/>
  <c r="X8" i="20"/>
  <c r="Y8" i="20"/>
  <c r="Z8" i="20"/>
  <c r="W9" i="20"/>
  <c r="X9" i="20"/>
  <c r="Y9" i="20"/>
  <c r="Z9" i="20"/>
  <c r="W10" i="20"/>
  <c r="X10" i="20"/>
  <c r="Y10" i="20"/>
  <c r="Z10" i="20"/>
  <c r="W11" i="20"/>
  <c r="X11" i="20"/>
  <c r="Y11" i="20"/>
  <c r="Z11" i="20"/>
  <c r="W12" i="20"/>
  <c r="X12" i="20"/>
  <c r="Y12" i="20"/>
  <c r="Z12" i="20"/>
  <c r="W13" i="20"/>
  <c r="X13" i="20"/>
  <c r="Y13" i="20"/>
  <c r="Z13" i="20"/>
  <c r="W14" i="20"/>
  <c r="X14" i="20"/>
  <c r="Y14" i="20"/>
  <c r="Z14" i="20"/>
  <c r="W15" i="20"/>
  <c r="X15" i="20"/>
  <c r="Y15" i="20"/>
  <c r="Z15" i="20"/>
  <c r="W16" i="20"/>
  <c r="X16" i="20"/>
  <c r="Y16" i="20"/>
  <c r="Z16" i="20"/>
  <c r="W17" i="20"/>
  <c r="X17" i="20"/>
  <c r="Y17" i="20"/>
  <c r="Z17" i="20"/>
  <c r="W18" i="20"/>
  <c r="X18" i="20"/>
  <c r="Y18" i="20"/>
  <c r="Z18" i="20"/>
  <c r="W19" i="20"/>
  <c r="X19" i="20"/>
  <c r="Y19" i="20"/>
  <c r="Z19" i="20"/>
  <c r="W20" i="20"/>
  <c r="X20" i="20"/>
  <c r="Y20" i="20"/>
  <c r="Z20" i="20"/>
  <c r="W21" i="20"/>
  <c r="X21" i="20"/>
  <c r="Y21" i="20"/>
  <c r="Z21" i="20"/>
  <c r="W22" i="20"/>
  <c r="X22" i="20"/>
  <c r="Y22" i="20"/>
  <c r="Z22" i="20"/>
  <c r="W23" i="20"/>
  <c r="X23" i="20"/>
  <c r="Y23" i="20"/>
  <c r="Z23" i="20"/>
  <c r="W24" i="20"/>
  <c r="X24" i="20"/>
  <c r="Y24" i="20"/>
  <c r="Z24" i="20"/>
  <c r="W25" i="20"/>
  <c r="X25" i="20"/>
  <c r="Y25" i="20"/>
  <c r="Z25" i="20"/>
  <c r="W26" i="20"/>
  <c r="X26" i="20"/>
  <c r="Y26" i="20"/>
  <c r="Z26" i="20"/>
  <c r="W27" i="20"/>
  <c r="X27" i="20"/>
  <c r="Y27" i="20"/>
  <c r="Z27" i="20"/>
  <c r="W28" i="20"/>
  <c r="X28" i="20"/>
  <c r="Y28" i="20"/>
  <c r="Z28" i="20"/>
  <c r="W29" i="20"/>
  <c r="X29" i="20"/>
  <c r="Y29" i="20"/>
  <c r="Z29" i="20"/>
  <c r="W30" i="20"/>
  <c r="X30" i="20"/>
  <c r="Y30" i="20"/>
  <c r="Z30" i="20"/>
  <c r="W31" i="20"/>
  <c r="X31" i="20"/>
  <c r="Y31" i="20"/>
  <c r="Z31" i="20"/>
  <c r="W32" i="20"/>
  <c r="X32" i="20"/>
  <c r="Y32" i="20"/>
  <c r="Z32" i="20"/>
  <c r="W33" i="20"/>
  <c r="X33" i="20"/>
  <c r="Y33" i="20"/>
  <c r="Z33" i="20"/>
  <c r="W34" i="20"/>
  <c r="X34" i="20"/>
  <c r="Y34" i="20"/>
  <c r="Z34" i="20"/>
  <c r="W35" i="20"/>
  <c r="X35" i="20"/>
  <c r="Y35" i="20"/>
  <c r="Z35" i="20"/>
  <c r="W36" i="20"/>
  <c r="X36" i="20"/>
  <c r="Y36" i="20"/>
  <c r="Z36" i="20"/>
  <c r="W37" i="20"/>
  <c r="X37" i="20"/>
  <c r="Y37" i="20"/>
  <c r="Z37" i="20"/>
  <c r="W38" i="20"/>
  <c r="X38" i="20"/>
  <c r="Y38" i="20"/>
  <c r="Z38" i="20"/>
  <c r="W39" i="20"/>
  <c r="X39" i="20"/>
  <c r="Y39" i="20"/>
  <c r="Z39" i="20"/>
  <c r="W40" i="20"/>
  <c r="X40" i="20"/>
  <c r="Y40" i="20"/>
  <c r="Z40" i="20"/>
  <c r="W41" i="20"/>
  <c r="X41" i="20"/>
  <c r="Y41" i="20"/>
  <c r="Z41" i="20"/>
  <c r="W42" i="20"/>
  <c r="X42" i="20"/>
  <c r="Y42" i="20"/>
  <c r="Z42" i="20"/>
  <c r="W43" i="20"/>
  <c r="X43" i="20"/>
  <c r="Y43" i="20"/>
  <c r="Z43" i="20"/>
  <c r="W44" i="20"/>
  <c r="X44" i="20"/>
  <c r="Y44" i="20"/>
  <c r="Z44" i="20"/>
  <c r="W45" i="20"/>
  <c r="X45" i="20"/>
  <c r="Y45" i="20"/>
  <c r="Z45" i="20"/>
  <c r="W46" i="20"/>
  <c r="X46" i="20"/>
  <c r="Y46" i="20"/>
  <c r="Z46" i="20"/>
  <c r="W2" i="20"/>
  <c r="X2" i="20"/>
  <c r="Y2" i="20"/>
  <c r="Z2" i="20"/>
  <c r="AC3" i="19"/>
  <c r="AD3" i="19"/>
  <c r="AE3" i="19"/>
  <c r="AF3" i="19"/>
  <c r="AC4" i="19"/>
  <c r="AD4" i="19"/>
  <c r="AE4" i="19"/>
  <c r="AF4" i="19"/>
  <c r="AC5" i="19"/>
  <c r="AD5" i="19"/>
  <c r="AE5" i="19"/>
  <c r="AF5" i="19"/>
  <c r="AC6" i="19"/>
  <c r="AD6" i="19"/>
  <c r="AE6" i="19"/>
  <c r="AF6" i="19"/>
  <c r="AC7" i="19"/>
  <c r="AD7" i="19"/>
  <c r="AE7" i="19"/>
  <c r="AF7" i="19"/>
  <c r="AC8" i="19"/>
  <c r="AD8" i="19"/>
  <c r="AE8" i="19"/>
  <c r="AF8" i="19"/>
  <c r="AC9" i="19"/>
  <c r="AD9" i="19"/>
  <c r="AE9" i="19"/>
  <c r="AF9" i="19"/>
  <c r="AC10" i="19"/>
  <c r="AD10" i="19"/>
  <c r="AE10" i="19"/>
  <c r="AF10" i="19"/>
  <c r="AC11" i="19"/>
  <c r="AD11" i="19"/>
  <c r="AE11" i="19"/>
  <c r="AF11" i="19"/>
  <c r="AC12" i="19"/>
  <c r="AD12" i="19"/>
  <c r="AE12" i="19"/>
  <c r="AF12" i="19"/>
  <c r="AC13" i="19"/>
  <c r="AD13" i="19"/>
  <c r="AE13" i="19"/>
  <c r="AF13" i="19"/>
  <c r="AC14" i="19"/>
  <c r="AD14" i="19"/>
  <c r="AE14" i="19"/>
  <c r="AF14" i="19"/>
  <c r="AC15" i="19"/>
  <c r="AD15" i="19"/>
  <c r="AE15" i="19"/>
  <c r="AF15" i="19"/>
  <c r="AC16" i="19"/>
  <c r="AD16" i="19"/>
  <c r="AE16" i="19"/>
  <c r="AF16" i="19"/>
  <c r="AC17" i="19"/>
  <c r="AD17" i="19"/>
  <c r="AE17" i="19"/>
  <c r="AF17" i="19"/>
  <c r="AC18" i="19"/>
  <c r="AD18" i="19"/>
  <c r="AE18" i="19"/>
  <c r="AF18" i="19"/>
  <c r="AC19" i="19"/>
  <c r="AD19" i="19"/>
  <c r="AE19" i="19"/>
  <c r="AF19" i="19"/>
  <c r="AC20" i="19"/>
  <c r="AD20" i="19"/>
  <c r="AE20" i="19"/>
  <c r="AF20" i="19"/>
  <c r="AC21" i="19"/>
  <c r="AD21" i="19"/>
  <c r="AE21" i="19"/>
  <c r="AF21" i="19"/>
  <c r="AC22" i="19"/>
  <c r="AD22" i="19"/>
  <c r="AE22" i="19"/>
  <c r="AF22" i="19"/>
  <c r="AC23" i="19"/>
  <c r="AD23" i="19"/>
  <c r="AE23" i="19"/>
  <c r="AF23" i="19"/>
  <c r="AC24" i="19"/>
  <c r="AD24" i="19"/>
  <c r="AE24" i="19"/>
  <c r="AF24" i="19"/>
  <c r="AC25" i="19"/>
  <c r="AD25" i="19"/>
  <c r="AE25" i="19"/>
  <c r="AF25" i="19"/>
  <c r="AC26" i="19"/>
  <c r="AD26" i="19"/>
  <c r="AE26" i="19"/>
  <c r="AF26" i="19"/>
  <c r="AC27" i="19"/>
  <c r="AD27" i="19"/>
  <c r="AE27" i="19"/>
  <c r="AF27" i="19"/>
  <c r="AC28" i="19"/>
  <c r="AD28" i="19"/>
  <c r="AE28" i="19"/>
  <c r="AF28" i="19"/>
  <c r="AC29" i="19"/>
  <c r="AD29" i="19"/>
  <c r="AE29" i="19"/>
  <c r="AF29" i="19"/>
  <c r="AC30" i="19"/>
  <c r="AD30" i="19"/>
  <c r="AE30" i="19"/>
  <c r="AF30" i="19"/>
  <c r="AC31" i="19"/>
  <c r="AD31" i="19"/>
  <c r="AE31" i="19"/>
  <c r="AF31" i="19"/>
  <c r="AC32" i="19"/>
  <c r="AD32" i="19"/>
  <c r="AE32" i="19"/>
  <c r="AF32" i="19"/>
  <c r="AC33" i="19"/>
  <c r="AD33" i="19"/>
  <c r="AE33" i="19"/>
  <c r="AF33" i="19"/>
  <c r="AC34" i="19"/>
  <c r="AD34" i="19"/>
  <c r="AE34" i="19"/>
  <c r="AF34" i="19"/>
  <c r="AC35" i="19"/>
  <c r="AD35" i="19"/>
  <c r="AE35" i="19"/>
  <c r="AF35" i="19"/>
  <c r="AC36" i="19"/>
  <c r="AD36" i="19"/>
  <c r="AE36" i="19"/>
  <c r="AF36" i="19"/>
  <c r="AA3" i="19"/>
  <c r="AA4" i="19"/>
  <c r="AA5" i="19"/>
  <c r="AA6" i="19"/>
  <c r="AA7" i="19"/>
  <c r="AA8" i="19"/>
  <c r="AA9" i="19"/>
  <c r="AA10" i="19"/>
  <c r="AA11" i="19"/>
  <c r="AA12" i="19"/>
  <c r="AA13" i="19"/>
  <c r="AA14" i="19"/>
  <c r="AA15" i="19"/>
  <c r="AA16" i="19"/>
  <c r="AA17" i="19"/>
  <c r="AA18" i="19"/>
  <c r="AA19" i="19"/>
  <c r="AA20" i="19"/>
  <c r="AA21" i="19"/>
  <c r="AA22" i="19"/>
  <c r="AA23" i="19"/>
  <c r="AA24" i="19"/>
  <c r="AA25" i="19"/>
  <c r="AA26" i="19"/>
  <c r="AA27" i="19"/>
  <c r="AA28" i="19"/>
  <c r="AA29" i="19"/>
  <c r="AA30" i="19"/>
  <c r="AA31" i="19"/>
  <c r="AA32" i="19"/>
  <c r="AA33" i="19"/>
  <c r="AA34" i="19"/>
  <c r="AA35" i="19"/>
  <c r="AA36" i="19"/>
  <c r="V3" i="19"/>
  <c r="W3" i="19"/>
  <c r="X3" i="19"/>
  <c r="Y3" i="19"/>
  <c r="V4" i="19"/>
  <c r="W4" i="19"/>
  <c r="X4" i="19"/>
  <c r="Y4" i="19"/>
  <c r="V5" i="19"/>
  <c r="W5" i="19"/>
  <c r="X5" i="19"/>
  <c r="Y5" i="19"/>
  <c r="V6" i="19"/>
  <c r="W6" i="19"/>
  <c r="X6" i="19"/>
  <c r="Y6" i="19"/>
  <c r="V7" i="19"/>
  <c r="W7" i="19"/>
  <c r="X7" i="19"/>
  <c r="Y7" i="19"/>
  <c r="V8" i="19"/>
  <c r="W8" i="19"/>
  <c r="X8" i="19"/>
  <c r="Y8" i="19"/>
  <c r="V9" i="19"/>
  <c r="W9" i="19"/>
  <c r="X9" i="19"/>
  <c r="Y9" i="19"/>
  <c r="V10" i="19"/>
  <c r="W10" i="19"/>
  <c r="X10" i="19"/>
  <c r="Y10" i="19"/>
  <c r="V11" i="19"/>
  <c r="W11" i="19"/>
  <c r="X11" i="19"/>
  <c r="Y11" i="19"/>
  <c r="V12" i="19"/>
  <c r="W12" i="19"/>
  <c r="X12" i="19"/>
  <c r="Y12" i="19"/>
  <c r="V13" i="19"/>
  <c r="W13" i="19"/>
  <c r="X13" i="19"/>
  <c r="Y13" i="19"/>
  <c r="V14" i="19"/>
  <c r="W14" i="19"/>
  <c r="X14" i="19"/>
  <c r="Y14" i="19"/>
  <c r="V15" i="19"/>
  <c r="W15" i="19"/>
  <c r="X15" i="19"/>
  <c r="Y15" i="19"/>
  <c r="V16" i="19"/>
  <c r="W16" i="19"/>
  <c r="X16" i="19"/>
  <c r="Y16" i="19"/>
  <c r="V17" i="19"/>
  <c r="W17" i="19"/>
  <c r="X17" i="19"/>
  <c r="Y17" i="19"/>
  <c r="V18" i="19"/>
  <c r="W18" i="19"/>
  <c r="X18" i="19"/>
  <c r="Y18" i="19"/>
  <c r="V19" i="19"/>
  <c r="W19" i="19"/>
  <c r="X19" i="19"/>
  <c r="Y19" i="19"/>
  <c r="V20" i="19"/>
  <c r="W20" i="19"/>
  <c r="X20" i="19"/>
  <c r="Y20" i="19"/>
  <c r="V21" i="19"/>
  <c r="W21" i="19"/>
  <c r="X21" i="19"/>
  <c r="Y21" i="19"/>
  <c r="V22" i="19"/>
  <c r="W22" i="19"/>
  <c r="X22" i="19"/>
  <c r="Y22" i="19"/>
  <c r="V23" i="19"/>
  <c r="W23" i="19"/>
  <c r="X23" i="19"/>
  <c r="Y23" i="19"/>
  <c r="V24" i="19"/>
  <c r="W24" i="19"/>
  <c r="X24" i="19"/>
  <c r="Y24" i="19"/>
  <c r="V25" i="19"/>
  <c r="W25" i="19"/>
  <c r="X25" i="19"/>
  <c r="Y25" i="19"/>
  <c r="V26" i="19"/>
  <c r="W26" i="19"/>
  <c r="X26" i="19"/>
  <c r="Y26" i="19"/>
  <c r="V27" i="19"/>
  <c r="W27" i="19"/>
  <c r="X27" i="19"/>
  <c r="Y27" i="19"/>
  <c r="V28" i="19"/>
  <c r="W28" i="19"/>
  <c r="X28" i="19"/>
  <c r="Y28" i="19"/>
  <c r="V29" i="19"/>
  <c r="W29" i="19"/>
  <c r="X29" i="19"/>
  <c r="Y29" i="19"/>
  <c r="V30" i="19"/>
  <c r="W30" i="19"/>
  <c r="X30" i="19"/>
  <c r="Y30" i="19"/>
  <c r="V31" i="19"/>
  <c r="W31" i="19"/>
  <c r="X31" i="19"/>
  <c r="Y31" i="19"/>
  <c r="V32" i="19"/>
  <c r="W32" i="19"/>
  <c r="X32" i="19"/>
  <c r="Y32" i="19"/>
  <c r="V33" i="19"/>
  <c r="W33" i="19"/>
  <c r="X33" i="19"/>
  <c r="Y33" i="19"/>
  <c r="V34" i="19"/>
  <c r="W34" i="19"/>
  <c r="X34" i="19"/>
  <c r="Y34" i="19"/>
  <c r="V35" i="19"/>
  <c r="W35" i="19"/>
  <c r="X35" i="19"/>
  <c r="Y35" i="19"/>
  <c r="V36" i="19"/>
  <c r="W36" i="19"/>
  <c r="X36" i="19"/>
  <c r="Y36" i="19"/>
  <c r="Z2" i="19"/>
  <c r="AC2" i="19"/>
  <c r="AD2" i="19"/>
  <c r="AE2" i="19"/>
  <c r="AF2" i="19"/>
  <c r="AA2" i="19"/>
  <c r="V2" i="19"/>
  <c r="W2" i="19"/>
  <c r="X2" i="19"/>
  <c r="Y2" i="19"/>
  <c r="Y2" i="14"/>
  <c r="W17" i="14"/>
  <c r="AB3" i="14"/>
  <c r="AC3" i="14"/>
  <c r="AD3" i="14"/>
  <c r="AE3" i="14"/>
  <c r="Z3" i="14"/>
  <c r="AB4" i="14"/>
  <c r="AC4" i="14"/>
  <c r="AD4" i="14"/>
  <c r="AE4" i="14"/>
  <c r="Z4" i="14"/>
  <c r="AB5" i="14"/>
  <c r="AC5" i="14"/>
  <c r="AD5" i="14"/>
  <c r="AE5" i="14"/>
  <c r="Z5" i="14"/>
  <c r="AB6" i="14"/>
  <c r="AC6" i="14"/>
  <c r="AD6" i="14"/>
  <c r="AE6" i="14"/>
  <c r="Z6" i="14"/>
  <c r="AB7" i="14"/>
  <c r="AC7" i="14"/>
  <c r="AD7" i="14"/>
  <c r="AE7" i="14"/>
  <c r="Z7" i="14"/>
  <c r="AB8" i="14"/>
  <c r="AC8" i="14"/>
  <c r="AD8" i="14"/>
  <c r="AE8" i="14"/>
  <c r="Z8" i="14"/>
  <c r="AB9" i="14"/>
  <c r="AC9" i="14"/>
  <c r="AD9" i="14"/>
  <c r="AE9" i="14"/>
  <c r="Z9" i="14"/>
  <c r="AB10" i="14"/>
  <c r="AC10" i="14"/>
  <c r="AD10" i="14"/>
  <c r="AE10" i="14"/>
  <c r="Z10" i="14"/>
  <c r="AB11" i="14"/>
  <c r="AC11" i="14"/>
  <c r="AD11" i="14"/>
  <c r="AE11" i="14"/>
  <c r="Z11" i="14"/>
  <c r="AB12" i="14"/>
  <c r="AC12" i="14"/>
  <c r="AD12" i="14"/>
  <c r="AE12" i="14"/>
  <c r="Z12" i="14"/>
  <c r="AB13" i="14"/>
  <c r="AC13" i="14"/>
  <c r="AD13" i="14"/>
  <c r="AE13" i="14"/>
  <c r="Z13" i="14"/>
  <c r="AB14" i="14"/>
  <c r="AC14" i="14"/>
  <c r="AD14" i="14"/>
  <c r="AE14" i="14"/>
  <c r="Z14" i="14"/>
  <c r="AB15" i="14"/>
  <c r="AC15" i="14"/>
  <c r="AD15" i="14"/>
  <c r="AE15" i="14"/>
  <c r="Z15" i="14"/>
  <c r="AB16" i="14"/>
  <c r="AC16" i="14"/>
  <c r="AD16" i="14"/>
  <c r="AE16" i="14"/>
  <c r="Z16" i="14"/>
  <c r="AB17" i="14"/>
  <c r="AC17" i="14"/>
  <c r="AD17" i="14"/>
  <c r="AE17" i="14"/>
  <c r="Z17" i="14"/>
  <c r="AB18" i="14"/>
  <c r="AC18" i="14"/>
  <c r="AD18" i="14"/>
  <c r="AE18" i="14"/>
  <c r="Z18" i="14"/>
  <c r="AB19" i="14"/>
  <c r="AC19" i="14"/>
  <c r="AD19" i="14"/>
  <c r="AE19" i="14"/>
  <c r="Z19" i="14"/>
  <c r="AB20" i="14"/>
  <c r="AC20" i="14"/>
  <c r="AD20" i="14"/>
  <c r="AE20" i="14"/>
  <c r="Z20" i="14"/>
  <c r="AB21" i="14"/>
  <c r="AC21" i="14"/>
  <c r="AD21" i="14"/>
  <c r="AE21" i="14"/>
  <c r="Z21" i="14"/>
  <c r="AB22" i="14"/>
  <c r="AC22" i="14"/>
  <c r="AD22" i="14"/>
  <c r="AE22" i="14"/>
  <c r="Z22" i="14"/>
  <c r="AB23" i="14"/>
  <c r="AC23" i="14"/>
  <c r="AD23" i="14"/>
  <c r="AE23" i="14"/>
  <c r="Z23" i="14"/>
  <c r="AB24" i="14"/>
  <c r="AC24" i="14"/>
  <c r="AD24" i="14"/>
  <c r="AE24" i="14"/>
  <c r="Z24" i="14"/>
  <c r="AB2" i="14"/>
  <c r="AC2" i="14"/>
  <c r="AD2" i="14"/>
  <c r="AE2" i="14"/>
  <c r="Z2" i="14"/>
  <c r="U3" i="14"/>
  <c r="V3" i="14"/>
  <c r="W3" i="14"/>
  <c r="X3" i="14"/>
  <c r="U4" i="14"/>
  <c r="V4" i="14"/>
  <c r="W4" i="14"/>
  <c r="X4" i="14"/>
  <c r="U5" i="14"/>
  <c r="V5" i="14"/>
  <c r="W5" i="14"/>
  <c r="X5" i="14"/>
  <c r="U6" i="14"/>
  <c r="V6" i="14"/>
  <c r="W6" i="14"/>
  <c r="X6" i="14"/>
  <c r="U7" i="14"/>
  <c r="V7" i="14"/>
  <c r="W7" i="14"/>
  <c r="X7" i="14"/>
  <c r="U8" i="14"/>
  <c r="V8" i="14"/>
  <c r="W8" i="14"/>
  <c r="X8" i="14"/>
  <c r="U9" i="14"/>
  <c r="V9" i="14"/>
  <c r="W9" i="14"/>
  <c r="X9" i="14"/>
  <c r="U10" i="14"/>
  <c r="V10" i="14"/>
  <c r="W10" i="14"/>
  <c r="X10" i="14"/>
  <c r="U11" i="14"/>
  <c r="V11" i="14"/>
  <c r="W11" i="14"/>
  <c r="X11" i="14"/>
  <c r="U12" i="14"/>
  <c r="V12" i="14"/>
  <c r="W12" i="14"/>
  <c r="X12" i="14"/>
  <c r="U13" i="14"/>
  <c r="V13" i="14"/>
  <c r="W13" i="14"/>
  <c r="X13" i="14"/>
  <c r="U14" i="14"/>
  <c r="V14" i="14"/>
  <c r="W14" i="14"/>
  <c r="X14" i="14"/>
  <c r="U15" i="14"/>
  <c r="V15" i="14"/>
  <c r="W15" i="14"/>
  <c r="X15" i="14"/>
  <c r="U16" i="14"/>
  <c r="V16" i="14"/>
  <c r="W16" i="14"/>
  <c r="X16" i="14"/>
  <c r="U17" i="14"/>
  <c r="V17" i="14"/>
  <c r="X17" i="14"/>
  <c r="U18" i="14"/>
  <c r="V18" i="14"/>
  <c r="W18" i="14"/>
  <c r="X18" i="14"/>
  <c r="U19" i="14"/>
  <c r="V19" i="14"/>
  <c r="W19" i="14"/>
  <c r="X19" i="14"/>
  <c r="U20" i="14"/>
  <c r="V20" i="14"/>
  <c r="W20" i="14"/>
  <c r="X20" i="14"/>
  <c r="U21" i="14"/>
  <c r="V21" i="14"/>
  <c r="W21" i="14"/>
  <c r="X21" i="14"/>
  <c r="U22" i="14"/>
  <c r="V22" i="14"/>
  <c r="W22" i="14"/>
  <c r="X22" i="14"/>
  <c r="U23" i="14"/>
  <c r="V23" i="14"/>
  <c r="W23" i="14"/>
  <c r="X23" i="14"/>
  <c r="U24" i="14"/>
  <c r="V24" i="14"/>
  <c r="W24" i="14"/>
  <c r="X24" i="14"/>
  <c r="U2" i="14"/>
  <c r="V2" i="14"/>
  <c r="W2" i="14"/>
  <c r="X2" i="14"/>
  <c r="Z2" i="15"/>
  <c r="AC13" i="15"/>
  <c r="AD13" i="15"/>
  <c r="AE13" i="15"/>
  <c r="AF13" i="15"/>
  <c r="AA13" i="15"/>
  <c r="AC3" i="15"/>
  <c r="AD3" i="15"/>
  <c r="AE3" i="15"/>
  <c r="AF3" i="15"/>
  <c r="AA3" i="15"/>
  <c r="AC4" i="15"/>
  <c r="AD4" i="15"/>
  <c r="AE4" i="15"/>
  <c r="AF4" i="15"/>
  <c r="AA4" i="15"/>
  <c r="AC5" i="15"/>
  <c r="AD5" i="15"/>
  <c r="AE5" i="15"/>
  <c r="AF5" i="15"/>
  <c r="AA5" i="15"/>
  <c r="AC6" i="15"/>
  <c r="AD6" i="15"/>
  <c r="AE6" i="15"/>
  <c r="AF6" i="15"/>
  <c r="AA6" i="15"/>
  <c r="AC7" i="15"/>
  <c r="AD7" i="15"/>
  <c r="AE7" i="15"/>
  <c r="AF7" i="15"/>
  <c r="AA7" i="15"/>
  <c r="AC8" i="15"/>
  <c r="AD8" i="15"/>
  <c r="AE8" i="15"/>
  <c r="AF8" i="15"/>
  <c r="AA8" i="15"/>
  <c r="AC9" i="15"/>
  <c r="AD9" i="15"/>
  <c r="AE9" i="15"/>
  <c r="AF9" i="15"/>
  <c r="AA9" i="15"/>
  <c r="AC10" i="15"/>
  <c r="AD10" i="15"/>
  <c r="AE10" i="15"/>
  <c r="AF10" i="15"/>
  <c r="AA10" i="15"/>
  <c r="AC11" i="15"/>
  <c r="AD11" i="15"/>
  <c r="AE11" i="15"/>
  <c r="AF11" i="15"/>
  <c r="AA11" i="15"/>
  <c r="AC12" i="15"/>
  <c r="AD12" i="15"/>
  <c r="AE12" i="15"/>
  <c r="AF12" i="15"/>
  <c r="AA12" i="15"/>
  <c r="AC2" i="15"/>
  <c r="AD2" i="15"/>
  <c r="AE2" i="15"/>
  <c r="AF2" i="15"/>
  <c r="AA2" i="15"/>
  <c r="V13" i="15"/>
  <c r="W13" i="15"/>
  <c r="X13" i="15"/>
  <c r="Y13" i="15"/>
  <c r="V3" i="15"/>
  <c r="W3" i="15"/>
  <c r="X3" i="15"/>
  <c r="Y3" i="15"/>
  <c r="V4" i="15"/>
  <c r="W4" i="15"/>
  <c r="X4" i="15"/>
  <c r="Y4" i="15"/>
  <c r="V5" i="15"/>
  <c r="W5" i="15"/>
  <c r="X5" i="15"/>
  <c r="Y5" i="15"/>
  <c r="V6" i="15"/>
  <c r="W6" i="15"/>
  <c r="X6" i="15"/>
  <c r="Y6" i="15"/>
  <c r="V7" i="15"/>
  <c r="W7" i="15"/>
  <c r="X7" i="15"/>
  <c r="Y7" i="15"/>
  <c r="V8" i="15"/>
  <c r="W8" i="15"/>
  <c r="X8" i="15"/>
  <c r="Y8" i="15"/>
  <c r="V9" i="15"/>
  <c r="W9" i="15"/>
  <c r="X9" i="15"/>
  <c r="Y9" i="15"/>
  <c r="V10" i="15"/>
  <c r="W10" i="15"/>
  <c r="X10" i="15"/>
  <c r="Y10" i="15"/>
  <c r="V11" i="15"/>
  <c r="W11" i="15"/>
  <c r="X11" i="15"/>
  <c r="Y11" i="15"/>
  <c r="V12" i="15"/>
  <c r="W12" i="15"/>
  <c r="X12" i="15"/>
  <c r="Y12" i="15"/>
  <c r="V2" i="15"/>
  <c r="W2" i="15"/>
  <c r="X2" i="15"/>
  <c r="Y2" i="15"/>
  <c r="AB2" i="8"/>
  <c r="AE3" i="8"/>
  <c r="AF3" i="8"/>
  <c r="AG3" i="8"/>
  <c r="AH3" i="8"/>
  <c r="AC3" i="8"/>
  <c r="AE4" i="8"/>
  <c r="AF4" i="8"/>
  <c r="AG4" i="8"/>
  <c r="AH4" i="8"/>
  <c r="AC4" i="8"/>
  <c r="AE5" i="8"/>
  <c r="AF5" i="8"/>
  <c r="AG5" i="8"/>
  <c r="AH5" i="8"/>
  <c r="AC5" i="8"/>
  <c r="AE6" i="8"/>
  <c r="AF6" i="8"/>
  <c r="AG6" i="8"/>
  <c r="AH6" i="8"/>
  <c r="AC6" i="8"/>
  <c r="AE7" i="8"/>
  <c r="AF7" i="8"/>
  <c r="AG7" i="8"/>
  <c r="AH7" i="8"/>
  <c r="AC7" i="8"/>
  <c r="AE8" i="8"/>
  <c r="AF8" i="8"/>
  <c r="AG8" i="8"/>
  <c r="AH8" i="8"/>
  <c r="AC8" i="8"/>
  <c r="AE9" i="8"/>
  <c r="AF9" i="8"/>
  <c r="AG9" i="8"/>
  <c r="AH9" i="8"/>
  <c r="AC9" i="8"/>
  <c r="AE10" i="8"/>
  <c r="AF10" i="8"/>
  <c r="AG10" i="8"/>
  <c r="AH10" i="8"/>
  <c r="AC10" i="8"/>
  <c r="AE11" i="8"/>
  <c r="AF11" i="8"/>
  <c r="AG11" i="8"/>
  <c r="AH11" i="8"/>
  <c r="AC11" i="8"/>
  <c r="AE12" i="8"/>
  <c r="AF12" i="8"/>
  <c r="AG12" i="8"/>
  <c r="AH12" i="8"/>
  <c r="AC12" i="8"/>
  <c r="AE13" i="8"/>
  <c r="AF13" i="8"/>
  <c r="AG13" i="8"/>
  <c r="AH13" i="8"/>
  <c r="AC13" i="8"/>
  <c r="AE14" i="8"/>
  <c r="AF14" i="8"/>
  <c r="AG14" i="8"/>
  <c r="AH14" i="8"/>
  <c r="AC14" i="8"/>
  <c r="AE15" i="8"/>
  <c r="AF15" i="8"/>
  <c r="AG15" i="8"/>
  <c r="AH15" i="8"/>
  <c r="AC15" i="8"/>
  <c r="AE16" i="8"/>
  <c r="AF16" i="8"/>
  <c r="AG16" i="8"/>
  <c r="AH16" i="8"/>
  <c r="AC16" i="8"/>
  <c r="AE17" i="8"/>
  <c r="AF17" i="8"/>
  <c r="AG17" i="8"/>
  <c r="AH17" i="8"/>
  <c r="AC17" i="8"/>
  <c r="AE18" i="8"/>
  <c r="AF18" i="8"/>
  <c r="AG18" i="8"/>
  <c r="AH18" i="8"/>
  <c r="AC18" i="8"/>
  <c r="AE19" i="8"/>
  <c r="AF19" i="8"/>
  <c r="AG19" i="8"/>
  <c r="AH19" i="8"/>
  <c r="AC19" i="8"/>
  <c r="AE20" i="8"/>
  <c r="AF20" i="8"/>
  <c r="AG20" i="8"/>
  <c r="AH20" i="8"/>
  <c r="AC20" i="8"/>
  <c r="AE21" i="8"/>
  <c r="AF21" i="8"/>
  <c r="AG21" i="8"/>
  <c r="AH21" i="8"/>
  <c r="AC21" i="8"/>
  <c r="AE22" i="8"/>
  <c r="AF22" i="8"/>
  <c r="AG22" i="8"/>
  <c r="AH22" i="8"/>
  <c r="AC22" i="8"/>
  <c r="AE23" i="8"/>
  <c r="AF23" i="8"/>
  <c r="AG23" i="8"/>
  <c r="AH23" i="8"/>
  <c r="AC23" i="8"/>
  <c r="AE24" i="8"/>
  <c r="AF24" i="8"/>
  <c r="AG24" i="8"/>
  <c r="AH24" i="8"/>
  <c r="AC24" i="8"/>
  <c r="AE25" i="8"/>
  <c r="AF25" i="8"/>
  <c r="AG25" i="8"/>
  <c r="AH25" i="8"/>
  <c r="AC25" i="8"/>
  <c r="AE26" i="8"/>
  <c r="AF26" i="8"/>
  <c r="AG26" i="8"/>
  <c r="AH26" i="8"/>
  <c r="AC26" i="8"/>
  <c r="AE27" i="8"/>
  <c r="AF27" i="8"/>
  <c r="AG27" i="8"/>
  <c r="AH27" i="8"/>
  <c r="AC27" i="8"/>
  <c r="AE28" i="8"/>
  <c r="AF28" i="8"/>
  <c r="AG28" i="8"/>
  <c r="AH28" i="8"/>
  <c r="AC28" i="8"/>
  <c r="AE29" i="8"/>
  <c r="AF29" i="8"/>
  <c r="AG29" i="8"/>
  <c r="AH29" i="8"/>
  <c r="AC29" i="8"/>
  <c r="AE30" i="8"/>
  <c r="AF30" i="8"/>
  <c r="AG30" i="8"/>
  <c r="AH30" i="8"/>
  <c r="AC30" i="8"/>
  <c r="AE31" i="8"/>
  <c r="AF31" i="8"/>
  <c r="AG31" i="8"/>
  <c r="AH31" i="8"/>
  <c r="AC31" i="8"/>
  <c r="AE32" i="8"/>
  <c r="AF32" i="8"/>
  <c r="AG32" i="8"/>
  <c r="AH32" i="8"/>
  <c r="AC32" i="8"/>
  <c r="AE33" i="8"/>
  <c r="AF33" i="8"/>
  <c r="AG33" i="8"/>
  <c r="AH33" i="8"/>
  <c r="AC33" i="8"/>
  <c r="AE34" i="8"/>
  <c r="AF34" i="8"/>
  <c r="AG34" i="8"/>
  <c r="AH34" i="8"/>
  <c r="AC34" i="8"/>
  <c r="AE35" i="8"/>
  <c r="AF35" i="8"/>
  <c r="AG35" i="8"/>
  <c r="AH35" i="8"/>
  <c r="AC35" i="8"/>
  <c r="AE36" i="8"/>
  <c r="AF36" i="8"/>
  <c r="AG36" i="8"/>
  <c r="AH36" i="8"/>
  <c r="AC36" i="8"/>
  <c r="AE37" i="8"/>
  <c r="AF37" i="8"/>
  <c r="AG37" i="8"/>
  <c r="AH37" i="8"/>
  <c r="AC37" i="8"/>
  <c r="AE38" i="8"/>
  <c r="AF38" i="8"/>
  <c r="AG38" i="8"/>
  <c r="AH38" i="8"/>
  <c r="AC38" i="8"/>
  <c r="AE39" i="8"/>
  <c r="AF39" i="8"/>
  <c r="AG39" i="8"/>
  <c r="AH39" i="8"/>
  <c r="AC39" i="8"/>
  <c r="AE40" i="8"/>
  <c r="AF40" i="8"/>
  <c r="AG40" i="8"/>
  <c r="AH40" i="8"/>
  <c r="AC40" i="8"/>
  <c r="AE41" i="8"/>
  <c r="AF41" i="8"/>
  <c r="AG41" i="8"/>
  <c r="AH41" i="8"/>
  <c r="AC41" i="8"/>
  <c r="AE42" i="8"/>
  <c r="AF42" i="8"/>
  <c r="AG42" i="8"/>
  <c r="AH42" i="8"/>
  <c r="AC42" i="8"/>
  <c r="AE43" i="8"/>
  <c r="AF43" i="8"/>
  <c r="AG43" i="8"/>
  <c r="AH43" i="8"/>
  <c r="AC43" i="8"/>
  <c r="AE44" i="8"/>
  <c r="AF44" i="8"/>
  <c r="AG44" i="8"/>
  <c r="AH44" i="8"/>
  <c r="AC44" i="8"/>
  <c r="AE2" i="8"/>
  <c r="AF2" i="8"/>
  <c r="AG2" i="8"/>
  <c r="AH2" i="8"/>
  <c r="AC2" i="8"/>
  <c r="X3" i="8"/>
  <c r="Y3" i="8"/>
  <c r="Z3" i="8"/>
  <c r="AA3" i="8"/>
  <c r="X4" i="8"/>
  <c r="Y4" i="8"/>
  <c r="Z4" i="8"/>
  <c r="AA4" i="8"/>
  <c r="X5" i="8"/>
  <c r="Y5" i="8"/>
  <c r="Z5" i="8"/>
  <c r="AA5" i="8"/>
  <c r="X6" i="8"/>
  <c r="Y6" i="8"/>
  <c r="Z6" i="8"/>
  <c r="AA6" i="8"/>
  <c r="X7" i="8"/>
  <c r="Y7" i="8"/>
  <c r="Z7" i="8"/>
  <c r="AA7" i="8"/>
  <c r="X8" i="8"/>
  <c r="Y8" i="8"/>
  <c r="Z8" i="8"/>
  <c r="AA8" i="8"/>
  <c r="X9" i="8"/>
  <c r="Y9" i="8"/>
  <c r="Z9" i="8"/>
  <c r="AA9" i="8"/>
  <c r="X10" i="8"/>
  <c r="Y10" i="8"/>
  <c r="Z10" i="8"/>
  <c r="AA10" i="8"/>
  <c r="X11" i="8"/>
  <c r="Y11" i="8"/>
  <c r="Z11" i="8"/>
  <c r="AA11" i="8"/>
  <c r="X12" i="8"/>
  <c r="Y12" i="8"/>
  <c r="Z12" i="8"/>
  <c r="AA12" i="8"/>
  <c r="X13" i="8"/>
  <c r="Y13" i="8"/>
  <c r="Z13" i="8"/>
  <c r="AA13" i="8"/>
  <c r="X14" i="8"/>
  <c r="Y14" i="8"/>
  <c r="Z14" i="8"/>
  <c r="AA14" i="8"/>
  <c r="X15" i="8"/>
  <c r="Y15" i="8"/>
  <c r="Z15" i="8"/>
  <c r="AA15" i="8"/>
  <c r="X16" i="8"/>
  <c r="Y16" i="8"/>
  <c r="Z16" i="8"/>
  <c r="AA16" i="8"/>
  <c r="X17" i="8"/>
  <c r="Y17" i="8"/>
  <c r="Z17" i="8"/>
  <c r="AA17" i="8"/>
  <c r="X18" i="8"/>
  <c r="Y18" i="8"/>
  <c r="Z18" i="8"/>
  <c r="AA18" i="8"/>
  <c r="X19" i="8"/>
  <c r="Y19" i="8"/>
  <c r="Z19" i="8"/>
  <c r="AA19" i="8"/>
  <c r="X20" i="8"/>
  <c r="Y20" i="8"/>
  <c r="Z20" i="8"/>
  <c r="AA20" i="8"/>
  <c r="X21" i="8"/>
  <c r="Y21" i="8"/>
  <c r="Z21" i="8"/>
  <c r="AA21" i="8"/>
  <c r="X22" i="8"/>
  <c r="Y22" i="8"/>
  <c r="Z22" i="8"/>
  <c r="AA22" i="8"/>
  <c r="X23" i="8"/>
  <c r="Y23" i="8"/>
  <c r="Z23" i="8"/>
  <c r="AA23" i="8"/>
  <c r="X24" i="8"/>
  <c r="Y24" i="8"/>
  <c r="Z24" i="8"/>
  <c r="AA24" i="8"/>
  <c r="X25" i="8"/>
  <c r="Y25" i="8"/>
  <c r="Z25" i="8"/>
  <c r="AA25" i="8"/>
  <c r="X26" i="8"/>
  <c r="Y26" i="8"/>
  <c r="Z26" i="8"/>
  <c r="AA26" i="8"/>
  <c r="X27" i="8"/>
  <c r="Y27" i="8"/>
  <c r="Z27" i="8"/>
  <c r="AA27" i="8"/>
  <c r="X28" i="8"/>
  <c r="Y28" i="8"/>
  <c r="Z28" i="8"/>
  <c r="AA28" i="8"/>
  <c r="X29" i="8"/>
  <c r="Y29" i="8"/>
  <c r="Z29" i="8"/>
  <c r="AA29" i="8"/>
  <c r="X30" i="8"/>
  <c r="Y30" i="8"/>
  <c r="Z30" i="8"/>
  <c r="AA30" i="8"/>
  <c r="X31" i="8"/>
  <c r="Y31" i="8"/>
  <c r="Z31" i="8"/>
  <c r="AA31" i="8"/>
  <c r="X32" i="8"/>
  <c r="Y32" i="8"/>
  <c r="Z32" i="8"/>
  <c r="AA32" i="8"/>
  <c r="X33" i="8"/>
  <c r="Y33" i="8"/>
  <c r="Z33" i="8"/>
  <c r="AA33" i="8"/>
  <c r="X34" i="8"/>
  <c r="Y34" i="8"/>
  <c r="Z34" i="8"/>
  <c r="AA34" i="8"/>
  <c r="X35" i="8"/>
  <c r="Y35" i="8"/>
  <c r="Z35" i="8"/>
  <c r="AA35" i="8"/>
  <c r="X36" i="8"/>
  <c r="Y36" i="8"/>
  <c r="Z36" i="8"/>
  <c r="AA36" i="8"/>
  <c r="X37" i="8"/>
  <c r="Y37" i="8"/>
  <c r="Z37" i="8"/>
  <c r="AA37" i="8"/>
  <c r="X38" i="8"/>
  <c r="Y38" i="8"/>
  <c r="Z38" i="8"/>
  <c r="AA38" i="8"/>
  <c r="X39" i="8"/>
  <c r="Y39" i="8"/>
  <c r="Z39" i="8"/>
  <c r="AA39" i="8"/>
  <c r="X40" i="8"/>
  <c r="Y40" i="8"/>
  <c r="Z40" i="8"/>
  <c r="AA40" i="8"/>
  <c r="X41" i="8"/>
  <c r="Y41" i="8"/>
  <c r="Z41" i="8"/>
  <c r="AA41" i="8"/>
  <c r="X42" i="8"/>
  <c r="Y42" i="8"/>
  <c r="Z42" i="8"/>
  <c r="AA42" i="8"/>
  <c r="X43" i="8"/>
  <c r="Y43" i="8"/>
  <c r="Z43" i="8"/>
  <c r="AA43" i="8"/>
  <c r="X44" i="8"/>
  <c r="Y44" i="8"/>
  <c r="Z44" i="8"/>
  <c r="AA44" i="8"/>
  <c r="X2" i="8"/>
  <c r="Y2" i="8"/>
  <c r="Z2" i="8"/>
  <c r="AA2" i="8"/>
  <c r="C276" i="17"/>
  <c r="D276" i="17"/>
  <c r="E276" i="17"/>
  <c r="F276" i="17"/>
  <c r="G276" i="17"/>
  <c r="B240" i="6"/>
  <c r="B241" i="6"/>
  <c r="B242" i="6"/>
  <c r="B243" i="6"/>
  <c r="B244" i="6"/>
  <c r="B245" i="6"/>
  <c r="B246" i="6"/>
  <c r="B247" i="6"/>
  <c r="B248" i="6"/>
  <c r="B249" i="6"/>
  <c r="B250" i="6"/>
  <c r="B251" i="6"/>
  <c r="B252" i="6"/>
  <c r="B253" i="6"/>
  <c r="B254" i="6"/>
  <c r="B255" i="6"/>
  <c r="B256" i="6"/>
  <c r="B258" i="6"/>
  <c r="B259" i="6"/>
  <c r="B260" i="6"/>
  <c r="B261" i="6"/>
  <c r="B262" i="6"/>
  <c r="B263" i="6"/>
  <c r="B264" i="6"/>
  <c r="B265" i="6"/>
  <c r="B266" i="6"/>
  <c r="B267" i="6"/>
  <c r="B268" i="6"/>
  <c r="B269" i="6"/>
  <c r="B270" i="6"/>
  <c r="B271" i="6"/>
  <c r="B272" i="6"/>
  <c r="B273" i="6"/>
  <c r="B274" i="6"/>
  <c r="B275" i="6"/>
  <c r="B276" i="6"/>
  <c r="B277" i="6"/>
  <c r="B278" i="6"/>
  <c r="B279" i="6"/>
  <c r="B280" i="6"/>
  <c r="B281" i="6"/>
  <c r="B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39" i="6"/>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56" i="2"/>
  <c r="B256" i="2"/>
  <c r="E373" i="17"/>
  <c r="F373" i="17"/>
  <c r="G373" i="17"/>
  <c r="E374" i="17"/>
  <c r="F374" i="17"/>
  <c r="G374" i="17"/>
  <c r="E375" i="17"/>
  <c r="F375" i="17"/>
  <c r="G375" i="17"/>
  <c r="E376" i="17"/>
  <c r="F376" i="17"/>
  <c r="G376" i="17"/>
  <c r="E377" i="17"/>
  <c r="F377" i="17"/>
  <c r="G377" i="17"/>
  <c r="E378" i="17"/>
  <c r="F378" i="17"/>
  <c r="G378" i="17"/>
  <c r="E379" i="17"/>
  <c r="F379" i="17"/>
  <c r="G379" i="17"/>
  <c r="E380" i="17"/>
  <c r="F380" i="17"/>
  <c r="G380" i="17"/>
  <c r="E381" i="17"/>
  <c r="F381" i="17"/>
  <c r="G381" i="17"/>
  <c r="E382" i="17"/>
  <c r="F382" i="17"/>
  <c r="G382" i="17"/>
  <c r="E383" i="17"/>
  <c r="F383" i="17"/>
  <c r="G383" i="17"/>
  <c r="E384" i="17"/>
  <c r="F384" i="17"/>
  <c r="G384" i="17"/>
  <c r="E385" i="17"/>
  <c r="F385" i="17"/>
  <c r="G385" i="17"/>
  <c r="E386" i="17"/>
  <c r="F386" i="17"/>
  <c r="G386" i="17"/>
  <c r="E387" i="17"/>
  <c r="F387" i="17"/>
  <c r="G387" i="17"/>
  <c r="E388" i="17"/>
  <c r="F388" i="17"/>
  <c r="G388" i="17"/>
  <c r="E389" i="17"/>
  <c r="F389" i="17"/>
  <c r="G389" i="17"/>
  <c r="E390" i="17"/>
  <c r="F390" i="17"/>
  <c r="G390" i="17"/>
  <c r="E391" i="17"/>
  <c r="F391" i="17"/>
  <c r="G391" i="17"/>
  <c r="E392" i="17"/>
  <c r="F392" i="17"/>
  <c r="G392" i="17"/>
  <c r="E393" i="17"/>
  <c r="F393" i="17"/>
  <c r="G393" i="17"/>
  <c r="E394" i="17"/>
  <c r="F394" i="17"/>
  <c r="G394" i="17"/>
  <c r="E395" i="17"/>
  <c r="F395" i="17"/>
  <c r="G395" i="17"/>
  <c r="E396" i="17"/>
  <c r="F396" i="17"/>
  <c r="G396" i="17"/>
  <c r="E397" i="17"/>
  <c r="F397" i="17"/>
  <c r="G397" i="17"/>
  <c r="E398" i="17"/>
  <c r="F398" i="17"/>
  <c r="G398" i="17"/>
  <c r="E399" i="17"/>
  <c r="F399" i="17"/>
  <c r="G399" i="17"/>
  <c r="E400" i="17"/>
  <c r="F400" i="17"/>
  <c r="G400" i="17"/>
  <c r="E401" i="17"/>
  <c r="F401" i="17"/>
  <c r="G401" i="17"/>
  <c r="E402" i="17"/>
  <c r="F402" i="17"/>
  <c r="G402" i="17"/>
  <c r="E403" i="17"/>
  <c r="F403" i="17"/>
  <c r="G403" i="17"/>
  <c r="E404" i="17"/>
  <c r="F404" i="17"/>
  <c r="G404" i="17"/>
  <c r="E405" i="17"/>
  <c r="F405" i="17"/>
  <c r="G405" i="17"/>
  <c r="E406" i="17"/>
  <c r="F406" i="17"/>
  <c r="G406" i="17"/>
  <c r="E407" i="17"/>
  <c r="F407" i="17"/>
  <c r="G407" i="17"/>
  <c r="E408" i="17"/>
  <c r="F408" i="17"/>
  <c r="G408" i="17"/>
  <c r="E409" i="17"/>
  <c r="F409" i="17"/>
  <c r="G409" i="17"/>
  <c r="E410" i="17"/>
  <c r="F410" i="17"/>
  <c r="G410" i="17"/>
  <c r="E411" i="17"/>
  <c r="F411" i="17"/>
  <c r="G411" i="17"/>
  <c r="E412" i="17"/>
  <c r="F412" i="17"/>
  <c r="G412" i="17"/>
  <c r="E413" i="17"/>
  <c r="F413" i="17"/>
  <c r="G413" i="17"/>
  <c r="E414" i="17"/>
  <c r="F414" i="17"/>
  <c r="G414" i="17"/>
  <c r="E415" i="17"/>
  <c r="F415" i="17"/>
  <c r="G415" i="17"/>
  <c r="E416" i="17"/>
  <c r="F416" i="17"/>
  <c r="G416" i="17"/>
  <c r="F372" i="17"/>
  <c r="G372" i="17"/>
  <c r="E372" i="17"/>
  <c r="D372" i="17"/>
  <c r="D373" i="17"/>
  <c r="D374" i="17"/>
  <c r="D375" i="17"/>
  <c r="D376" i="17"/>
  <c r="D377" i="17"/>
  <c r="D378" i="17"/>
  <c r="D379" i="17"/>
  <c r="D380" i="17"/>
  <c r="D381" i="17"/>
  <c r="D382" i="17"/>
  <c r="D383" i="17"/>
  <c r="D384" i="17"/>
  <c r="D385" i="17"/>
  <c r="D386" i="17"/>
  <c r="D387" i="17"/>
  <c r="D388" i="17"/>
  <c r="D389" i="17"/>
  <c r="D390" i="17"/>
  <c r="D391" i="17"/>
  <c r="D392" i="17"/>
  <c r="D393" i="17"/>
  <c r="D394" i="17"/>
  <c r="D395" i="17"/>
  <c r="D396" i="17"/>
  <c r="D397" i="17"/>
  <c r="D398" i="17"/>
  <c r="D399" i="17"/>
  <c r="D400" i="17"/>
  <c r="D401" i="17"/>
  <c r="D402" i="17"/>
  <c r="D403" i="17"/>
  <c r="D404" i="17"/>
  <c r="D405" i="17"/>
  <c r="D406" i="17"/>
  <c r="D407" i="17"/>
  <c r="D408" i="17"/>
  <c r="D409" i="17"/>
  <c r="D410" i="17"/>
  <c r="D411" i="17"/>
  <c r="D412" i="17"/>
  <c r="D413" i="17"/>
  <c r="D414" i="17"/>
  <c r="D415" i="17"/>
  <c r="D416" i="17"/>
  <c r="B372" i="17"/>
  <c r="C372" i="17"/>
  <c r="B373" i="17"/>
  <c r="C373" i="17"/>
  <c r="B374" i="17"/>
  <c r="C374" i="17"/>
  <c r="B375" i="17"/>
  <c r="C375" i="17"/>
  <c r="B376" i="17"/>
  <c r="C376" i="17"/>
  <c r="B377" i="17"/>
  <c r="C377" i="17"/>
  <c r="B378" i="17"/>
  <c r="C378" i="17"/>
  <c r="B379" i="17"/>
  <c r="C379" i="17"/>
  <c r="B380" i="17"/>
  <c r="C380" i="17"/>
  <c r="B381" i="17"/>
  <c r="C381" i="17"/>
  <c r="B382" i="17"/>
  <c r="C382" i="17"/>
  <c r="B383" i="17"/>
  <c r="C383" i="17"/>
  <c r="B384" i="17"/>
  <c r="C384" i="17"/>
  <c r="B385" i="17"/>
  <c r="C385" i="17"/>
  <c r="B386" i="17"/>
  <c r="C386" i="17"/>
  <c r="B387" i="17"/>
  <c r="C387" i="17"/>
  <c r="B388" i="17"/>
  <c r="C388" i="17"/>
  <c r="B389" i="17"/>
  <c r="C389" i="17"/>
  <c r="B390" i="17"/>
  <c r="C390" i="17"/>
  <c r="B391" i="17"/>
  <c r="C391" i="17"/>
  <c r="B392" i="17"/>
  <c r="C392" i="17"/>
  <c r="B393" i="17"/>
  <c r="C393" i="17"/>
  <c r="B394" i="17"/>
  <c r="C394" i="17"/>
  <c r="B395" i="17"/>
  <c r="C395" i="17"/>
  <c r="B396" i="17"/>
  <c r="C396" i="17"/>
  <c r="B397" i="17"/>
  <c r="C397" i="17"/>
  <c r="B398" i="17"/>
  <c r="C398" i="17"/>
  <c r="B399" i="17"/>
  <c r="C399" i="17"/>
  <c r="B400" i="17"/>
  <c r="C400" i="17"/>
  <c r="B401" i="17"/>
  <c r="C401" i="17"/>
  <c r="B402" i="17"/>
  <c r="C402" i="17"/>
  <c r="B403" i="17"/>
  <c r="C403" i="17"/>
  <c r="B404" i="17"/>
  <c r="C404" i="17"/>
  <c r="B405" i="17"/>
  <c r="C405" i="17"/>
  <c r="B406" i="17"/>
  <c r="C406" i="17"/>
  <c r="B407" i="17"/>
  <c r="C407" i="17"/>
  <c r="B408" i="17"/>
  <c r="C408" i="17"/>
  <c r="B409" i="17"/>
  <c r="C409" i="17"/>
  <c r="B410" i="17"/>
  <c r="C410" i="17"/>
  <c r="B411" i="17"/>
  <c r="C411" i="17"/>
  <c r="B412" i="17"/>
  <c r="C412" i="17"/>
  <c r="B413" i="17"/>
  <c r="C413" i="17"/>
  <c r="B414" i="17"/>
  <c r="C414" i="17"/>
  <c r="B415" i="17"/>
  <c r="C415" i="17"/>
  <c r="B416" i="17"/>
  <c r="C416" i="17"/>
  <c r="D335" i="17"/>
  <c r="E335" i="17"/>
  <c r="D336" i="17"/>
  <c r="E336" i="17"/>
  <c r="D337" i="17"/>
  <c r="E337" i="17"/>
  <c r="D338" i="17"/>
  <c r="E338" i="17"/>
  <c r="D339" i="17"/>
  <c r="E339" i="17"/>
  <c r="D340" i="17"/>
  <c r="E340" i="17"/>
  <c r="D341" i="17"/>
  <c r="E341" i="17"/>
  <c r="D342" i="17"/>
  <c r="E342" i="17"/>
  <c r="D343" i="17"/>
  <c r="E343" i="17"/>
  <c r="D344" i="17"/>
  <c r="E344" i="17"/>
  <c r="D345" i="17"/>
  <c r="E345" i="17"/>
  <c r="D346" i="17"/>
  <c r="E346" i="17"/>
  <c r="D347" i="17"/>
  <c r="E347" i="17"/>
  <c r="D348" i="17"/>
  <c r="E348" i="17"/>
  <c r="D349" i="17"/>
  <c r="E349" i="17"/>
  <c r="D350" i="17"/>
  <c r="E350" i="17"/>
  <c r="D351" i="17"/>
  <c r="E351" i="17"/>
  <c r="D352" i="17"/>
  <c r="E352" i="17"/>
  <c r="D353" i="17"/>
  <c r="E353" i="17"/>
  <c r="D354" i="17"/>
  <c r="E354" i="17"/>
  <c r="D355" i="17"/>
  <c r="E355" i="17"/>
  <c r="D356" i="17"/>
  <c r="E356" i="17"/>
  <c r="D357" i="17"/>
  <c r="E357" i="17"/>
  <c r="D358" i="17"/>
  <c r="E358" i="17"/>
  <c r="D359" i="17"/>
  <c r="E359" i="17"/>
  <c r="D360" i="17"/>
  <c r="E360" i="17"/>
  <c r="D361" i="17"/>
  <c r="E361" i="17"/>
  <c r="D362" i="17"/>
  <c r="E362" i="17"/>
  <c r="D363" i="17"/>
  <c r="E363" i="17"/>
  <c r="D364" i="17"/>
  <c r="E364" i="17"/>
  <c r="D365" i="17"/>
  <c r="E365" i="17"/>
  <c r="D366" i="17"/>
  <c r="E366" i="17"/>
  <c r="D367" i="17"/>
  <c r="E367" i="17"/>
  <c r="D368" i="17"/>
  <c r="E368" i="17"/>
  <c r="D369" i="17"/>
  <c r="E369" i="17"/>
  <c r="C369" i="17"/>
  <c r="C368" i="17"/>
  <c r="C367" i="17"/>
  <c r="C366" i="17"/>
  <c r="C365" i="17"/>
  <c r="C364" i="17"/>
  <c r="C363" i="17"/>
  <c r="C362" i="17"/>
  <c r="C361" i="17"/>
  <c r="C360" i="17"/>
  <c r="C359" i="17"/>
  <c r="C358" i="17"/>
  <c r="C357" i="17"/>
  <c r="C356" i="17"/>
  <c r="C355" i="17"/>
  <c r="C354" i="17"/>
  <c r="C353" i="17"/>
  <c r="C352" i="17"/>
  <c r="C351" i="17"/>
  <c r="C350" i="17"/>
  <c r="C349" i="17"/>
  <c r="C348" i="17"/>
  <c r="C347" i="17"/>
  <c r="C346" i="17"/>
  <c r="C345" i="17"/>
  <c r="C344" i="17"/>
  <c r="C343" i="17"/>
  <c r="C342" i="17"/>
  <c r="C341" i="17"/>
  <c r="C340" i="17"/>
  <c r="C339" i="17"/>
  <c r="C338" i="17"/>
  <c r="C337" i="17"/>
  <c r="C336" i="17"/>
  <c r="C335" i="17"/>
  <c r="E310" i="17"/>
  <c r="E311" i="17"/>
  <c r="E312" i="17"/>
  <c r="E313" i="17"/>
  <c r="E314" i="17"/>
  <c r="E315" i="17"/>
  <c r="E316" i="17"/>
  <c r="E317" i="17"/>
  <c r="E318" i="17"/>
  <c r="E319" i="17"/>
  <c r="E320" i="17"/>
  <c r="E321" i="17"/>
  <c r="E322" i="17"/>
  <c r="E323" i="17"/>
  <c r="E324" i="17"/>
  <c r="E325" i="17"/>
  <c r="E326" i="17"/>
  <c r="E327" i="17"/>
  <c r="E328" i="17"/>
  <c r="E329" i="17"/>
  <c r="E330" i="17"/>
  <c r="E331" i="17"/>
  <c r="E332" i="17"/>
  <c r="C311" i="17"/>
  <c r="D311" i="17"/>
  <c r="C312" i="17"/>
  <c r="D312" i="17"/>
  <c r="C313" i="17"/>
  <c r="D313" i="17"/>
  <c r="C314" i="17"/>
  <c r="D314" i="17"/>
  <c r="C315" i="17"/>
  <c r="D315" i="17"/>
  <c r="C316" i="17"/>
  <c r="D316" i="17"/>
  <c r="C317" i="17"/>
  <c r="D317" i="17"/>
  <c r="C318" i="17"/>
  <c r="D318" i="17"/>
  <c r="C319" i="17"/>
  <c r="D319" i="17"/>
  <c r="C320" i="17"/>
  <c r="D320" i="17"/>
  <c r="C321" i="17"/>
  <c r="D321" i="17"/>
  <c r="C322" i="17"/>
  <c r="D322" i="17"/>
  <c r="C323" i="17"/>
  <c r="D323" i="17"/>
  <c r="C324" i="17"/>
  <c r="D324" i="17"/>
  <c r="C325" i="17"/>
  <c r="D325" i="17"/>
  <c r="C326" i="17"/>
  <c r="D326" i="17"/>
  <c r="C327" i="17"/>
  <c r="D327" i="17"/>
  <c r="C328" i="17"/>
  <c r="D328" i="17"/>
  <c r="C329" i="17"/>
  <c r="D329" i="17"/>
  <c r="C330" i="17"/>
  <c r="D330" i="17"/>
  <c r="C331" i="17"/>
  <c r="D331" i="17"/>
  <c r="C332" i="17"/>
  <c r="D332" i="17"/>
  <c r="D310" i="17"/>
  <c r="C310" i="17"/>
  <c r="D297" i="17"/>
  <c r="E297" i="17"/>
  <c r="D298" i="17"/>
  <c r="E298" i="17"/>
  <c r="D299" i="17"/>
  <c r="E299" i="17"/>
  <c r="D300" i="17"/>
  <c r="E300" i="17"/>
  <c r="D301" i="17"/>
  <c r="E301" i="17"/>
  <c r="D302" i="17"/>
  <c r="E302" i="17"/>
  <c r="D303" i="17"/>
  <c r="E303" i="17"/>
  <c r="D304" i="17"/>
  <c r="D17" i="17" s="1"/>
  <c r="H17" i="1" s="1"/>
  <c r="E304" i="17"/>
  <c r="D305" i="17"/>
  <c r="E305" i="17"/>
  <c r="D306" i="17"/>
  <c r="E306" i="17"/>
  <c r="D307" i="17"/>
  <c r="E307" i="17"/>
  <c r="E296" i="17"/>
  <c r="D296" i="17"/>
  <c r="C307" i="17"/>
  <c r="C306" i="17"/>
  <c r="C305" i="17"/>
  <c r="C304" i="17"/>
  <c r="C303" i="17"/>
  <c r="C302" i="17"/>
  <c r="C301" i="17"/>
  <c r="C300" i="17"/>
  <c r="C299" i="17"/>
  <c r="C298" i="17"/>
  <c r="C297" i="17"/>
  <c r="C296" i="17"/>
  <c r="C225" i="17"/>
  <c r="D225" i="17"/>
  <c r="E225" i="17"/>
  <c r="C226" i="17"/>
  <c r="D226" i="17"/>
  <c r="E226" i="17"/>
  <c r="C227" i="17"/>
  <c r="D227" i="17"/>
  <c r="E227" i="17"/>
  <c r="C228" i="17"/>
  <c r="D228" i="17"/>
  <c r="E228" i="17"/>
  <c r="C229" i="17"/>
  <c r="D229" i="17"/>
  <c r="E229" i="17"/>
  <c r="C230" i="17"/>
  <c r="D230" i="17"/>
  <c r="E230" i="17"/>
  <c r="C231" i="17"/>
  <c r="D231" i="17"/>
  <c r="E231" i="17"/>
  <c r="C232" i="17"/>
  <c r="D232" i="17"/>
  <c r="E232" i="17"/>
  <c r="C233" i="17"/>
  <c r="D233" i="17"/>
  <c r="E233" i="17"/>
  <c r="C234" i="17"/>
  <c r="D234" i="17"/>
  <c r="E234" i="17"/>
  <c r="C235" i="17"/>
  <c r="D235" i="17"/>
  <c r="E235" i="17"/>
  <c r="C236" i="17"/>
  <c r="D236" i="17"/>
  <c r="E236" i="17"/>
  <c r="C237" i="17"/>
  <c r="D237" i="17"/>
  <c r="E237" i="17"/>
  <c r="C238" i="17"/>
  <c r="D238" i="17"/>
  <c r="E238" i="17"/>
  <c r="C239" i="17"/>
  <c r="D239" i="17"/>
  <c r="E239" i="17"/>
  <c r="C240" i="17"/>
  <c r="D240" i="17"/>
  <c r="E240" i="17"/>
  <c r="C241" i="17"/>
  <c r="D241" i="17"/>
  <c r="E241" i="17"/>
  <c r="C242" i="17"/>
  <c r="D242" i="17"/>
  <c r="E242" i="17"/>
  <c r="C243" i="17"/>
  <c r="D243" i="17"/>
  <c r="E243" i="17"/>
  <c r="C244" i="17"/>
  <c r="D244" i="17"/>
  <c r="E244" i="17"/>
  <c r="C245" i="17"/>
  <c r="D245" i="17"/>
  <c r="E245" i="17"/>
  <c r="C246" i="17"/>
  <c r="D246" i="17"/>
  <c r="E246" i="17"/>
  <c r="C247" i="17"/>
  <c r="D247" i="17"/>
  <c r="E247" i="17"/>
  <c r="C248" i="17"/>
  <c r="D248" i="17"/>
  <c r="E248" i="17"/>
  <c r="D224" i="17"/>
  <c r="E224" i="17"/>
  <c r="C224" i="17"/>
  <c r="C162" i="17"/>
  <c r="D162" i="17"/>
  <c r="C163" i="17"/>
  <c r="D163" i="17"/>
  <c r="C164" i="17"/>
  <c r="D164" i="17"/>
  <c r="C165" i="17"/>
  <c r="D165" i="17"/>
  <c r="C166" i="17"/>
  <c r="D166" i="17"/>
  <c r="C167" i="17"/>
  <c r="D167" i="17"/>
  <c r="C168" i="17"/>
  <c r="D168" i="17"/>
  <c r="C169" i="17"/>
  <c r="D169" i="17"/>
  <c r="C170" i="17"/>
  <c r="D170" i="17"/>
  <c r="C171" i="17"/>
  <c r="D171" i="17"/>
  <c r="C172" i="17"/>
  <c r="D172" i="17"/>
  <c r="C173" i="17"/>
  <c r="D173" i="17"/>
  <c r="C174" i="17"/>
  <c r="D174" i="17"/>
  <c r="C175" i="17"/>
  <c r="D175" i="17"/>
  <c r="C176" i="17"/>
  <c r="D176" i="17"/>
  <c r="C177" i="17"/>
  <c r="D177" i="17"/>
  <c r="C178" i="17"/>
  <c r="D178" i="17"/>
  <c r="C179" i="17"/>
  <c r="D179" i="17"/>
  <c r="C180" i="17"/>
  <c r="D180" i="17"/>
  <c r="C181" i="17"/>
  <c r="D181" i="17"/>
  <c r="C182" i="17"/>
  <c r="D182" i="17"/>
  <c r="C183" i="17"/>
  <c r="D183" i="17"/>
  <c r="C184" i="17"/>
  <c r="D184" i="17"/>
  <c r="C185" i="17"/>
  <c r="D185" i="17"/>
  <c r="C186" i="17"/>
  <c r="D186" i="17"/>
  <c r="C187" i="17"/>
  <c r="D187" i="17"/>
  <c r="C188" i="17"/>
  <c r="D188" i="17"/>
  <c r="C189" i="17"/>
  <c r="D189" i="17"/>
  <c r="C190" i="17"/>
  <c r="D190" i="17"/>
  <c r="C191" i="17"/>
  <c r="D191" i="17"/>
  <c r="C192" i="17"/>
  <c r="D192" i="17"/>
  <c r="C193" i="17"/>
  <c r="D193" i="17"/>
  <c r="C194" i="17"/>
  <c r="D194" i="17"/>
  <c r="C195" i="17"/>
  <c r="D195" i="17"/>
  <c r="C196" i="17"/>
  <c r="D196" i="17"/>
  <c r="C197" i="17"/>
  <c r="D197" i="17"/>
  <c r="C198" i="17"/>
  <c r="D198" i="17"/>
  <c r="C199" i="17"/>
  <c r="D199" i="17"/>
  <c r="C200" i="17"/>
  <c r="D200" i="17"/>
  <c r="C201" i="17"/>
  <c r="D201" i="17"/>
  <c r="C202" i="17"/>
  <c r="D202" i="17"/>
  <c r="C203" i="17"/>
  <c r="D203" i="17"/>
  <c r="C204" i="17"/>
  <c r="D204" i="17"/>
  <c r="C205" i="17"/>
  <c r="D205" i="17"/>
  <c r="C206" i="17"/>
  <c r="D206" i="17"/>
  <c r="C207" i="17"/>
  <c r="D207" i="17"/>
  <c r="C208" i="17"/>
  <c r="D208" i="17"/>
  <c r="C209" i="17"/>
  <c r="D209" i="17"/>
  <c r="C210" i="17"/>
  <c r="D210" i="17"/>
  <c r="C211" i="17"/>
  <c r="D211" i="17"/>
  <c r="C212" i="17"/>
  <c r="D212" i="17"/>
  <c r="C213" i="17"/>
  <c r="D213" i="17"/>
  <c r="C214" i="17"/>
  <c r="D214" i="17"/>
  <c r="C215" i="17"/>
  <c r="D215" i="17"/>
  <c r="C216" i="17"/>
  <c r="D216" i="17"/>
  <c r="C217" i="17"/>
  <c r="D217" i="17"/>
  <c r="C218" i="17"/>
  <c r="D218" i="17"/>
  <c r="C219" i="17"/>
  <c r="D219" i="17"/>
  <c r="C220" i="17"/>
  <c r="D220" i="17"/>
  <c r="C221" i="17"/>
  <c r="D221" i="17"/>
  <c r="D161" i="17"/>
  <c r="C161"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D132" i="17"/>
  <c r="D133" i="17"/>
  <c r="D134" i="17"/>
  <c r="D135" i="17"/>
  <c r="D136" i="17"/>
  <c r="D137" i="17"/>
  <c r="D138" i="17"/>
  <c r="D139" i="17"/>
  <c r="D140" i="17"/>
  <c r="D141" i="17"/>
  <c r="D142" i="17"/>
  <c r="D143" i="17"/>
  <c r="D144" i="17"/>
  <c r="D145" i="17"/>
  <c r="D146" i="17"/>
  <c r="D147" i="17"/>
  <c r="D148" i="17"/>
  <c r="D149" i="17"/>
  <c r="D150" i="17"/>
  <c r="D151" i="17"/>
  <c r="D152" i="17"/>
  <c r="D153" i="17"/>
  <c r="D154" i="17"/>
  <c r="D155" i="17"/>
  <c r="D156" i="17"/>
  <c r="D157" i="17"/>
  <c r="D158" i="17"/>
  <c r="C150" i="17"/>
  <c r="C151" i="17"/>
  <c r="C152" i="17"/>
  <c r="C153" i="17"/>
  <c r="C154" i="17"/>
  <c r="C155" i="17"/>
  <c r="C156" i="17"/>
  <c r="C157" i="17"/>
  <c r="C158" i="17"/>
  <c r="C149"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04"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73"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7" i="17"/>
  <c r="E68" i="17"/>
  <c r="E69" i="17"/>
  <c r="E70" i="17"/>
  <c r="E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7" i="17"/>
  <c r="C68" i="17"/>
  <c r="C69" i="17"/>
  <c r="C70" i="17"/>
  <c r="C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7" i="17"/>
  <c r="D68" i="17"/>
  <c r="D69" i="17"/>
  <c r="D70" i="17"/>
  <c r="D21" i="17"/>
  <c r="Q4" i="17"/>
  <c r="R4" i="17"/>
  <c r="Q16" i="17" s="1"/>
  <c r="P16" i="17" s="1"/>
  <c r="Q5" i="17"/>
  <c r="Q15" i="17" s="1"/>
  <c r="P15" i="17" s="1"/>
  <c r="R5" i="17"/>
  <c r="Q6" i="17"/>
  <c r="R6" i="17"/>
  <c r="Q7" i="17"/>
  <c r="R7" i="17"/>
  <c r="R8" i="17"/>
  <c r="R9" i="17"/>
  <c r="R10" i="17"/>
  <c r="R11" i="17"/>
  <c r="Q8" i="17"/>
  <c r="Q9" i="17"/>
  <c r="Q10" i="17"/>
  <c r="Q11" i="17"/>
  <c r="D252" i="17"/>
  <c r="D253" i="17"/>
  <c r="D254" i="17"/>
  <c r="D255" i="17"/>
  <c r="D256" i="17"/>
  <c r="D257" i="17"/>
  <c r="D258" i="17"/>
  <c r="D259" i="17"/>
  <c r="D260" i="17"/>
  <c r="D261" i="17"/>
  <c r="D262" i="17"/>
  <c r="D263" i="17"/>
  <c r="D264" i="17"/>
  <c r="D265" i="17"/>
  <c r="D266" i="17"/>
  <c r="D267" i="17"/>
  <c r="D268" i="17"/>
  <c r="D269" i="17"/>
  <c r="D270" i="17"/>
  <c r="D271" i="17"/>
  <c r="D272" i="17"/>
  <c r="D273" i="17"/>
  <c r="D274" i="17"/>
  <c r="D275" i="17"/>
  <c r="D277" i="17"/>
  <c r="D278" i="17"/>
  <c r="D279" i="17"/>
  <c r="D280" i="17"/>
  <c r="D281" i="17"/>
  <c r="D282" i="17"/>
  <c r="D283" i="17"/>
  <c r="D284" i="17"/>
  <c r="D285" i="17"/>
  <c r="D286" i="17"/>
  <c r="D287" i="17"/>
  <c r="D288" i="17"/>
  <c r="D289" i="17"/>
  <c r="D290" i="17"/>
  <c r="D291" i="17"/>
  <c r="D292" i="17"/>
  <c r="D293" i="17"/>
  <c r="D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7" i="17"/>
  <c r="C278" i="17"/>
  <c r="C279" i="17"/>
  <c r="C280" i="17"/>
  <c r="C281" i="17"/>
  <c r="C282" i="17"/>
  <c r="C283" i="17"/>
  <c r="C284" i="17"/>
  <c r="C285" i="17"/>
  <c r="C286" i="17"/>
  <c r="C287" i="17"/>
  <c r="C288" i="17"/>
  <c r="C289" i="17"/>
  <c r="C290" i="17"/>
  <c r="C291" i="17"/>
  <c r="C292" i="17"/>
  <c r="C293" i="17"/>
  <c r="C251" i="17"/>
  <c r="E150" i="17"/>
  <c r="E151" i="17"/>
  <c r="E152" i="17"/>
  <c r="E153" i="17"/>
  <c r="E154" i="17"/>
  <c r="E155" i="17"/>
  <c r="E156" i="17"/>
  <c r="E157" i="17"/>
  <c r="E158" i="17"/>
  <c r="E149"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04"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16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7" i="17"/>
  <c r="E278" i="17"/>
  <c r="E279" i="17"/>
  <c r="E280" i="17"/>
  <c r="E281" i="17"/>
  <c r="E282" i="17"/>
  <c r="E283" i="17"/>
  <c r="E284" i="17"/>
  <c r="E285" i="17"/>
  <c r="E286" i="17"/>
  <c r="E287" i="17"/>
  <c r="E288" i="17"/>
  <c r="E289" i="17"/>
  <c r="E290" i="17"/>
  <c r="E291" i="17"/>
  <c r="E292" i="17"/>
  <c r="E293" i="17"/>
  <c r="E251" i="17"/>
  <c r="Z5" i="2"/>
  <c r="Z6" i="2" s="1"/>
  <c r="Z7" i="2" s="1"/>
  <c r="W5" i="2"/>
  <c r="W6" i="2" s="1"/>
  <c r="W7" i="2" s="1"/>
  <c r="V5" i="2"/>
  <c r="V6" i="2" s="1"/>
  <c r="Y5" i="2"/>
  <c r="Y6" i="2" s="1"/>
  <c r="X5" i="2"/>
  <c r="X6" i="2" s="1"/>
  <c r="W3" i="10"/>
  <c r="X3" i="10"/>
  <c r="Y3" i="10"/>
  <c r="Z3" i="10"/>
  <c r="W4" i="10"/>
  <c r="X4" i="10"/>
  <c r="Y4" i="10"/>
  <c r="Z4" i="10"/>
  <c r="W5" i="10"/>
  <c r="X5" i="10"/>
  <c r="Y5" i="10"/>
  <c r="Z5" i="10"/>
  <c r="W6" i="10"/>
  <c r="X6" i="10"/>
  <c r="Y6" i="10"/>
  <c r="Z6" i="10"/>
  <c r="W7" i="10"/>
  <c r="X7" i="10"/>
  <c r="Y7" i="10"/>
  <c r="Z7" i="10"/>
  <c r="W8" i="10"/>
  <c r="X8" i="10"/>
  <c r="Y8" i="10"/>
  <c r="Z8" i="10"/>
  <c r="W9" i="10"/>
  <c r="X9" i="10"/>
  <c r="Y9" i="10"/>
  <c r="Z9" i="10"/>
  <c r="W10" i="10"/>
  <c r="X10" i="10"/>
  <c r="Y10" i="10"/>
  <c r="Z10" i="10"/>
  <c r="W11" i="10"/>
  <c r="X11" i="10"/>
  <c r="Y11" i="10"/>
  <c r="Z11" i="10"/>
  <c r="W12" i="10"/>
  <c r="X12" i="10"/>
  <c r="Y12" i="10"/>
  <c r="Z12" i="10"/>
  <c r="W13" i="10"/>
  <c r="X13" i="10"/>
  <c r="Y13" i="10"/>
  <c r="Z13" i="10"/>
  <c r="W14" i="10"/>
  <c r="X14" i="10"/>
  <c r="Y14" i="10"/>
  <c r="Z14" i="10"/>
  <c r="W15" i="10"/>
  <c r="X15" i="10"/>
  <c r="Y15" i="10"/>
  <c r="Z15" i="10"/>
  <c r="W16" i="10"/>
  <c r="X16" i="10"/>
  <c r="Y16" i="10"/>
  <c r="Z16" i="10"/>
  <c r="W17" i="10"/>
  <c r="X17" i="10"/>
  <c r="Y17" i="10"/>
  <c r="Z17" i="10"/>
  <c r="W18" i="10"/>
  <c r="X18" i="10"/>
  <c r="Y18" i="10"/>
  <c r="Z18" i="10"/>
  <c r="W19" i="10"/>
  <c r="X19" i="10"/>
  <c r="Y19" i="10"/>
  <c r="Z19" i="10"/>
  <c r="W20" i="10"/>
  <c r="X20" i="10"/>
  <c r="Y20" i="10"/>
  <c r="Z20" i="10"/>
  <c r="W21" i="10"/>
  <c r="X21" i="10"/>
  <c r="Y21" i="10"/>
  <c r="Z21" i="10"/>
  <c r="W22" i="10"/>
  <c r="X22" i="10"/>
  <c r="Y22" i="10"/>
  <c r="Z22" i="10"/>
  <c r="W23" i="10"/>
  <c r="X23" i="10"/>
  <c r="Y23" i="10"/>
  <c r="Z23" i="10"/>
  <c r="W24" i="10"/>
  <c r="X24" i="10"/>
  <c r="Y24" i="10"/>
  <c r="Z24" i="10"/>
  <c r="W25" i="10"/>
  <c r="X25" i="10"/>
  <c r="Y25" i="10"/>
  <c r="Z25" i="10"/>
  <c r="W26" i="10"/>
  <c r="X26" i="10"/>
  <c r="Y26" i="10"/>
  <c r="Z26" i="10"/>
  <c r="W2" i="10"/>
  <c r="X2" i="10"/>
  <c r="Y2" i="10"/>
  <c r="Z2" i="10"/>
  <c r="AD3" i="10"/>
  <c r="AE3" i="10"/>
  <c r="AF3" i="10"/>
  <c r="AG3" i="10"/>
  <c r="AB3" i="10"/>
  <c r="AD4" i="10"/>
  <c r="AE4" i="10"/>
  <c r="AF4" i="10"/>
  <c r="AG4" i="10"/>
  <c r="AB4" i="10"/>
  <c r="AD5" i="10"/>
  <c r="AE5" i="10"/>
  <c r="AF5" i="10"/>
  <c r="AG5" i="10"/>
  <c r="AB5" i="10"/>
  <c r="AD6" i="10"/>
  <c r="AE6" i="10"/>
  <c r="AF6" i="10"/>
  <c r="AG6" i="10"/>
  <c r="AB6" i="10"/>
  <c r="AD7" i="10"/>
  <c r="AE7" i="10"/>
  <c r="AF7" i="10"/>
  <c r="AG7" i="10"/>
  <c r="AB7" i="10"/>
  <c r="AD8" i="10"/>
  <c r="AE8" i="10"/>
  <c r="AF8" i="10"/>
  <c r="AG8" i="10"/>
  <c r="AB8" i="10"/>
  <c r="AD9" i="10"/>
  <c r="AE9" i="10"/>
  <c r="AF9" i="10"/>
  <c r="AG9" i="10"/>
  <c r="AB9" i="10"/>
  <c r="AD10" i="10"/>
  <c r="AE10" i="10"/>
  <c r="AF10" i="10"/>
  <c r="AG10" i="10"/>
  <c r="AB10" i="10"/>
  <c r="AD11" i="10"/>
  <c r="AE11" i="10"/>
  <c r="AF11" i="10"/>
  <c r="AG11" i="10"/>
  <c r="AB11" i="10"/>
  <c r="AD12" i="10"/>
  <c r="AE12" i="10"/>
  <c r="AF12" i="10"/>
  <c r="AG12" i="10"/>
  <c r="AB12" i="10"/>
  <c r="AD13" i="10"/>
  <c r="AE13" i="10"/>
  <c r="AF13" i="10"/>
  <c r="AG13" i="10"/>
  <c r="AB13" i="10"/>
  <c r="AD14" i="10"/>
  <c r="AE14" i="10"/>
  <c r="AF14" i="10"/>
  <c r="AG14" i="10"/>
  <c r="AB14" i="10"/>
  <c r="AD15" i="10"/>
  <c r="AE15" i="10"/>
  <c r="AF15" i="10"/>
  <c r="AG15" i="10"/>
  <c r="AB15" i="10"/>
  <c r="AD16" i="10"/>
  <c r="AE16" i="10"/>
  <c r="AF16" i="10"/>
  <c r="AG16" i="10"/>
  <c r="AB16" i="10"/>
  <c r="AD17" i="10"/>
  <c r="AE17" i="10"/>
  <c r="AF17" i="10"/>
  <c r="AG17" i="10"/>
  <c r="AB17" i="10"/>
  <c r="AD18" i="10"/>
  <c r="AE18" i="10"/>
  <c r="AF18" i="10"/>
  <c r="AG18" i="10"/>
  <c r="AB18" i="10"/>
  <c r="AD19" i="10"/>
  <c r="AE19" i="10"/>
  <c r="AF19" i="10"/>
  <c r="AG19" i="10"/>
  <c r="AB19" i="10"/>
  <c r="AD20" i="10"/>
  <c r="AE20" i="10"/>
  <c r="AF20" i="10"/>
  <c r="AG20" i="10"/>
  <c r="AB20" i="10"/>
  <c r="AD21" i="10"/>
  <c r="AE21" i="10"/>
  <c r="AF21" i="10"/>
  <c r="AG21" i="10"/>
  <c r="AB21" i="10"/>
  <c r="AD22" i="10"/>
  <c r="AE22" i="10"/>
  <c r="AF22" i="10"/>
  <c r="AG22" i="10"/>
  <c r="AB22" i="10"/>
  <c r="AD23" i="10"/>
  <c r="AE23" i="10"/>
  <c r="AF23" i="10"/>
  <c r="AG23" i="10"/>
  <c r="AB23" i="10"/>
  <c r="AD24" i="10"/>
  <c r="AE24" i="10"/>
  <c r="AF24" i="10"/>
  <c r="AG24" i="10"/>
  <c r="AB24" i="10"/>
  <c r="AD25" i="10"/>
  <c r="AE25" i="10"/>
  <c r="AF25" i="10"/>
  <c r="AG25" i="10"/>
  <c r="AB25" i="10"/>
  <c r="AD26" i="10"/>
  <c r="AE26" i="10"/>
  <c r="AF26" i="10"/>
  <c r="AG26" i="10"/>
  <c r="AB26" i="10"/>
  <c r="AD2" i="10"/>
  <c r="AE2" i="10"/>
  <c r="AF2" i="10"/>
  <c r="AG2" i="10"/>
  <c r="AB2" i="10"/>
  <c r="AA2" i="10"/>
  <c r="X3" i="21"/>
  <c r="Y3" i="21"/>
  <c r="Z3" i="21"/>
  <c r="AA3" i="21"/>
  <c r="X4" i="21"/>
  <c r="Y4" i="21"/>
  <c r="Z4" i="21"/>
  <c r="AA4" i="21"/>
  <c r="X5" i="21"/>
  <c r="Y5" i="21"/>
  <c r="Z5" i="21"/>
  <c r="AA5" i="21"/>
  <c r="X6" i="21"/>
  <c r="Y6" i="21"/>
  <c r="Z6" i="21"/>
  <c r="AA6" i="21"/>
  <c r="X7" i="21"/>
  <c r="Y7" i="21"/>
  <c r="Z7" i="21"/>
  <c r="AA7" i="21"/>
  <c r="X8" i="21"/>
  <c r="Y8" i="21"/>
  <c r="Z8" i="21"/>
  <c r="AA8" i="21"/>
  <c r="X9" i="21"/>
  <c r="Y9" i="21"/>
  <c r="Z9" i="21"/>
  <c r="AA9" i="21"/>
  <c r="X10" i="21"/>
  <c r="Y10" i="21"/>
  <c r="Z10" i="21"/>
  <c r="AA10" i="21"/>
  <c r="X11" i="21"/>
  <c r="Y11" i="21"/>
  <c r="Z11" i="21"/>
  <c r="AA11" i="21"/>
  <c r="X12" i="21"/>
  <c r="Y12" i="21"/>
  <c r="Z12" i="21"/>
  <c r="AA12" i="21"/>
  <c r="X13" i="21"/>
  <c r="Y13" i="21"/>
  <c r="Z13" i="21"/>
  <c r="AA13" i="21"/>
  <c r="X14" i="21"/>
  <c r="Y14" i="21"/>
  <c r="Z14" i="21"/>
  <c r="AA14" i="21"/>
  <c r="X15" i="21"/>
  <c r="Y15" i="21"/>
  <c r="Z15" i="21"/>
  <c r="AA15" i="21"/>
  <c r="X16" i="21"/>
  <c r="Y16" i="21"/>
  <c r="Z16" i="21"/>
  <c r="AA16" i="21"/>
  <c r="X17" i="21"/>
  <c r="Y17" i="21"/>
  <c r="Z17" i="21"/>
  <c r="AA17" i="21"/>
  <c r="X18" i="21"/>
  <c r="Y18" i="21"/>
  <c r="Z18" i="21"/>
  <c r="AA18" i="21"/>
  <c r="X19" i="21"/>
  <c r="Y19" i="21"/>
  <c r="Z19" i="21"/>
  <c r="AA19" i="21"/>
  <c r="X20" i="21"/>
  <c r="Y20" i="21"/>
  <c r="Z20" i="21"/>
  <c r="AA20" i="21"/>
  <c r="X21" i="21"/>
  <c r="Y21" i="21"/>
  <c r="Z21" i="21"/>
  <c r="AA21" i="21"/>
  <c r="X22" i="21"/>
  <c r="Y22" i="21"/>
  <c r="Z22" i="21"/>
  <c r="AA22" i="21"/>
  <c r="X23" i="21"/>
  <c r="Y23" i="21"/>
  <c r="Z23" i="21"/>
  <c r="AA23" i="21"/>
  <c r="X24" i="21"/>
  <c r="Y24" i="21"/>
  <c r="Z24" i="21"/>
  <c r="AA24" i="21"/>
  <c r="X25" i="21"/>
  <c r="Y25" i="21"/>
  <c r="Z25" i="21"/>
  <c r="AA25" i="21"/>
  <c r="X26" i="21"/>
  <c r="Y26" i="21"/>
  <c r="Z26" i="21"/>
  <c r="AA26" i="21"/>
  <c r="X27" i="21"/>
  <c r="Y27" i="21"/>
  <c r="Z27" i="21"/>
  <c r="AA27" i="21"/>
  <c r="X28" i="21"/>
  <c r="Y28" i="21"/>
  <c r="Z28" i="21"/>
  <c r="AA28" i="21"/>
  <c r="X29" i="21"/>
  <c r="Y29" i="21"/>
  <c r="Z29" i="21"/>
  <c r="AA29" i="21"/>
  <c r="X30" i="21"/>
  <c r="Y30" i="21"/>
  <c r="Z30" i="21"/>
  <c r="AA30" i="21"/>
  <c r="X31" i="21"/>
  <c r="Y31" i="21"/>
  <c r="Z31" i="21"/>
  <c r="AA31" i="21"/>
  <c r="X32" i="21"/>
  <c r="Y32" i="21"/>
  <c r="Z32" i="21"/>
  <c r="AA32" i="21"/>
  <c r="X33" i="21"/>
  <c r="Y33" i="21"/>
  <c r="Z33" i="21"/>
  <c r="AA33" i="21"/>
  <c r="X34" i="21"/>
  <c r="Y34" i="21"/>
  <c r="Z34" i="21"/>
  <c r="AA34" i="21"/>
  <c r="X35" i="21"/>
  <c r="Y35" i="21"/>
  <c r="Z35" i="21"/>
  <c r="AA35" i="21"/>
  <c r="X36" i="21"/>
  <c r="Y36" i="21"/>
  <c r="Z36" i="21"/>
  <c r="AA36" i="21"/>
  <c r="X37" i="21"/>
  <c r="Y37" i="21"/>
  <c r="Z37" i="21"/>
  <c r="AA37" i="21"/>
  <c r="X38" i="21"/>
  <c r="Y38" i="21"/>
  <c r="Z38" i="21"/>
  <c r="AA38" i="21"/>
  <c r="X39" i="21"/>
  <c r="Y39" i="21"/>
  <c r="Z39" i="21"/>
  <c r="AA39" i="21"/>
  <c r="X40" i="21"/>
  <c r="Y40" i="21"/>
  <c r="Z40" i="21"/>
  <c r="AA40" i="21"/>
  <c r="X41" i="21"/>
  <c r="Y41" i="21"/>
  <c r="Z41" i="21"/>
  <c r="AA41" i="21"/>
  <c r="X42" i="21"/>
  <c r="Y42" i="21"/>
  <c r="Z42" i="21"/>
  <c r="AA42" i="21"/>
  <c r="X43" i="21"/>
  <c r="Y43" i="21"/>
  <c r="Z43" i="21"/>
  <c r="AA43" i="21"/>
  <c r="X44" i="21"/>
  <c r="Y44" i="21"/>
  <c r="Z44" i="21"/>
  <c r="AA44" i="21"/>
  <c r="X45" i="21"/>
  <c r="Y45" i="21"/>
  <c r="Z45" i="21"/>
  <c r="AA45" i="21"/>
  <c r="X46" i="21"/>
  <c r="Y46" i="21"/>
  <c r="Z46" i="21"/>
  <c r="AA46" i="21"/>
  <c r="X47" i="21"/>
  <c r="Y47" i="21"/>
  <c r="Z47" i="21"/>
  <c r="AA47" i="21"/>
  <c r="X48" i="21"/>
  <c r="Y48" i="21"/>
  <c r="Z48" i="21"/>
  <c r="AA48" i="21"/>
  <c r="X49" i="21"/>
  <c r="Y49" i="21"/>
  <c r="Z49" i="21"/>
  <c r="AA49" i="21"/>
  <c r="X50" i="21"/>
  <c r="Y50" i="21"/>
  <c r="Z50" i="21"/>
  <c r="AA50" i="21"/>
  <c r="X51" i="21"/>
  <c r="Y51" i="21"/>
  <c r="Z51" i="21"/>
  <c r="AA51" i="21"/>
  <c r="X52" i="21"/>
  <c r="Y52" i="21"/>
  <c r="Z52" i="21"/>
  <c r="AA52" i="21"/>
  <c r="X53" i="21"/>
  <c r="Y53" i="21"/>
  <c r="Z53" i="21"/>
  <c r="AA53" i="21"/>
  <c r="X54" i="21"/>
  <c r="Y54" i="21"/>
  <c r="Z54" i="21"/>
  <c r="AA54" i="21"/>
  <c r="X55" i="21"/>
  <c r="Y55" i="21"/>
  <c r="Z55" i="21"/>
  <c r="AA55" i="21"/>
  <c r="X56" i="21"/>
  <c r="Y56" i="21"/>
  <c r="Z56" i="21"/>
  <c r="AA56" i="21"/>
  <c r="X57" i="21"/>
  <c r="Y57" i="21"/>
  <c r="Z57" i="21"/>
  <c r="AA57" i="21"/>
  <c r="X58" i="21"/>
  <c r="Y58" i="21"/>
  <c r="Z58" i="21"/>
  <c r="AA58" i="21"/>
  <c r="X59" i="21"/>
  <c r="Y59" i="21"/>
  <c r="Z59" i="21"/>
  <c r="AA59" i="21"/>
  <c r="X60" i="21"/>
  <c r="Y60" i="21"/>
  <c r="Z60" i="21"/>
  <c r="AA60" i="21"/>
  <c r="X61" i="21"/>
  <c r="Y61" i="21"/>
  <c r="Z61" i="21"/>
  <c r="AA61" i="21"/>
  <c r="X62" i="21"/>
  <c r="Y62" i="21"/>
  <c r="Z62" i="21"/>
  <c r="AA62" i="21"/>
  <c r="X2" i="21"/>
  <c r="Y2" i="21"/>
  <c r="Z2" i="21"/>
  <c r="AA2" i="21"/>
  <c r="W48" i="9"/>
  <c r="X48" i="9"/>
  <c r="Y48" i="9"/>
  <c r="W49" i="9"/>
  <c r="X49" i="9"/>
  <c r="Y49" i="9"/>
  <c r="W50" i="9"/>
  <c r="X50" i="9"/>
  <c r="Y50" i="9"/>
  <c r="W51" i="9"/>
  <c r="X51" i="9"/>
  <c r="Y51" i="9"/>
  <c r="W52" i="9"/>
  <c r="X52" i="9"/>
  <c r="Y52" i="9"/>
  <c r="W53" i="9"/>
  <c r="X53" i="9"/>
  <c r="Y53" i="9"/>
  <c r="W54" i="9"/>
  <c r="X54" i="9"/>
  <c r="Y54" i="9"/>
  <c r="W55" i="9"/>
  <c r="X55" i="9"/>
  <c r="Y55" i="9"/>
  <c r="W56" i="9"/>
  <c r="X56" i="9"/>
  <c r="Y56" i="9"/>
  <c r="W57" i="9"/>
  <c r="X57" i="9"/>
  <c r="Y57" i="9"/>
  <c r="Z49" i="9"/>
  <c r="Z50" i="9"/>
  <c r="Z51" i="9"/>
  <c r="Z52" i="9"/>
  <c r="Z53" i="9"/>
  <c r="Z54" i="9"/>
  <c r="Z55" i="9"/>
  <c r="Z56" i="9"/>
  <c r="Z57" i="9"/>
  <c r="Z48" i="9"/>
  <c r="U57" i="9"/>
  <c r="W3" i="9"/>
  <c r="X3" i="9"/>
  <c r="Y3" i="9"/>
  <c r="Z3" i="9"/>
  <c r="W4" i="9"/>
  <c r="X4" i="9"/>
  <c r="Y4" i="9"/>
  <c r="Z4" i="9"/>
  <c r="W5" i="9"/>
  <c r="X5" i="9"/>
  <c r="Y5" i="9"/>
  <c r="Z5" i="9"/>
  <c r="W6" i="9"/>
  <c r="X6" i="9"/>
  <c r="Y6" i="9"/>
  <c r="Z6" i="9"/>
  <c r="W7" i="9"/>
  <c r="X7" i="9"/>
  <c r="Y7" i="9"/>
  <c r="Z7" i="9"/>
  <c r="W8" i="9"/>
  <c r="X8" i="9"/>
  <c r="Y8" i="9"/>
  <c r="Z8" i="9"/>
  <c r="W9" i="9"/>
  <c r="X9" i="9"/>
  <c r="Y9" i="9"/>
  <c r="Z9" i="9"/>
  <c r="W10" i="9"/>
  <c r="X10" i="9"/>
  <c r="Y10" i="9"/>
  <c r="Z10" i="9"/>
  <c r="W11" i="9"/>
  <c r="X11" i="9"/>
  <c r="Y11" i="9"/>
  <c r="Z11" i="9"/>
  <c r="W12" i="9"/>
  <c r="X12" i="9"/>
  <c r="Y12" i="9"/>
  <c r="Z12" i="9"/>
  <c r="W13" i="9"/>
  <c r="X13" i="9"/>
  <c r="Y13" i="9"/>
  <c r="Z13" i="9"/>
  <c r="W14" i="9"/>
  <c r="X14" i="9"/>
  <c r="Y14" i="9"/>
  <c r="Z14" i="9"/>
  <c r="W15" i="9"/>
  <c r="X15" i="9"/>
  <c r="Y15" i="9"/>
  <c r="Z15" i="9"/>
  <c r="W16" i="9"/>
  <c r="X16" i="9"/>
  <c r="Y16" i="9"/>
  <c r="Z16" i="9"/>
  <c r="W17" i="9"/>
  <c r="X17" i="9"/>
  <c r="Y17" i="9"/>
  <c r="Z17" i="9"/>
  <c r="W18" i="9"/>
  <c r="X18" i="9"/>
  <c r="Y18" i="9"/>
  <c r="Z18" i="9"/>
  <c r="W19" i="9"/>
  <c r="X19" i="9"/>
  <c r="Y19" i="9"/>
  <c r="Z19" i="9"/>
  <c r="W20" i="9"/>
  <c r="X20" i="9"/>
  <c r="Y20" i="9"/>
  <c r="Z20" i="9"/>
  <c r="W21" i="9"/>
  <c r="X21" i="9"/>
  <c r="Y21" i="9"/>
  <c r="Z21" i="9"/>
  <c r="W22" i="9"/>
  <c r="X22" i="9"/>
  <c r="Y22" i="9"/>
  <c r="Z22" i="9"/>
  <c r="W23" i="9"/>
  <c r="X23" i="9"/>
  <c r="Y23" i="9"/>
  <c r="Z23" i="9"/>
  <c r="W24" i="9"/>
  <c r="X24" i="9"/>
  <c r="Y24" i="9"/>
  <c r="Z24" i="9"/>
  <c r="W25" i="9"/>
  <c r="X25" i="9"/>
  <c r="Y25" i="9"/>
  <c r="Z25" i="9"/>
  <c r="W26" i="9"/>
  <c r="X26" i="9"/>
  <c r="Y26" i="9"/>
  <c r="Z26" i="9"/>
  <c r="W27" i="9"/>
  <c r="X27" i="9"/>
  <c r="Y27" i="9"/>
  <c r="Z27" i="9"/>
  <c r="W28" i="9"/>
  <c r="X28" i="9"/>
  <c r="Y28" i="9"/>
  <c r="Z28" i="9"/>
  <c r="W29" i="9"/>
  <c r="X29" i="9"/>
  <c r="Y29" i="9"/>
  <c r="Z29" i="9"/>
  <c r="W30" i="9"/>
  <c r="X30" i="9"/>
  <c r="Y30" i="9"/>
  <c r="Z30" i="9"/>
  <c r="W31" i="9"/>
  <c r="X31" i="9"/>
  <c r="Y31" i="9"/>
  <c r="Z31" i="9"/>
  <c r="W32" i="9"/>
  <c r="X32" i="9"/>
  <c r="Y32" i="9"/>
  <c r="Z32" i="9"/>
  <c r="W33" i="9"/>
  <c r="X33" i="9"/>
  <c r="Y33" i="9"/>
  <c r="Z33" i="9"/>
  <c r="W34" i="9"/>
  <c r="X34" i="9"/>
  <c r="Y34" i="9"/>
  <c r="Z34" i="9"/>
  <c r="W35" i="9"/>
  <c r="X35" i="9"/>
  <c r="Y35" i="9"/>
  <c r="Z35" i="9"/>
  <c r="W36" i="9"/>
  <c r="X36" i="9"/>
  <c r="Y36" i="9"/>
  <c r="Z36" i="9"/>
  <c r="W37" i="9"/>
  <c r="X37" i="9"/>
  <c r="Y37" i="9"/>
  <c r="Z37" i="9"/>
  <c r="W38" i="9"/>
  <c r="X38" i="9"/>
  <c r="Y38" i="9"/>
  <c r="Z38" i="9"/>
  <c r="W39" i="9"/>
  <c r="X39" i="9"/>
  <c r="Y39" i="9"/>
  <c r="Z39" i="9"/>
  <c r="W40" i="9"/>
  <c r="X40" i="9"/>
  <c r="Y40" i="9"/>
  <c r="Z40" i="9"/>
  <c r="W41" i="9"/>
  <c r="X41" i="9"/>
  <c r="Y41" i="9"/>
  <c r="Z41" i="9"/>
  <c r="W42" i="9"/>
  <c r="X42" i="9"/>
  <c r="Y42" i="9"/>
  <c r="Z42" i="9"/>
  <c r="W43" i="9"/>
  <c r="X43" i="9"/>
  <c r="Y43" i="9"/>
  <c r="Z43" i="9"/>
  <c r="W44" i="9"/>
  <c r="X44" i="9"/>
  <c r="Y44" i="9"/>
  <c r="Z44" i="9"/>
  <c r="W45" i="9"/>
  <c r="X45" i="9"/>
  <c r="Y45" i="9"/>
  <c r="Z45" i="9"/>
  <c r="W46" i="9"/>
  <c r="X46" i="9"/>
  <c r="Y46" i="9"/>
  <c r="Z46" i="9"/>
  <c r="W2" i="9"/>
  <c r="X2" i="9"/>
  <c r="Y2" i="9"/>
  <c r="Z2" i="9"/>
  <c r="AB3" i="9"/>
  <c r="W2" i="16"/>
  <c r="X2" i="16"/>
  <c r="Y2" i="16"/>
  <c r="Z2" i="16"/>
  <c r="W3" i="16"/>
  <c r="X3" i="16"/>
  <c r="Y3" i="16"/>
  <c r="Z3" i="16"/>
  <c r="W4" i="16"/>
  <c r="X4" i="16"/>
  <c r="Y4" i="16"/>
  <c r="Z4" i="16"/>
  <c r="W5" i="16"/>
  <c r="X5" i="16"/>
  <c r="Y5" i="16"/>
  <c r="Z5" i="16"/>
  <c r="W6" i="16"/>
  <c r="X6" i="16"/>
  <c r="Y6" i="16"/>
  <c r="Z6" i="16"/>
  <c r="W7" i="16"/>
  <c r="X7" i="16"/>
  <c r="Y7" i="16"/>
  <c r="Z7" i="16"/>
  <c r="W8" i="16"/>
  <c r="X8" i="16"/>
  <c r="Y8" i="16"/>
  <c r="Z8" i="16"/>
  <c r="W9" i="16"/>
  <c r="X9" i="16"/>
  <c r="Y9" i="16"/>
  <c r="Z9" i="16"/>
  <c r="W10" i="16"/>
  <c r="X10" i="16"/>
  <c r="Y10" i="16"/>
  <c r="Z10" i="16"/>
  <c r="W11" i="16"/>
  <c r="X11" i="16"/>
  <c r="Y11" i="16"/>
  <c r="Z11" i="16"/>
  <c r="W12" i="16"/>
  <c r="X12" i="16"/>
  <c r="Y12" i="16"/>
  <c r="Z12" i="16"/>
  <c r="W13" i="16"/>
  <c r="X13" i="16"/>
  <c r="Y13" i="16"/>
  <c r="Z13" i="16"/>
  <c r="W14" i="16"/>
  <c r="X14" i="16"/>
  <c r="Y14" i="16"/>
  <c r="Z14" i="16"/>
  <c r="W15" i="16"/>
  <c r="X15" i="16"/>
  <c r="Y15" i="16"/>
  <c r="Z15" i="16"/>
  <c r="W16" i="16"/>
  <c r="X16" i="16"/>
  <c r="Y16" i="16"/>
  <c r="Z16" i="16"/>
  <c r="U16" i="16"/>
  <c r="K87" i="17" s="1"/>
  <c r="W17" i="16"/>
  <c r="X17" i="16"/>
  <c r="Y17" i="16"/>
  <c r="Z17" i="16"/>
  <c r="U17" i="16"/>
  <c r="K88" i="17"/>
  <c r="W18" i="16"/>
  <c r="X18" i="16"/>
  <c r="Y18" i="16"/>
  <c r="Z18" i="16"/>
  <c r="U18" i="16"/>
  <c r="K89" i="17" s="1"/>
  <c r="W19" i="16"/>
  <c r="X19" i="16"/>
  <c r="Y19" i="16"/>
  <c r="Z19" i="16"/>
  <c r="U19" i="16"/>
  <c r="K90" i="17" s="1"/>
  <c r="W20" i="16"/>
  <c r="X20" i="16"/>
  <c r="Y20" i="16"/>
  <c r="Z20" i="16"/>
  <c r="U20" i="16"/>
  <c r="K91" i="17"/>
  <c r="W21" i="16"/>
  <c r="X21" i="16"/>
  <c r="Y21" i="16"/>
  <c r="Z21" i="16"/>
  <c r="U21" i="16"/>
  <c r="K92" i="17" s="1"/>
  <c r="W22" i="16"/>
  <c r="X22" i="16"/>
  <c r="Y22" i="16"/>
  <c r="Z22" i="16"/>
  <c r="U22" i="16"/>
  <c r="K93" i="17" s="1"/>
  <c r="W23" i="16"/>
  <c r="X23" i="16"/>
  <c r="Y23" i="16"/>
  <c r="Z23" i="16"/>
  <c r="U23" i="16"/>
  <c r="K94" i="17"/>
  <c r="W24" i="16"/>
  <c r="X24" i="16"/>
  <c r="Y24" i="16"/>
  <c r="Z24" i="16"/>
  <c r="U24" i="16"/>
  <c r="K95" i="17" s="1"/>
  <c r="W25" i="16"/>
  <c r="X25" i="16"/>
  <c r="Y25" i="16"/>
  <c r="Z25" i="16"/>
  <c r="U25" i="16"/>
  <c r="K96" i="17"/>
  <c r="W26" i="16"/>
  <c r="X26" i="16"/>
  <c r="Y26" i="16"/>
  <c r="Z26" i="16"/>
  <c r="U26" i="16"/>
  <c r="K97" i="17" s="1"/>
  <c r="W27" i="16"/>
  <c r="X27" i="16"/>
  <c r="Y27" i="16"/>
  <c r="Z27" i="16"/>
  <c r="U27" i="16"/>
  <c r="K98" i="17" s="1"/>
  <c r="W28" i="16"/>
  <c r="X28" i="16"/>
  <c r="Y28" i="16"/>
  <c r="Z28" i="16"/>
  <c r="U28" i="16"/>
  <c r="K99" i="17"/>
  <c r="W29" i="16"/>
  <c r="X29" i="16"/>
  <c r="Y29" i="16"/>
  <c r="Z29" i="16"/>
  <c r="U29" i="16"/>
  <c r="K100" i="17" s="1"/>
  <c r="W30" i="16"/>
  <c r="X30" i="16"/>
  <c r="Y30" i="16"/>
  <c r="Z30" i="16"/>
  <c r="U30" i="16"/>
  <c r="K101" i="17" s="1"/>
  <c r="V16" i="16"/>
  <c r="AC16" i="16"/>
  <c r="L87" i="17" s="1"/>
  <c r="V17" i="16"/>
  <c r="AC17" i="16"/>
  <c r="L88" i="17"/>
  <c r="V18" i="16"/>
  <c r="L89" i="17" s="1"/>
  <c r="AC18" i="16"/>
  <c r="V19" i="16"/>
  <c r="AC19" i="16"/>
  <c r="L90" i="17" s="1"/>
  <c r="V20" i="16"/>
  <c r="L91" i="17" s="1"/>
  <c r="AC20" i="16"/>
  <c r="V21" i="16"/>
  <c r="AC21" i="16"/>
  <c r="L92" i="17"/>
  <c r="V22" i="16"/>
  <c r="AC22" i="16"/>
  <c r="L93" i="17" s="1"/>
  <c r="V23" i="16"/>
  <c r="AC23" i="16"/>
  <c r="L94" i="17" s="1"/>
  <c r="V24" i="16"/>
  <c r="AC24" i="16"/>
  <c r="L95" i="17"/>
  <c r="V25" i="16"/>
  <c r="AC25" i="16"/>
  <c r="L96" i="17" s="1"/>
  <c r="V26" i="16"/>
  <c r="AC26" i="16"/>
  <c r="L97" i="17" s="1"/>
  <c r="V27" i="16"/>
  <c r="L98" i="17" s="1"/>
  <c r="AC27" i="16"/>
  <c r="V28" i="16"/>
  <c r="AC28" i="16"/>
  <c r="L99" i="17"/>
  <c r="V29" i="16"/>
  <c r="AC29" i="16"/>
  <c r="L100" i="17" s="1"/>
  <c r="V30" i="16"/>
  <c r="AC30" i="16"/>
  <c r="L101" i="17"/>
  <c r="AF29" i="16"/>
  <c r="AC57" i="21"/>
  <c r="AF54" i="21"/>
  <c r="AE50" i="21"/>
  <c r="AF42" i="21"/>
  <c r="AE26" i="21"/>
  <c r="AG22" i="21"/>
  <c r="AC17" i="21"/>
  <c r="AH12" i="21"/>
  <c r="AE42" i="21"/>
  <c r="AH38" i="21"/>
  <c r="AF34" i="21"/>
  <c r="AE7" i="21"/>
  <c r="AH57" i="21"/>
  <c r="AE54" i="21"/>
  <c r="AE34" i="21"/>
  <c r="AG30" i="21"/>
  <c r="AC25" i="21"/>
  <c r="AG17" i="21"/>
  <c r="AG57" i="21"/>
  <c r="AE53" i="21"/>
  <c r="AH49" i="21"/>
  <c r="AE46" i="21"/>
  <c r="AH25" i="21"/>
  <c r="AF17" i="21"/>
  <c r="AC6" i="21"/>
  <c r="AG49" i="21"/>
  <c r="AE45" i="21"/>
  <c r="AH41" i="21"/>
  <c r="AE38" i="21"/>
  <c r="AE17" i="21"/>
  <c r="AH6" i="21"/>
  <c r="AG60" i="21"/>
  <c r="AG41" i="21"/>
  <c r="AE37" i="21"/>
  <c r="AH33" i="21"/>
  <c r="AC11" i="21"/>
  <c r="AG6" i="21"/>
  <c r="AC2" i="21"/>
  <c r="AF41" i="21"/>
  <c r="AG33" i="21"/>
  <c r="AC28" i="21"/>
  <c r="AF6" i="21"/>
  <c r="AH2" i="21"/>
  <c r="AE60" i="21"/>
  <c r="AG52" i="21"/>
  <c r="AC36" i="21"/>
  <c r="AF33" i="21"/>
  <c r="AH28" i="21"/>
  <c r="AG2" i="21"/>
  <c r="AC55" i="21"/>
  <c r="AC48" i="21"/>
  <c r="AE33" i="21"/>
  <c r="AG28" i="21"/>
  <c r="AC24" i="21"/>
  <c r="AE20" i="21"/>
  <c r="AC59" i="21"/>
  <c r="AH55" i="21"/>
  <c r="AE52" i="21"/>
  <c r="AF44" i="21"/>
  <c r="AF28" i="21"/>
  <c r="AH23" i="21"/>
  <c r="AE15" i="21"/>
  <c r="AG55" i="21"/>
  <c r="AH47" i="21"/>
  <c r="AC39" i="21"/>
  <c r="AG23" i="21"/>
  <c r="AC19" i="21"/>
  <c r="AH9" i="21"/>
  <c r="AC51" i="21"/>
  <c r="AG47" i="21"/>
  <c r="AE36" i="21"/>
  <c r="AH19" i="21"/>
  <c r="AC14" i="21"/>
  <c r="AG9" i="21"/>
  <c r="AE4" i="21"/>
  <c r="AF47" i="21"/>
  <c r="AC43" i="21"/>
  <c r="AG39" i="21"/>
  <c r="AG31" i="21"/>
  <c r="AH14" i="21"/>
  <c r="AF9" i="21"/>
  <c r="AG62" i="21"/>
  <c r="AH43" i="21"/>
  <c r="AF39" i="21"/>
  <c r="AC35" i="21"/>
  <c r="AH27" i="21"/>
  <c r="AE9" i="21"/>
  <c r="AC3" i="21"/>
  <c r="AF62" i="21"/>
  <c r="AF58" i="21"/>
  <c r="AE39" i="21"/>
  <c r="AH35" i="21"/>
  <c r="AE31" i="21"/>
  <c r="AC22" i="21"/>
  <c r="AH3" i="21"/>
  <c r="AE62" i="21"/>
  <c r="AE58" i="21"/>
  <c r="AH54" i="21"/>
  <c r="AG35" i="21"/>
  <c r="AF26" i="21"/>
  <c r="AE56" i="21"/>
  <c r="AG53" i="21"/>
  <c r="AC50" i="21"/>
  <c r="AE48" i="21"/>
  <c r="AC34" i="21"/>
  <c r="AE32" i="21"/>
  <c r="AG29" i="21"/>
  <c r="AE24" i="21"/>
  <c r="AG13" i="21"/>
  <c r="AC10" i="21"/>
  <c r="AE8" i="21"/>
  <c r="AG5" i="21"/>
  <c r="AH50" i="21"/>
  <c r="AF45" i="21"/>
  <c r="AF29" i="21"/>
  <c r="AH26" i="21"/>
  <c r="AF21" i="21"/>
  <c r="AF5" i="21"/>
  <c r="AC31" i="21"/>
  <c r="AG26" i="21"/>
  <c r="AC15" i="21"/>
  <c r="AE13" i="21"/>
  <c r="AG10" i="21"/>
  <c r="AC7" i="21"/>
  <c r="AG15" i="21"/>
  <c r="AC12" i="21"/>
  <c r="AG7" i="21"/>
  <c r="AH56" i="21"/>
  <c r="AF51" i="21"/>
  <c r="AH48" i="21"/>
  <c r="AF35" i="21"/>
  <c r="AH32" i="21"/>
  <c r="AH24" i="21"/>
  <c r="AF11" i="21"/>
  <c r="AH8" i="21"/>
  <c r="AC53" i="21"/>
  <c r="AE51" i="21"/>
  <c r="AG48" i="21"/>
  <c r="AE43" i="21"/>
  <c r="AG32" i="21"/>
  <c r="AC29" i="21"/>
  <c r="AE27" i="21"/>
  <c r="AG24" i="21"/>
  <c r="AE11" i="21"/>
  <c r="AG8" i="21"/>
  <c r="AC5" i="21"/>
  <c r="AH61" i="21"/>
  <c r="AF48" i="21"/>
  <c r="AH45" i="21"/>
  <c r="AH29" i="21"/>
  <c r="AF24" i="21"/>
  <c r="AF8" i="21"/>
  <c r="AH5" i="21"/>
  <c r="AG53" i="9"/>
  <c r="AF20" i="9"/>
  <c r="AD43" i="9"/>
  <c r="AE17" i="9"/>
  <c r="AB50" i="9"/>
  <c r="AE4" i="9"/>
  <c r="AB49" i="9"/>
  <c r="AB32" i="9"/>
  <c r="AE56" i="9"/>
  <c r="AF42" i="9"/>
  <c r="AD36" i="9"/>
  <c r="AG32" i="9"/>
  <c r="AB30" i="9"/>
  <c r="AG19" i="9"/>
  <c r="AF16" i="9"/>
  <c r="AD10" i="9"/>
  <c r="AB13" i="9"/>
  <c r="AB28" i="9"/>
  <c r="AD16" i="9"/>
  <c r="AF6" i="9"/>
  <c r="AD35" i="9"/>
  <c r="AG28" i="9"/>
  <c r="AB9" i="9"/>
  <c r="AE44" i="9"/>
  <c r="AD41" i="9"/>
  <c r="AG34" i="9"/>
  <c r="AG18" i="9"/>
  <c r="AB8" i="9"/>
  <c r="AF18" i="9"/>
  <c r="AG24" i="9"/>
  <c r="AF21" i="9"/>
  <c r="AD15" i="9"/>
  <c r="AB6" i="9"/>
  <c r="AF57" i="9"/>
  <c r="AD51" i="9"/>
  <c r="AB5" i="9"/>
  <c r="AF46" i="9"/>
  <c r="AE43" i="9"/>
  <c r="AD40" i="9"/>
  <c r="AF30" i="9"/>
  <c r="AG17" i="9"/>
  <c r="AF7" i="16"/>
  <c r="AE25" i="16"/>
  <c r="AE30" i="16"/>
  <c r="V65" i="16"/>
  <c r="W65" i="16"/>
  <c r="X65" i="16"/>
  <c r="Y65" i="16"/>
  <c r="Z65" i="16"/>
  <c r="U65" i="16"/>
  <c r="AC65" i="16"/>
  <c r="AD65" i="16"/>
  <c r="AE65" i="16"/>
  <c r="AG65" i="16"/>
  <c r="AB65" i="16"/>
  <c r="AB48" i="12"/>
  <c r="W2" i="12"/>
  <c r="X2" i="12"/>
  <c r="Y2" i="12"/>
  <c r="Z2" i="12"/>
  <c r="W3" i="12"/>
  <c r="X3" i="12"/>
  <c r="Y3" i="12"/>
  <c r="Z3" i="12"/>
  <c r="W4" i="12"/>
  <c r="X4" i="12"/>
  <c r="Y4" i="12"/>
  <c r="Z4" i="12"/>
  <c r="W5" i="12"/>
  <c r="X5" i="12"/>
  <c r="Y5" i="12"/>
  <c r="Z5" i="12"/>
  <c r="W6" i="12"/>
  <c r="X6" i="12"/>
  <c r="Y6" i="12"/>
  <c r="Z6" i="12"/>
  <c r="W7" i="12"/>
  <c r="X7" i="12"/>
  <c r="Y7" i="12"/>
  <c r="Z7" i="12"/>
  <c r="W8" i="12"/>
  <c r="X8" i="12"/>
  <c r="Y8" i="12"/>
  <c r="Z8" i="12"/>
  <c r="W9" i="12"/>
  <c r="X9" i="12"/>
  <c r="Y9" i="12"/>
  <c r="Z9" i="12"/>
  <c r="W10" i="12"/>
  <c r="X10" i="12"/>
  <c r="Y10" i="12"/>
  <c r="Z10" i="12"/>
  <c r="W11" i="12"/>
  <c r="X11" i="12"/>
  <c r="Y11" i="12"/>
  <c r="Z11" i="12"/>
  <c r="W12" i="12"/>
  <c r="X12" i="12"/>
  <c r="Y12" i="12"/>
  <c r="Z12" i="12"/>
  <c r="W13" i="12"/>
  <c r="X13" i="12"/>
  <c r="Y13" i="12"/>
  <c r="Z13" i="12"/>
  <c r="W14" i="12"/>
  <c r="X14" i="12"/>
  <c r="Y14" i="12"/>
  <c r="Z14" i="12"/>
  <c r="W15" i="12"/>
  <c r="X15" i="12"/>
  <c r="Y15" i="12"/>
  <c r="Z15" i="12"/>
  <c r="W16" i="12"/>
  <c r="X16" i="12"/>
  <c r="Y16" i="12"/>
  <c r="Z16" i="12"/>
  <c r="W17" i="12"/>
  <c r="X17" i="12"/>
  <c r="Y17" i="12"/>
  <c r="Z17" i="12"/>
  <c r="W18" i="12"/>
  <c r="X18" i="12"/>
  <c r="Y18" i="12"/>
  <c r="Z18" i="12"/>
  <c r="W19" i="12"/>
  <c r="X19" i="12"/>
  <c r="Y19" i="12"/>
  <c r="Z19" i="12"/>
  <c r="W20" i="12"/>
  <c r="X20" i="12"/>
  <c r="Y20" i="12"/>
  <c r="Z20" i="12"/>
  <c r="W21" i="12"/>
  <c r="X21" i="12"/>
  <c r="Y21" i="12"/>
  <c r="Z21" i="12"/>
  <c r="W22" i="12"/>
  <c r="X22" i="12"/>
  <c r="Y22" i="12"/>
  <c r="Z22" i="12"/>
  <c r="W23" i="12"/>
  <c r="X23" i="12"/>
  <c r="Y23" i="12"/>
  <c r="Z23" i="12"/>
  <c r="W24" i="12"/>
  <c r="X24" i="12"/>
  <c r="Y24" i="12"/>
  <c r="Z24" i="12"/>
  <c r="W25" i="12"/>
  <c r="X25" i="12"/>
  <c r="Y25" i="12"/>
  <c r="Z25" i="12"/>
  <c r="W26" i="12"/>
  <c r="X26" i="12"/>
  <c r="Y26" i="12"/>
  <c r="Z26" i="12"/>
  <c r="W27" i="12"/>
  <c r="X27" i="12"/>
  <c r="Y27" i="12"/>
  <c r="Z27" i="12"/>
  <c r="W28" i="12"/>
  <c r="X28" i="12"/>
  <c r="Y28" i="12"/>
  <c r="Z28" i="12"/>
  <c r="W29" i="12"/>
  <c r="X29" i="12"/>
  <c r="Y29" i="12"/>
  <c r="Z29" i="12"/>
  <c r="W30" i="12"/>
  <c r="X30" i="12"/>
  <c r="Y30" i="12"/>
  <c r="Z30" i="12"/>
  <c r="W31" i="12"/>
  <c r="X31" i="12"/>
  <c r="Y31" i="12"/>
  <c r="Z31" i="12"/>
  <c r="W32" i="12"/>
  <c r="X32" i="12"/>
  <c r="Y32" i="12"/>
  <c r="Z32" i="12"/>
  <c r="W33" i="12"/>
  <c r="X33" i="12"/>
  <c r="Y33" i="12"/>
  <c r="Z33" i="12"/>
  <c r="W34" i="12"/>
  <c r="X34" i="12"/>
  <c r="Y34" i="12"/>
  <c r="Z34" i="12"/>
  <c r="W35" i="12"/>
  <c r="X35" i="12"/>
  <c r="Y35" i="12"/>
  <c r="Z35" i="12"/>
  <c r="W36" i="12"/>
  <c r="X36" i="12"/>
  <c r="Y36" i="12"/>
  <c r="Z36" i="12"/>
  <c r="W37" i="12"/>
  <c r="X37" i="12"/>
  <c r="Y37" i="12"/>
  <c r="Z37" i="12"/>
  <c r="W38" i="12"/>
  <c r="X38" i="12"/>
  <c r="Y38" i="12"/>
  <c r="Z38" i="12"/>
  <c r="W39" i="12"/>
  <c r="X39" i="12"/>
  <c r="Y39" i="12"/>
  <c r="Z39" i="12"/>
  <c r="W40" i="12"/>
  <c r="X40" i="12"/>
  <c r="Y40" i="12"/>
  <c r="Z40" i="12"/>
  <c r="W41" i="12"/>
  <c r="X41" i="12"/>
  <c r="Y41" i="12"/>
  <c r="Z41" i="12"/>
  <c r="W42" i="12"/>
  <c r="X42" i="12"/>
  <c r="Y42" i="12"/>
  <c r="Z42" i="12"/>
  <c r="W43" i="12"/>
  <c r="X43" i="12"/>
  <c r="Y43" i="12"/>
  <c r="Z43" i="12"/>
  <c r="W44" i="12"/>
  <c r="X44" i="12"/>
  <c r="Y44" i="12"/>
  <c r="Z44" i="12"/>
  <c r="W45" i="12"/>
  <c r="X45" i="12"/>
  <c r="Y45" i="12"/>
  <c r="Z45" i="12"/>
  <c r="W48" i="12"/>
  <c r="X48" i="12"/>
  <c r="Y48" i="12"/>
  <c r="Z48" i="12"/>
  <c r="W49" i="12"/>
  <c r="X49" i="12"/>
  <c r="Y49" i="12"/>
  <c r="Z49" i="12"/>
  <c r="W50" i="12"/>
  <c r="X50" i="12"/>
  <c r="Y50" i="12"/>
  <c r="Z50" i="12"/>
  <c r="W51" i="12"/>
  <c r="X51" i="12"/>
  <c r="Y51" i="12"/>
  <c r="Z51" i="12"/>
  <c r="AF44" i="12"/>
  <c r="AF65" i="16"/>
  <c r="AB41" i="12"/>
  <c r="AG16" i="12"/>
  <c r="AB25" i="12"/>
  <c r="AB2" i="12"/>
  <c r="AD38" i="12"/>
  <c r="AG32" i="12"/>
  <c r="AE25" i="12"/>
  <c r="AB7" i="12"/>
  <c r="AD32" i="12"/>
  <c r="AG28" i="12"/>
  <c r="AB35" i="12"/>
  <c r="AG39" i="12"/>
  <c r="AD28" i="12"/>
  <c r="AD23" i="12"/>
  <c r="AG18" i="12"/>
  <c r="AB50" i="12"/>
  <c r="AG42" i="12"/>
  <c r="AB17" i="12"/>
  <c r="AF22" i="12"/>
  <c r="AF5" i="12"/>
  <c r="AB27" i="12"/>
  <c r="AD8" i="12"/>
  <c r="AG27" i="12"/>
  <c r="AE33" i="12"/>
  <c r="AE30" i="12"/>
  <c r="AE27" i="12"/>
  <c r="AD33" i="12"/>
  <c r="AB26" i="12"/>
  <c r="AG3" i="12"/>
  <c r="AG26" i="12"/>
  <c r="AE7" i="12"/>
  <c r="AF3" i="12"/>
  <c r="AD4" i="12"/>
  <c r="AB37" i="12"/>
  <c r="AB21" i="12"/>
  <c r="AG45" i="12"/>
  <c r="AG29" i="12"/>
  <c r="G311" i="17"/>
  <c r="G312" i="17"/>
  <c r="G313" i="17"/>
  <c r="G314" i="17"/>
  <c r="G315" i="17"/>
  <c r="G316" i="17"/>
  <c r="G317" i="17"/>
  <c r="G318" i="17"/>
  <c r="G319" i="17"/>
  <c r="G320" i="17"/>
  <c r="G321" i="17"/>
  <c r="G322" i="17"/>
  <c r="G323" i="17"/>
  <c r="G324" i="17"/>
  <c r="G325" i="17"/>
  <c r="G326" i="17"/>
  <c r="G327" i="17"/>
  <c r="G328" i="17"/>
  <c r="G329" i="17"/>
  <c r="G330" i="17"/>
  <c r="G331" i="17"/>
  <c r="G332" i="17"/>
  <c r="I388" i="2"/>
  <c r="I395" i="2"/>
  <c r="I396" i="2"/>
  <c r="I397" i="2"/>
  <c r="I398" i="2"/>
  <c r="I399" i="2"/>
  <c r="I400" i="2"/>
  <c r="I401" i="2"/>
  <c r="I402" i="2"/>
  <c r="I404" i="2"/>
  <c r="I405" i="2"/>
  <c r="I406" i="2"/>
  <c r="I407" i="2"/>
  <c r="I408" i="2"/>
  <c r="I409" i="2"/>
  <c r="I403" i="2"/>
  <c r="I420" i="2"/>
  <c r="I421" i="2"/>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7" i="17"/>
  <c r="G68" i="17"/>
  <c r="G69" i="17"/>
  <c r="G70" i="17"/>
  <c r="F293" i="17"/>
  <c r="F251" i="17"/>
  <c r="G251" i="17"/>
  <c r="F252" i="17"/>
  <c r="G252" i="17"/>
  <c r="F253" i="17"/>
  <c r="G253" i="17"/>
  <c r="F254" i="17"/>
  <c r="G254" i="17"/>
  <c r="F255" i="17"/>
  <c r="G255" i="17"/>
  <c r="F256" i="17"/>
  <c r="G256" i="17"/>
  <c r="F257" i="17"/>
  <c r="G257" i="17"/>
  <c r="F258" i="17"/>
  <c r="G258" i="17"/>
  <c r="F259" i="17"/>
  <c r="G259" i="17"/>
  <c r="F260" i="17"/>
  <c r="G260" i="17"/>
  <c r="F261" i="17"/>
  <c r="G261" i="17"/>
  <c r="F262" i="17"/>
  <c r="G262" i="17"/>
  <c r="F263" i="17"/>
  <c r="G263" i="17"/>
  <c r="F264" i="17"/>
  <c r="G264" i="17"/>
  <c r="F265" i="17"/>
  <c r="G265" i="17"/>
  <c r="F266" i="17"/>
  <c r="G266" i="17"/>
  <c r="F267" i="17"/>
  <c r="G267" i="17"/>
  <c r="F268" i="17"/>
  <c r="G268" i="17"/>
  <c r="F269" i="17"/>
  <c r="G269" i="17"/>
  <c r="F270" i="17"/>
  <c r="G270" i="17"/>
  <c r="F271" i="17"/>
  <c r="G271" i="17"/>
  <c r="F272" i="17"/>
  <c r="G272" i="17"/>
  <c r="F273" i="17"/>
  <c r="G273" i="17"/>
  <c r="F274" i="17"/>
  <c r="G274" i="17"/>
  <c r="F275" i="17"/>
  <c r="G275" i="17"/>
  <c r="F277" i="17"/>
  <c r="G277" i="17"/>
  <c r="F278" i="17"/>
  <c r="G278" i="17"/>
  <c r="F279" i="17"/>
  <c r="G279" i="17"/>
  <c r="F280" i="17"/>
  <c r="G280" i="17"/>
  <c r="F281" i="17"/>
  <c r="G281" i="17"/>
  <c r="F283" i="17"/>
  <c r="G283" i="17"/>
  <c r="F284" i="17"/>
  <c r="G284" i="17"/>
  <c r="F285" i="17"/>
  <c r="G285" i="17"/>
  <c r="F286" i="17"/>
  <c r="G286" i="17"/>
  <c r="F287" i="17"/>
  <c r="G287" i="17"/>
  <c r="F288" i="17"/>
  <c r="G288" i="17"/>
  <c r="F289" i="17"/>
  <c r="G289" i="17"/>
  <c r="F290" i="17"/>
  <c r="G290" i="17"/>
  <c r="F291" i="17"/>
  <c r="G291" i="17"/>
  <c r="F292" i="17"/>
  <c r="G292" i="17"/>
  <c r="G293" i="17"/>
  <c r="Q185" i="2"/>
  <c r="Q207" i="2"/>
  <c r="R207" i="2"/>
  <c r="S207" i="2"/>
  <c r="T207" i="2"/>
  <c r="U207" i="2"/>
  <c r="Q210" i="2"/>
  <c r="Q213" i="2"/>
  <c r="Q217" i="2"/>
  <c r="Y233" i="2"/>
  <c r="X233" i="2"/>
  <c r="W233" i="2"/>
  <c r="I227" i="2"/>
  <c r="G150" i="17"/>
  <c r="G151" i="17"/>
  <c r="G152" i="17"/>
  <c r="G153" i="17"/>
  <c r="G154" i="17"/>
  <c r="G155" i="17"/>
  <c r="G156" i="17"/>
  <c r="G157" i="17"/>
  <c r="G158" i="17"/>
  <c r="G149" i="17"/>
  <c r="G224"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35" i="17"/>
  <c r="G88" i="17"/>
  <c r="G89" i="17"/>
  <c r="G297" i="17"/>
  <c r="G298" i="17"/>
  <c r="G299" i="17"/>
  <c r="G300" i="17"/>
  <c r="G301" i="17"/>
  <c r="G302" i="17"/>
  <c r="G303" i="17"/>
  <c r="G304" i="17"/>
  <c r="G305" i="17"/>
  <c r="G306" i="17"/>
  <c r="G307" i="17"/>
  <c r="G296" i="17"/>
  <c r="G310" i="17"/>
  <c r="G21" i="17"/>
  <c r="F173" i="17"/>
  <c r="G173" i="17"/>
  <c r="G25" i="21"/>
  <c r="G184" i="17" s="1"/>
  <c r="F25" i="21"/>
  <c r="F184" i="17" s="1"/>
  <c r="G181" i="17"/>
  <c r="F44" i="21"/>
  <c r="F203" i="17"/>
  <c r="G61" i="21"/>
  <c r="G220" i="17" s="1"/>
  <c r="F61" i="21"/>
  <c r="F220" i="17" s="1"/>
  <c r="G60" i="21"/>
  <c r="G219" i="17" s="1"/>
  <c r="F60" i="21"/>
  <c r="F219" i="17"/>
  <c r="G59" i="21"/>
  <c r="G218" i="17"/>
  <c r="F59" i="21"/>
  <c r="F218" i="17"/>
  <c r="G58" i="21"/>
  <c r="G217" i="17"/>
  <c r="F58" i="21"/>
  <c r="F217" i="17"/>
  <c r="G57" i="21"/>
  <c r="G216" i="17" s="1"/>
  <c r="F57" i="21"/>
  <c r="F216" i="17" s="1"/>
  <c r="F51" i="21"/>
  <c r="F210" i="17" s="1"/>
  <c r="G50" i="21"/>
  <c r="G209" i="17"/>
  <c r="F50" i="21"/>
  <c r="F209" i="17"/>
  <c r="F45" i="21"/>
  <c r="F204" i="17"/>
  <c r="F41" i="21"/>
  <c r="F200" i="17"/>
  <c r="G197" i="17"/>
  <c r="F197" i="17"/>
  <c r="G196" i="17"/>
  <c r="F196" i="17"/>
  <c r="G32" i="21"/>
  <c r="G191" i="17" s="1"/>
  <c r="F32" i="21"/>
  <c r="F191" i="17" s="1"/>
  <c r="G188" i="17"/>
  <c r="F188" i="17"/>
  <c r="G187" i="17"/>
  <c r="G183" i="17"/>
  <c r="F183" i="17"/>
  <c r="G23" i="21"/>
  <c r="G182" i="17" s="1"/>
  <c r="F179" i="17"/>
  <c r="F178" i="17"/>
  <c r="F177" i="17"/>
  <c r="G176" i="17"/>
  <c r="F176" i="17"/>
  <c r="G11" i="21"/>
  <c r="G170" i="17" s="1"/>
  <c r="F11" i="21"/>
  <c r="F170" i="17" s="1"/>
  <c r="G8" i="21"/>
  <c r="G167" i="17"/>
  <c r="G7" i="21"/>
  <c r="G166" i="17"/>
  <c r="F5" i="21"/>
  <c r="F164" i="17"/>
  <c r="F2" i="21"/>
  <c r="F161" i="17"/>
  <c r="G2" i="21"/>
  <c r="G161" i="17"/>
  <c r="F3" i="21"/>
  <c r="F162" i="17" s="1"/>
  <c r="G3" i="21"/>
  <c r="G162" i="17" s="1"/>
  <c r="F4" i="21"/>
  <c r="F163" i="17" s="1"/>
  <c r="G4" i="21"/>
  <c r="G163" i="17"/>
  <c r="G5" i="21"/>
  <c r="G164" i="17"/>
  <c r="F6" i="21"/>
  <c r="F165" i="17"/>
  <c r="G6" i="21"/>
  <c r="G165" i="17"/>
  <c r="F7" i="21"/>
  <c r="F166" i="17"/>
  <c r="F8" i="21"/>
  <c r="F167" i="17" s="1"/>
  <c r="F9" i="21"/>
  <c r="F168" i="17" s="1"/>
  <c r="G9" i="21"/>
  <c r="G168" i="17" s="1"/>
  <c r="F10" i="21"/>
  <c r="F169" i="17"/>
  <c r="G10" i="21"/>
  <c r="G169" i="17"/>
  <c r="F12" i="21"/>
  <c r="F171" i="17"/>
  <c r="G12" i="21"/>
  <c r="G171" i="17"/>
  <c r="F13" i="21"/>
  <c r="F172" i="17"/>
  <c r="G13" i="21"/>
  <c r="G172" i="17" s="1"/>
  <c r="F174" i="17"/>
  <c r="G174" i="17"/>
  <c r="F16" i="21"/>
  <c r="F175" i="17" s="1"/>
  <c r="G16" i="21"/>
  <c r="G175" i="17"/>
  <c r="G177" i="17"/>
  <c r="G178" i="17"/>
  <c r="G179" i="17"/>
  <c r="F180" i="17"/>
  <c r="G180" i="17"/>
  <c r="F181" i="17"/>
  <c r="F23" i="21"/>
  <c r="F182" i="17"/>
  <c r="F185" i="17"/>
  <c r="G185" i="17"/>
  <c r="F186" i="17"/>
  <c r="G186" i="17"/>
  <c r="F187" i="17"/>
  <c r="F30" i="21"/>
  <c r="F189" i="17"/>
  <c r="G30" i="21"/>
  <c r="G189" i="17" s="1"/>
  <c r="F31" i="21"/>
  <c r="F190" i="17" s="1"/>
  <c r="G31" i="21"/>
  <c r="G190" i="17" s="1"/>
  <c r="F33" i="21"/>
  <c r="F192" i="17" s="1"/>
  <c r="G33" i="21"/>
  <c r="G192" i="17" s="1"/>
  <c r="F34" i="21"/>
  <c r="F193" i="17"/>
  <c r="G34" i="21"/>
  <c r="G193" i="17"/>
  <c r="F35" i="21"/>
  <c r="F194" i="17"/>
  <c r="G35" i="21"/>
  <c r="G194" i="17" s="1"/>
  <c r="F36" i="21"/>
  <c r="F195" i="17" s="1"/>
  <c r="G36" i="21"/>
  <c r="G195" i="17" s="1"/>
  <c r="F39" i="21"/>
  <c r="F198" i="17" s="1"/>
  <c r="G39" i="21"/>
  <c r="G198" i="17" s="1"/>
  <c r="F199" i="17"/>
  <c r="G199" i="17"/>
  <c r="G41" i="21"/>
  <c r="G200" i="17"/>
  <c r="F42" i="21"/>
  <c r="F201" i="17"/>
  <c r="G42" i="21"/>
  <c r="G201" i="17" s="1"/>
  <c r="F43" i="21"/>
  <c r="F202" i="17" s="1"/>
  <c r="G43" i="21"/>
  <c r="G202" i="17" s="1"/>
  <c r="G44" i="21"/>
  <c r="G203" i="17" s="1"/>
  <c r="G45" i="21"/>
  <c r="G204" i="17" s="1"/>
  <c r="F46" i="21"/>
  <c r="F205" i="17"/>
  <c r="G46" i="21"/>
  <c r="G205" i="17"/>
  <c r="F47" i="21"/>
  <c r="F206" i="17"/>
  <c r="G47" i="21"/>
  <c r="G206" i="17" s="1"/>
  <c r="F207" i="17"/>
  <c r="G207" i="17"/>
  <c r="F49" i="21"/>
  <c r="F208" i="17" s="1"/>
  <c r="G49" i="21"/>
  <c r="G208" i="17" s="1"/>
  <c r="G51" i="21"/>
  <c r="G210" i="17" s="1"/>
  <c r="F52" i="21"/>
  <c r="F211" i="17"/>
  <c r="G52" i="21"/>
  <c r="G211" i="17"/>
  <c r="F53" i="21"/>
  <c r="F212" i="17"/>
  <c r="G53" i="21"/>
  <c r="G212" i="17" s="1"/>
  <c r="F213" i="17"/>
  <c r="G213" i="17"/>
  <c r="F55" i="21"/>
  <c r="F214" i="17" s="1"/>
  <c r="G55" i="21"/>
  <c r="G214" i="17" s="1"/>
  <c r="F56" i="21"/>
  <c r="F215" i="17" s="1"/>
  <c r="G56" i="21"/>
  <c r="G215" i="17"/>
  <c r="F221" i="17"/>
  <c r="G221" i="17"/>
  <c r="F14" i="16"/>
  <c r="G85" i="17"/>
  <c r="F13" i="16"/>
  <c r="G84" i="17" s="1"/>
  <c r="F12" i="16"/>
  <c r="G83" i="17" s="1"/>
  <c r="F15" i="16"/>
  <c r="G86" i="17" s="1"/>
  <c r="F16" i="16"/>
  <c r="G87" i="17" s="1"/>
  <c r="G90" i="17"/>
  <c r="G91" i="17"/>
  <c r="F22" i="16"/>
  <c r="G93" i="17"/>
  <c r="F24" i="16"/>
  <c r="G95" i="17"/>
  <c r="F25" i="16"/>
  <c r="G96" i="17"/>
  <c r="F28" i="16"/>
  <c r="G99" i="17" s="1"/>
  <c r="F26" i="16"/>
  <c r="G97" i="17" s="1"/>
  <c r="F27" i="16"/>
  <c r="G98" i="17" s="1"/>
  <c r="F29" i="16"/>
  <c r="G100" i="17" s="1"/>
  <c r="F30" i="16"/>
  <c r="G101" i="17" s="1"/>
  <c r="F10" i="16"/>
  <c r="G81" i="17"/>
  <c r="F23" i="16"/>
  <c r="G94" i="17"/>
  <c r="F21" i="16"/>
  <c r="G92" i="17"/>
  <c r="F11" i="16"/>
  <c r="G82" i="17" s="1"/>
  <c r="F9" i="16"/>
  <c r="G80" i="17" s="1"/>
  <c r="F8" i="16"/>
  <c r="G79" i="17" s="1"/>
  <c r="F7" i="16"/>
  <c r="G78" i="17" s="1"/>
  <c r="F6" i="16"/>
  <c r="G77" i="17" s="1"/>
  <c r="F5" i="16"/>
  <c r="G76" i="17"/>
  <c r="F4" i="16"/>
  <c r="G75" i="17"/>
  <c r="F3" i="16"/>
  <c r="G74" i="17"/>
  <c r="F2" i="16"/>
  <c r="G73" i="17" s="1"/>
  <c r="I419" i="2"/>
  <c r="I418" i="2"/>
  <c r="I417" i="2"/>
  <c r="I416" i="2"/>
  <c r="I415" i="2"/>
  <c r="I414" i="2"/>
  <c r="I413" i="2"/>
  <c r="I412" i="2"/>
  <c r="I411" i="2"/>
  <c r="I410" i="2"/>
  <c r="I387" i="2"/>
  <c r="I386" i="2"/>
  <c r="I385" i="2"/>
  <c r="I384" i="2"/>
  <c r="I383" i="2"/>
  <c r="I382" i="2"/>
  <c r="I381" i="2"/>
  <c r="E376" i="2"/>
  <c r="F376" i="2"/>
  <c r="G376" i="2"/>
  <c r="H376" i="2"/>
  <c r="I376" i="2"/>
  <c r="D376" i="2"/>
  <c r="I371" i="17" s="1"/>
  <c r="E339" i="2"/>
  <c r="F339" i="2"/>
  <c r="G339" i="2"/>
  <c r="H339" i="2"/>
  <c r="I339" i="2"/>
  <c r="D339" i="2"/>
  <c r="I334" i="17"/>
  <c r="A18" i="17"/>
  <c r="L18" i="17"/>
  <c r="P19" i="1" s="1"/>
  <c r="A16" i="17"/>
  <c r="B16" i="17" s="1"/>
  <c r="G15" i="1" s="1"/>
  <c r="I160" i="17"/>
  <c r="I103" i="17"/>
  <c r="E76" i="2"/>
  <c r="F76" i="2"/>
  <c r="G76" i="2"/>
  <c r="H76" i="2"/>
  <c r="I76" i="2"/>
  <c r="D76" i="2"/>
  <c r="I72" i="17"/>
  <c r="D300" i="2"/>
  <c r="I295" i="17"/>
  <c r="E300" i="2"/>
  <c r="F300" i="2"/>
  <c r="G300" i="2"/>
  <c r="H300" i="2"/>
  <c r="I300" i="2"/>
  <c r="U5" i="2"/>
  <c r="U6" i="2" s="1"/>
  <c r="U7" i="2" s="1"/>
  <c r="T5" i="2"/>
  <c r="T6" i="2" s="1"/>
  <c r="S5" i="2"/>
  <c r="S6" i="2" s="1"/>
  <c r="S7" i="2" s="1"/>
  <c r="R5" i="2"/>
  <c r="R6" i="2" s="1"/>
  <c r="Q5" i="2"/>
  <c r="Q6" i="2" s="1"/>
  <c r="Q7" i="2" s="1"/>
  <c r="I314" i="2"/>
  <c r="H314" i="2"/>
  <c r="G314" i="2"/>
  <c r="F314" i="2"/>
  <c r="E314" i="2"/>
  <c r="D314" i="2"/>
  <c r="I309" i="17"/>
  <c r="D24" i="2"/>
  <c r="I20" i="17"/>
  <c r="E24" i="2"/>
  <c r="F24" i="2"/>
  <c r="G24" i="2"/>
  <c r="H24" i="2"/>
  <c r="I24" i="2"/>
  <c r="R140" i="2"/>
  <c r="D227" i="2"/>
  <c r="I223" i="17" s="1"/>
  <c r="F227" i="2"/>
  <c r="G227" i="2"/>
  <c r="H227" i="2"/>
  <c r="E227" i="2"/>
  <c r="E107" i="2"/>
  <c r="F107" i="2"/>
  <c r="G107" i="2"/>
  <c r="H107" i="2"/>
  <c r="I107" i="2"/>
  <c r="N1" i="2"/>
  <c r="N314" i="2" s="1"/>
  <c r="M1" i="2"/>
  <c r="T169" i="2" s="1"/>
  <c r="O12" i="28"/>
  <c r="AF32" i="21"/>
  <c r="AC13" i="21"/>
  <c r="AG56" i="21"/>
  <c r="AH7" i="21"/>
  <c r="AH10" i="21"/>
  <c r="AF53" i="21"/>
  <c r="AG37" i="21"/>
  <c r="AG43" i="21"/>
  <c r="AE47" i="21"/>
  <c r="AH51" i="21"/>
  <c r="AF55" i="21"/>
  <c r="AH59" i="21"/>
  <c r="AF2" i="21"/>
  <c r="AE6" i="21"/>
  <c r="AH11" i="21"/>
  <c r="AC20" i="21"/>
  <c r="AF30" i="21"/>
  <c r="AG38" i="21"/>
  <c r="AG46" i="21"/>
  <c r="AG16" i="21"/>
  <c r="AE59" i="21"/>
  <c r="AH40" i="21"/>
  <c r="AF10" i="21"/>
  <c r="AF13" i="21"/>
  <c r="AE40" i="21"/>
  <c r="AG42" i="21"/>
  <c r="AG51" i="21"/>
  <c r="AE55" i="21"/>
  <c r="AG59" i="21"/>
  <c r="AE2" i="21"/>
  <c r="AH4" i="21"/>
  <c r="AG11" i="21"/>
  <c r="AC16" i="21"/>
  <c r="AH20" i="21"/>
  <c r="AG25" i="21"/>
  <c r="AE61" i="21"/>
  <c r="AH37" i="21"/>
  <c r="AE19" i="21"/>
  <c r="AC61" i="21"/>
  <c r="AF43" i="21"/>
  <c r="AH58" i="21"/>
  <c r="AC42" i="21"/>
  <c r="AC46" i="21"/>
  <c r="AG50" i="21"/>
  <c r="AC58" i="21"/>
  <c r="AC62" i="21"/>
  <c r="AG4" i="21"/>
  <c r="AH15" i="21"/>
  <c r="AG20" i="21"/>
  <c r="AF25" i="21"/>
  <c r="AE30" i="21"/>
  <c r="AF38" i="21"/>
  <c r="AF46" i="21"/>
  <c r="AF7" i="21"/>
  <c r="AG54" i="21"/>
  <c r="AF40" i="21"/>
  <c r="AC21" i="21"/>
  <c r="AF3" i="21"/>
  <c r="AE5" i="21"/>
  <c r="AH18" i="21"/>
  <c r="AF61" i="21"/>
  <c r="AG45" i="21"/>
  <c r="AF50" i="21"/>
  <c r="AC54" i="21"/>
  <c r="AG58" i="21"/>
  <c r="AH62" i="21"/>
  <c r="AF4" i="21"/>
  <c r="AC9" i="21"/>
  <c r="AF15" i="21"/>
  <c r="AF20" i="21"/>
  <c r="AE25" i="21"/>
  <c r="AC33" i="21"/>
  <c r="AC41" i="21"/>
  <c r="AC49" i="21"/>
  <c r="AG61" i="21"/>
  <c r="AH53" i="21"/>
  <c r="AE35" i="21"/>
  <c r="AH16" i="21"/>
  <c r="AF59" i="21"/>
  <c r="AG18" i="21"/>
  <c r="AE16" i="21"/>
  <c r="AG3" i="21"/>
  <c r="AG14" i="21"/>
  <c r="AG19" i="21"/>
  <c r="AF23" i="21"/>
  <c r="AE28" i="21"/>
  <c r="AH36" i="21"/>
  <c r="AE41" i="21"/>
  <c r="AC44" i="21"/>
  <c r="AF49" i="21"/>
  <c r="AC60" i="21"/>
  <c r="AG12" i="21"/>
  <c r="AC30" i="21"/>
  <c r="AH13" i="21"/>
  <c r="AF56" i="21"/>
  <c r="AC37" i="21"/>
  <c r="AF19" i="21"/>
  <c r="AE21" i="21"/>
  <c r="AH34" i="21"/>
  <c r="AC18" i="21"/>
  <c r="AC8" i="21"/>
  <c r="AF14" i="21"/>
  <c r="AF18" i="21"/>
  <c r="AE23" i="21"/>
  <c r="AC32" i="21"/>
  <c r="AG36" i="21"/>
  <c r="AH44" i="21"/>
  <c r="AE49" i="21"/>
  <c r="AC52" i="21"/>
  <c r="AF57" i="21"/>
  <c r="AH17" i="21"/>
  <c r="AG34" i="21"/>
  <c r="AF16" i="21"/>
  <c r="AG40" i="21"/>
  <c r="AC4" i="21"/>
  <c r="AC23" i="21"/>
  <c r="AF37" i="21"/>
  <c r="AG21" i="21"/>
  <c r="AE14" i="21"/>
  <c r="AE18" i="21"/>
  <c r="AC27" i="21"/>
  <c r="AH31" i="21"/>
  <c r="AF36" i="21"/>
  <c r="AC40" i="21"/>
  <c r="AG44" i="21"/>
  <c r="AH52" i="21"/>
  <c r="AE57" i="21"/>
  <c r="AH60" i="21"/>
  <c r="AF12" i="21"/>
  <c r="AF22" i="21"/>
  <c r="AC38" i="21"/>
  <c r="AH21" i="21"/>
  <c r="AE3" i="21"/>
  <c r="AC45" i="21"/>
  <c r="AF27" i="21"/>
  <c r="AE10" i="21"/>
  <c r="AE29" i="21"/>
  <c r="AH42" i="21"/>
  <c r="AC26" i="21"/>
  <c r="AH22" i="21"/>
  <c r="AG27" i="21"/>
  <c r="AF31" i="21"/>
  <c r="AH39" i="21"/>
  <c r="AE44" i="21"/>
  <c r="AC47" i="21"/>
  <c r="AF52" i="21"/>
  <c r="AC56" i="21"/>
  <c r="AF60" i="21"/>
  <c r="AE12" i="21"/>
  <c r="AE22" i="21"/>
  <c r="AH30" i="21"/>
  <c r="AH46" i="21"/>
  <c r="AB25" i="9"/>
  <c r="AE24" i="9"/>
  <c r="AE34" i="9"/>
  <c r="AB41" i="9"/>
  <c r="AD7" i="9"/>
  <c r="AD50" i="9"/>
  <c r="AF7" i="9"/>
  <c r="AF27" i="9"/>
  <c r="AG5" i="9"/>
  <c r="AD49" i="9"/>
  <c r="AE10" i="9"/>
  <c r="AE53" i="9"/>
  <c r="AG30" i="9"/>
  <c r="AE52" i="9"/>
  <c r="AE26" i="9"/>
  <c r="AF56" i="9"/>
  <c r="AD21" i="9"/>
  <c r="AE19" i="9"/>
  <c r="AE57" i="9"/>
  <c r="AD12" i="9"/>
  <c r="AG48" i="9"/>
  <c r="AF29" i="9"/>
  <c r="AB17" i="9"/>
  <c r="AB37" i="9"/>
  <c r="AE31" i="9"/>
  <c r="AD55" i="9"/>
  <c r="AE32" i="9"/>
  <c r="AG49" i="9"/>
  <c r="AE5" i="9"/>
  <c r="AD3" i="9"/>
  <c r="AD56" i="9"/>
  <c r="AB19" i="9"/>
  <c r="AF8" i="9"/>
  <c r="AF51" i="9"/>
  <c r="AG4" i="9"/>
  <c r="AB2" i="9"/>
  <c r="AF34" i="9"/>
  <c r="AF35" i="9"/>
  <c r="AB51" i="9"/>
  <c r="AE11" i="9"/>
  <c r="AG43" i="9"/>
  <c r="AD2" i="9"/>
  <c r="AE22" i="9"/>
  <c r="AE49" i="9"/>
  <c r="AD20" i="9"/>
  <c r="AG7" i="9"/>
  <c r="AG13" i="16"/>
  <c r="AD20" i="16"/>
  <c r="AD5" i="16"/>
  <c r="AB4" i="16"/>
  <c r="AB29" i="16"/>
  <c r="AE18" i="16"/>
  <c r="AG10" i="16"/>
  <c r="AB24" i="16"/>
  <c r="AF21" i="16"/>
  <c r="AF25" i="16"/>
  <c r="AG30" i="16"/>
  <c r="AD3" i="16"/>
  <c r="AE16" i="16"/>
  <c r="AD7" i="16"/>
  <c r="AB12" i="16"/>
  <c r="AB28" i="16"/>
  <c r="AG7" i="16"/>
  <c r="AD16" i="16"/>
  <c r="AE27" i="16"/>
  <c r="AB30" i="16"/>
  <c r="AF22" i="16"/>
  <c r="AG20" i="16"/>
  <c r="AE11" i="16"/>
  <c r="AG26" i="16"/>
  <c r="AF2" i="16"/>
  <c r="AD13" i="16"/>
  <c r="AB23" i="16"/>
  <c r="AF14" i="16"/>
  <c r="AD9" i="16"/>
  <c r="AE12" i="16"/>
  <c r="AB6" i="16"/>
  <c r="AD23" i="16"/>
  <c r="AF20" i="16"/>
  <c r="AG18" i="16"/>
  <c r="AE28" i="16"/>
  <c r="AE5" i="16"/>
  <c r="AD6" i="16"/>
  <c r="AE21" i="16"/>
  <c r="AF11" i="16"/>
  <c r="AE9" i="16"/>
  <c r="AF10" i="16"/>
  <c r="AF24" i="16"/>
  <c r="AE2" i="16"/>
  <c r="AF15" i="16"/>
  <c r="AE19" i="16"/>
  <c r="AG3" i="16"/>
  <c r="AB16" i="16"/>
  <c r="AE8" i="16"/>
  <c r="AG27" i="16"/>
  <c r="AG23" i="16"/>
  <c r="AG16" i="16"/>
  <c r="AD2" i="16"/>
  <c r="AD24" i="16"/>
  <c r="AE6" i="16"/>
  <c r="AE23" i="16"/>
  <c r="AE17" i="16"/>
  <c r="AD12" i="16"/>
  <c r="AF30" i="16"/>
  <c r="AG12" i="16"/>
  <c r="AF16" i="16"/>
  <c r="AG28" i="16"/>
  <c r="AB7" i="16"/>
  <c r="AD21" i="16"/>
  <c r="AF5" i="16"/>
  <c r="AE26" i="16"/>
  <c r="AG17" i="16"/>
  <c r="AG25" i="16"/>
  <c r="AF4" i="16"/>
  <c r="AD25" i="16"/>
  <c r="AE15" i="16"/>
  <c r="AB15" i="16"/>
  <c r="AF3" i="16"/>
  <c r="AG19" i="16"/>
  <c r="AD11" i="16"/>
  <c r="AE24" i="16"/>
  <c r="AG8" i="16"/>
  <c r="AE10" i="16"/>
  <c r="AB21" i="16"/>
  <c r="AD10" i="16"/>
  <c r="AB8" i="16"/>
  <c r="AE13" i="16"/>
  <c r="AB17" i="16"/>
  <c r="AF18" i="16"/>
  <c r="AD19" i="16"/>
  <c r="AG6" i="16"/>
  <c r="AB22" i="16"/>
  <c r="AE14" i="16"/>
  <c r="AF27" i="16"/>
  <c r="AB11" i="16"/>
  <c r="AB26" i="16"/>
  <c r="AB19" i="16"/>
  <c r="AG5" i="16"/>
  <c r="AG14" i="16"/>
  <c r="AF9" i="16"/>
  <c r="AF26" i="16"/>
  <c r="AG4" i="16"/>
  <c r="AD8" i="16"/>
  <c r="AG21" i="16"/>
  <c r="AB2" i="16"/>
  <c r="AE22" i="16"/>
  <c r="AB9" i="16"/>
  <c r="AD26" i="16"/>
  <c r="AE4" i="16"/>
  <c r="AF17" i="16"/>
  <c r="AG29" i="16"/>
  <c r="AD15" i="16"/>
  <c r="AB10" i="16"/>
  <c r="AB13" i="16"/>
  <c r="AD27" i="16"/>
  <c r="AG24" i="16"/>
  <c r="AG15" i="16"/>
  <c r="AG22" i="16"/>
  <c r="AB3" i="16"/>
  <c r="AE29" i="16"/>
  <c r="AB27" i="16"/>
  <c r="AG2" i="16"/>
  <c r="AB18" i="16"/>
  <c r="AF6" i="16"/>
  <c r="AB25" i="16"/>
  <c r="AD4" i="16"/>
  <c r="AE20" i="16"/>
  <c r="AB14" i="16"/>
  <c r="AD30" i="16"/>
  <c r="AD29" i="16"/>
  <c r="AF12" i="16"/>
  <c r="AF19" i="16"/>
  <c r="AF8" i="16"/>
  <c r="AF28" i="16"/>
  <c r="AE3" i="16"/>
  <c r="AD17" i="16"/>
  <c r="AG11" i="16"/>
  <c r="AF13" i="16"/>
  <c r="AB5" i="16"/>
  <c r="AD22" i="16"/>
  <c r="AG9" i="16"/>
  <c r="AD28" i="16"/>
  <c r="AE7" i="16"/>
  <c r="AF23" i="16"/>
  <c r="AD18" i="16"/>
  <c r="AD14" i="16"/>
  <c r="AD5" i="12"/>
  <c r="AG21" i="12"/>
  <c r="AF9" i="12"/>
  <c r="AE2" i="12"/>
  <c r="AG8" i="12"/>
  <c r="AE35" i="12"/>
  <c r="AG43" i="12"/>
  <c r="AD10" i="12"/>
  <c r="AG19" i="12"/>
  <c r="AB6" i="12"/>
  <c r="AF31" i="12"/>
  <c r="AD22" i="12"/>
  <c r="AB47" i="12"/>
  <c r="AE24" i="12"/>
  <c r="AD12" i="12"/>
  <c r="AF4" i="12"/>
  <c r="AB38" i="12"/>
  <c r="AF19" i="12"/>
  <c r="AE22" i="12"/>
  <c r="AB36" i="12"/>
  <c r="AG47" i="12"/>
  <c r="AG5" i="12"/>
  <c r="AD36" i="12"/>
  <c r="AB39" i="12"/>
  <c r="AB16" i="12"/>
  <c r="AE4" i="12"/>
  <c r="AG7" i="12"/>
  <c r="AE15" i="12"/>
  <c r="AB42" i="12"/>
  <c r="AD24" i="12"/>
  <c r="AB30" i="12"/>
  <c r="AB49" i="12"/>
  <c r="AF47" i="12"/>
  <c r="AD51" i="12"/>
  <c r="AG44" i="12"/>
  <c r="AE26" i="12"/>
  <c r="AB13" i="12"/>
  <c r="AF2" i="12"/>
  <c r="AD31" i="12"/>
  <c r="AF6" i="12"/>
  <c r="AB19" i="12"/>
  <c r="AE38" i="12"/>
  <c r="AD41" i="12"/>
  <c r="AE49" i="12"/>
  <c r="AF26" i="12"/>
  <c r="AF14" i="12"/>
  <c r="AF16" i="12"/>
  <c r="AB4" i="12"/>
  <c r="AD25" i="12"/>
  <c r="AB44" i="12"/>
  <c r="AG41" i="12"/>
  <c r="AE36" i="12"/>
  <c r="AD19" i="12"/>
  <c r="AB51" i="12"/>
  <c r="AF12" i="12"/>
  <c r="AB18" i="12"/>
  <c r="AF29" i="12"/>
  <c r="AG2" i="12"/>
  <c r="AE29" i="12"/>
  <c r="AD35" i="12"/>
  <c r="AF7" i="12"/>
  <c r="AG22" i="12"/>
  <c r="AF43" i="12"/>
  <c r="AB43" i="12"/>
  <c r="AF40" i="12"/>
  <c r="AD30" i="12"/>
  <c r="AG11" i="12"/>
  <c r="AF46" i="12"/>
  <c r="AD50" i="12"/>
  <c r="AG33" i="12"/>
  <c r="AF34" i="12"/>
  <c r="AE32" i="12"/>
  <c r="AF24" i="12"/>
  <c r="AB14" i="12"/>
  <c r="AD39" i="12"/>
  <c r="AE39" i="12"/>
  <c r="AE12" i="12"/>
  <c r="AF27" i="12"/>
  <c r="AG46" i="12"/>
  <c r="AE23" i="12"/>
  <c r="AD48" i="12"/>
  <c r="AE9" i="12"/>
  <c r="AG30" i="12"/>
  <c r="AG51" i="12"/>
  <c r="AG40" i="12"/>
  <c r="AE51" i="12"/>
  <c r="AB33" i="12"/>
  <c r="AE47" i="12"/>
  <c r="AD27" i="12"/>
  <c r="AF17" i="12"/>
  <c r="AD42" i="12"/>
  <c r="AE42" i="12"/>
  <c r="AD18" i="12"/>
  <c r="AG4" i="12"/>
  <c r="AE31" i="12"/>
  <c r="AE28" i="12"/>
  <c r="AF51" i="12"/>
  <c r="AG9" i="12"/>
  <c r="AE37" i="12"/>
  <c r="AG15" i="12"/>
  <c r="AD47" i="12"/>
  <c r="AG37" i="12"/>
  <c r="AB29" i="12"/>
  <c r="AD20" i="12"/>
  <c r="AD45" i="12"/>
  <c r="AE45" i="12"/>
  <c r="AE21" i="12"/>
  <c r="AE11" i="12"/>
  <c r="AB34" i="12"/>
  <c r="AE6" i="12"/>
  <c r="AB31" i="12"/>
  <c r="AD9" i="12"/>
  <c r="AD44" i="12"/>
  <c r="AF25" i="12"/>
  <c r="AB40" i="12"/>
  <c r="AD34" i="12"/>
  <c r="AE40" i="12"/>
  <c r="AF32" i="12"/>
  <c r="AB22" i="12"/>
  <c r="AD49" i="12"/>
  <c r="AF49" i="12"/>
  <c r="AB24" i="12"/>
  <c r="AG38" i="12"/>
  <c r="AB12" i="12"/>
  <c r="AG35" i="12"/>
  <c r="AE13" i="12"/>
  <c r="AF21" i="12"/>
  <c r="AE50" i="12"/>
  <c r="AB32" i="12"/>
  <c r="AD16" i="12"/>
  <c r="AD26" i="12"/>
  <c r="AE34" i="12"/>
  <c r="AF10" i="12"/>
  <c r="AG6" i="12"/>
  <c r="AD3" i="12"/>
  <c r="AB45" i="12"/>
  <c r="AD14" i="12"/>
  <c r="AE14" i="12"/>
  <c r="AG14" i="12"/>
  <c r="AD15" i="12"/>
  <c r="AF38" i="12"/>
  <c r="AG12" i="12"/>
  <c r="AF35" i="12"/>
  <c r="AD13" i="12"/>
  <c r="AF36" i="12"/>
  <c r="AB9" i="12"/>
  <c r="AE44" i="12"/>
  <c r="AG25" i="12"/>
  <c r="AE20" i="12"/>
  <c r="AE41" i="12"/>
  <c r="AG48" i="12"/>
  <c r="AE8" i="12"/>
  <c r="AG10" i="12"/>
  <c r="AB11" i="12"/>
  <c r="AD6" i="12"/>
  <c r="AG13" i="12"/>
  <c r="AB5" i="12"/>
  <c r="AE3" i="12"/>
  <c r="AD17" i="12"/>
  <c r="AE17" i="12"/>
  <c r="AG17" i="12"/>
  <c r="AE18" i="12"/>
  <c r="AF42" i="12"/>
  <c r="AF18" i="12"/>
  <c r="AF39" i="12"/>
  <c r="AE19" i="12"/>
  <c r="AF50" i="12"/>
  <c r="AF33" i="12"/>
  <c r="AG36" i="12"/>
  <c r="AD46" i="12"/>
  <c r="AD2" i="12"/>
  <c r="AB10" i="12"/>
  <c r="AG34" i="12"/>
  <c r="AF37" i="12"/>
  <c r="AB28" i="12"/>
  <c r="AE16" i="12"/>
  <c r="AF8" i="12"/>
  <c r="AB3" i="12"/>
  <c r="AF20" i="12"/>
  <c r="AG20" i="12"/>
  <c r="AB20" i="12"/>
  <c r="AD21" i="12"/>
  <c r="AE5" i="12"/>
  <c r="AE46" i="12"/>
  <c r="AE43" i="12"/>
  <c r="AF23" i="12"/>
  <c r="AD7" i="12"/>
  <c r="AF30" i="12"/>
  <c r="AE10" i="12"/>
  <c r="AD40" i="12"/>
  <c r="AG49" i="12"/>
  <c r="AF41" i="12"/>
  <c r="AF48" i="12"/>
  <c r="AD43" i="12"/>
  <c r="AF11" i="12"/>
  <c r="AG31" i="12"/>
  <c r="AB15" i="12"/>
  <c r="AE48" i="12"/>
  <c r="AD11" i="12"/>
  <c r="AG23" i="12"/>
  <c r="AB23" i="12"/>
  <c r="AG24" i="12"/>
  <c r="AB8" i="12"/>
  <c r="AG50" i="12"/>
  <c r="AB46" i="12"/>
  <c r="AF28" i="12"/>
  <c r="AF13" i="12"/>
  <c r="AD37" i="12"/>
  <c r="AF15" i="12"/>
  <c r="AF45" i="12"/>
  <c r="AD29" i="12"/>
  <c r="R15" i="17"/>
  <c r="S170" i="2"/>
  <c r="U154" i="2"/>
  <c r="S396" i="2"/>
  <c r="T276" i="2"/>
  <c r="S65" i="2"/>
  <c r="AB20" i="9"/>
  <c r="AG11" i="9"/>
  <c r="AG40" i="9"/>
  <c r="AB24" i="9"/>
  <c r="AE25" i="9"/>
  <c r="AE38" i="9"/>
  <c r="AB44" i="9"/>
  <c r="AE29" i="9"/>
  <c r="AB15" i="9"/>
  <c r="AF23" i="9"/>
  <c r="AE33" i="9"/>
  <c r="AB53" i="9"/>
  <c r="AB57" i="9"/>
  <c r="AF28" i="9"/>
  <c r="AE55" i="9"/>
  <c r="AF3" i="9"/>
  <c r="AG35" i="9"/>
  <c r="AB31" i="9"/>
  <c r="AD5" i="9"/>
  <c r="AD48" i="9"/>
  <c r="AD9" i="9"/>
  <c r="AG31" i="9"/>
  <c r="AB11" i="9"/>
  <c r="AG6" i="9"/>
  <c r="AD4" i="9"/>
  <c r="AD33" i="9"/>
  <c r="AG36" i="9"/>
  <c r="AE37" i="9"/>
  <c r="AE12" i="9"/>
  <c r="AB27" i="9"/>
  <c r="AD42" i="9"/>
  <c r="AG39" i="9"/>
  <c r="AE8" i="9"/>
  <c r="AE51" i="9"/>
  <c r="AD38" i="9"/>
  <c r="AG22" i="9"/>
  <c r="AF10" i="9"/>
  <c r="AE36" i="9"/>
  <c r="AG14" i="9"/>
  <c r="AF40" i="9"/>
  <c r="AB39" i="9"/>
  <c r="AF15" i="9"/>
  <c r="AF44" i="9"/>
  <c r="AB43" i="9"/>
  <c r="AD29" i="9"/>
  <c r="AE45" i="9"/>
  <c r="AG13" i="9"/>
  <c r="AG42" i="9"/>
  <c r="AE14" i="9"/>
  <c r="AF48" i="9"/>
  <c r="AG46" i="9"/>
  <c r="AB22" i="9"/>
  <c r="AF9" i="9"/>
  <c r="AF22" i="9"/>
  <c r="AF52" i="9"/>
  <c r="AG16" i="9"/>
  <c r="AG45" i="9"/>
  <c r="AB33" i="9"/>
  <c r="AD24" i="9"/>
  <c r="AD54" i="9"/>
  <c r="AB38" i="9"/>
  <c r="AD28" i="9"/>
  <c r="AG12" i="9"/>
  <c r="AF38" i="9"/>
  <c r="AG55" i="9"/>
  <c r="AD23" i="9"/>
  <c r="AB34" i="9"/>
  <c r="AD27" i="9"/>
  <c r="AE27" i="9"/>
  <c r="AF11" i="9"/>
  <c r="AB21" i="9"/>
  <c r="AD31" i="9"/>
  <c r="AE15" i="9"/>
  <c r="AB40" i="9"/>
  <c r="AG51" i="9"/>
  <c r="AD19" i="9"/>
  <c r="AE3" i="9"/>
  <c r="AF55" i="9"/>
  <c r="AG38" i="9"/>
  <c r="AD26" i="9"/>
  <c r="AF13" i="9"/>
  <c r="AB48" i="9"/>
  <c r="AD53" i="9"/>
  <c r="AF39" i="9"/>
  <c r="AF53" i="9"/>
  <c r="AG33" i="9"/>
  <c r="AB54" i="9"/>
  <c r="AE54" i="9"/>
  <c r="AF37" i="9"/>
  <c r="AG21" i="9"/>
  <c r="AE2" i="9"/>
  <c r="AE41" i="9"/>
  <c r="AF25" i="9"/>
  <c r="AG9" i="9"/>
  <c r="AB12" i="9"/>
  <c r="AD45" i="9"/>
  <c r="AF32" i="9"/>
  <c r="AE7" i="9"/>
  <c r="AB16" i="9"/>
  <c r="AF4" i="9"/>
  <c r="AF17" i="9"/>
  <c r="AB35" i="9"/>
  <c r="AG50" i="9"/>
  <c r="AD18" i="9"/>
  <c r="AB55" i="9"/>
  <c r="AF54" i="9"/>
  <c r="AG37" i="9"/>
  <c r="AD6" i="9"/>
  <c r="AF2" i="9"/>
  <c r="AF41" i="9"/>
  <c r="AG25" i="9"/>
  <c r="AB29" i="9"/>
  <c r="AF49" i="9"/>
  <c r="AE23" i="9"/>
  <c r="AG10" i="9"/>
  <c r="AB18" i="9"/>
  <c r="AF33" i="9"/>
  <c r="AD30" i="9"/>
  <c r="AB52" i="9"/>
  <c r="AD37" i="9"/>
  <c r="AE21" i="9"/>
  <c r="AF5" i="9"/>
  <c r="AG57" i="9"/>
  <c r="AD25" i="9"/>
  <c r="AE9" i="9"/>
  <c r="AB10" i="9"/>
  <c r="AG44" i="9"/>
  <c r="AD13" i="9"/>
  <c r="AB45" i="9"/>
  <c r="AG52" i="9"/>
  <c r="AD39" i="9"/>
  <c r="AF26" i="9"/>
  <c r="AG20" i="9"/>
  <c r="AE30" i="9"/>
  <c r="AD57" i="9"/>
  <c r="AE40" i="9"/>
  <c r="AF24" i="9"/>
  <c r="AG8" i="9"/>
  <c r="AB7" i="9"/>
  <c r="AD44" i="9"/>
  <c r="AE28" i="9"/>
  <c r="AF12" i="9"/>
  <c r="AB26" i="9"/>
  <c r="AD32" i="9"/>
  <c r="AE16" i="9"/>
  <c r="AG3" i="9"/>
  <c r="AE42" i="9"/>
  <c r="AG29" i="9"/>
  <c r="AD17" i="9"/>
  <c r="AE46" i="9"/>
  <c r="AF36" i="9"/>
  <c r="AD46" i="9"/>
  <c r="AD8" i="9"/>
  <c r="AB4" i="9"/>
  <c r="AF43" i="9"/>
  <c r="AG27" i="9"/>
  <c r="AB23" i="9"/>
  <c r="AE48" i="9"/>
  <c r="AF31" i="9"/>
  <c r="AG15" i="9"/>
  <c r="AB42" i="9"/>
  <c r="AD52" i="9"/>
  <c r="AE35" i="9"/>
  <c r="AF19" i="9"/>
  <c r="AB14" i="9"/>
  <c r="AF45" i="9"/>
  <c r="AE20" i="9"/>
  <c r="AG23" i="9"/>
  <c r="AD11" i="9"/>
  <c r="AF50" i="9"/>
  <c r="AF14" i="9"/>
  <c r="AB36" i="9"/>
  <c r="AD34" i="9"/>
  <c r="AE18" i="9"/>
  <c r="AB56" i="9"/>
  <c r="AG54" i="9"/>
  <c r="AD22" i="9"/>
  <c r="AE6" i="9"/>
  <c r="AG2" i="9"/>
  <c r="AG41" i="9"/>
  <c r="AE13" i="9"/>
  <c r="AB46" i="9"/>
  <c r="AE39" i="9"/>
  <c r="AG26" i="9"/>
  <c r="AE50" i="9"/>
  <c r="AD14" i="9"/>
  <c r="AG56" i="9"/>
  <c r="R422" i="2"/>
  <c r="AB20" i="16"/>
  <c r="L314" i="2"/>
  <c r="S329" i="2"/>
  <c r="L300" i="2"/>
  <c r="L76" i="2"/>
  <c r="T271" i="2"/>
  <c r="L255" i="2"/>
  <c r="S171" i="2"/>
  <c r="T217" i="2"/>
  <c r="L339" i="2"/>
  <c r="K227" i="2"/>
  <c r="K76" i="2"/>
  <c r="S169" i="2"/>
  <c r="Q61" i="2"/>
  <c r="AB233" i="2"/>
  <c r="L24" i="2"/>
  <c r="L107" i="2"/>
  <c r="T210" i="2"/>
  <c r="U140" i="2"/>
  <c r="L376" i="2"/>
  <c r="E18" i="17"/>
  <c r="I19" i="1" s="1"/>
  <c r="K376" i="2"/>
  <c r="S271" i="2"/>
  <c r="S61" i="2"/>
  <c r="U142" i="2"/>
  <c r="T213" i="2"/>
  <c r="L227" i="2"/>
  <c r="S175" i="2"/>
  <c r="T185" i="2"/>
  <c r="S328" i="2"/>
  <c r="S331" i="2"/>
  <c r="X207" i="2"/>
  <c r="L164" i="2"/>
  <c r="K314" i="2"/>
  <c r="Q331" i="2"/>
  <c r="S422" i="2"/>
  <c r="M18" i="17"/>
  <c r="Q19" i="1" s="1"/>
  <c r="T170" i="2"/>
  <c r="G18" i="17"/>
  <c r="K19" i="1" s="1"/>
  <c r="D18" i="17"/>
  <c r="H19" i="1" s="1"/>
  <c r="AC233" i="2"/>
  <c r="U185" i="2"/>
  <c r="U278" i="2"/>
  <c r="E17" i="17"/>
  <c r="I17" i="1" s="1"/>
  <c r="T332" i="2"/>
  <c r="H18" i="17"/>
  <c r="L19" i="1" s="1"/>
  <c r="U217" i="2"/>
  <c r="U210" i="2"/>
  <c r="T329" i="2"/>
  <c r="M300" i="2"/>
  <c r="M24" i="2"/>
  <c r="V158" i="2"/>
  <c r="C18" i="17"/>
  <c r="G20" i="1" s="1"/>
  <c r="AC5" i="12"/>
  <c r="L24" i="17"/>
  <c r="K17" i="17"/>
  <c r="O17" i="1" s="1"/>
  <c r="J17" i="17"/>
  <c r="N17" i="1" s="1"/>
  <c r="N76" i="2"/>
  <c r="C17" i="17"/>
  <c r="G18" i="1"/>
  <c r="N339" i="2"/>
  <c r="I18" i="17"/>
  <c r="M19" i="1" s="1"/>
  <c r="J18" i="17"/>
  <c r="N19" i="1" s="1"/>
  <c r="F17" i="17"/>
  <c r="J17" i="1" s="1"/>
  <c r="L17" i="17"/>
  <c r="P17" i="1" s="1"/>
  <c r="C16" i="17"/>
  <c r="G16" i="1" s="1"/>
  <c r="F18" i="17"/>
  <c r="J19" i="1" s="1"/>
  <c r="B17" i="17"/>
  <c r="G17" i="1" s="1"/>
  <c r="G17" i="17"/>
  <c r="K17" i="1" s="1"/>
  <c r="N24" i="2"/>
  <c r="N376" i="2"/>
  <c r="N227" i="2"/>
  <c r="N300" i="2"/>
  <c r="D16" i="17"/>
  <c r="H15" i="1" s="1"/>
  <c r="N255" i="2"/>
  <c r="Z207" i="2"/>
  <c r="B18" i="17"/>
  <c r="G19" i="1"/>
  <c r="K18" i="17"/>
  <c r="O19" i="1" s="1"/>
  <c r="V148" i="2"/>
  <c r="U273" i="2"/>
  <c r="V149" i="2"/>
  <c r="T380" i="2"/>
  <c r="U277" i="2"/>
  <c r="S284" i="2"/>
  <c r="N4" i="2"/>
  <c r="N96" i="2" s="1"/>
  <c r="C40" i="1"/>
  <c r="F8" i="28" s="1"/>
  <c r="S380" i="2"/>
  <c r="T278" i="2"/>
  <c r="N11" i="2"/>
  <c r="N404" i="2" s="1"/>
  <c r="N7" i="2"/>
  <c r="N248" i="2" s="1"/>
  <c r="N10" i="2"/>
  <c r="N331" i="2" s="1"/>
  <c r="N9" i="2"/>
  <c r="N305" i="2" s="1"/>
  <c r="P11" i="2"/>
  <c r="N383" i="2" s="1"/>
  <c r="N8" i="2"/>
  <c r="O11" i="2"/>
  <c r="N417" i="2" s="1"/>
  <c r="N6" i="2"/>
  <c r="N221" i="2" s="1"/>
  <c r="N5" i="2"/>
  <c r="N146" i="2" s="1"/>
  <c r="N3" i="2"/>
  <c r="N64" i="2" s="1"/>
  <c r="U160" i="2"/>
  <c r="S399" i="2"/>
  <c r="S378" i="2"/>
  <c r="Y195" i="2"/>
  <c r="AD393" i="6"/>
  <c r="AD377" i="6"/>
  <c r="AD358" i="6"/>
  <c r="AD342" i="6"/>
  <c r="AD326" i="6"/>
  <c r="AD307" i="6"/>
  <c r="AD288" i="6"/>
  <c r="AD394" i="6"/>
  <c r="AD378" i="6"/>
  <c r="AD359" i="6"/>
  <c r="AD343" i="6"/>
  <c r="AD327" i="6"/>
  <c r="AD308" i="6"/>
  <c r="AD289" i="6"/>
  <c r="AD267" i="6"/>
  <c r="AD252" i="6"/>
  <c r="AD214" i="6"/>
  <c r="AD195" i="6"/>
  <c r="AD179" i="6"/>
  <c r="AD163" i="6"/>
  <c r="AD147" i="6"/>
  <c r="AD127" i="6"/>
  <c r="AD111" i="6"/>
  <c r="AD278" i="6"/>
  <c r="AD257" i="6"/>
  <c r="AD242" i="6"/>
  <c r="AD95" i="6"/>
  <c r="AD81" i="6"/>
  <c r="AD65" i="6"/>
  <c r="AD90" i="6"/>
  <c r="AD182" i="6"/>
  <c r="AD5" i="6"/>
  <c r="AD21" i="6"/>
  <c r="AD37" i="6"/>
  <c r="AD281" i="6"/>
  <c r="AD141" i="6"/>
  <c r="AD114" i="6"/>
  <c r="AD76" i="6"/>
  <c r="AD60" i="6"/>
  <c r="AD91" i="6"/>
  <c r="AD190" i="6"/>
  <c r="AD93" i="6"/>
  <c r="AD18" i="6"/>
  <c r="AD34" i="6"/>
  <c r="AD50" i="6"/>
  <c r="AD116" i="6"/>
  <c r="AD407" i="6"/>
  <c r="AD391" i="6"/>
  <c r="AD375" i="6"/>
  <c r="AD356" i="6"/>
  <c r="AD340" i="6"/>
  <c r="AD321" i="6"/>
  <c r="AD305" i="6"/>
  <c r="AD408" i="6"/>
  <c r="AD392" i="6"/>
  <c r="AD376" i="6"/>
  <c r="AD357" i="6"/>
  <c r="AD341" i="6"/>
  <c r="AD322" i="6"/>
  <c r="AD306" i="6"/>
  <c r="AD287" i="6"/>
  <c r="AD276" i="6"/>
  <c r="AD264" i="6"/>
  <c r="AD249" i="6"/>
  <c r="AD212" i="6"/>
  <c r="AD193" i="6"/>
  <c r="AD177" i="6"/>
  <c r="AD161" i="6"/>
  <c r="AD142" i="6"/>
  <c r="AD125" i="6"/>
  <c r="AD109" i="6"/>
  <c r="AD269" i="6"/>
  <c r="AD254" i="6"/>
  <c r="AD271" i="6"/>
  <c r="AD204" i="6"/>
  <c r="AD79" i="6"/>
  <c r="AD63" i="6"/>
  <c r="AD200" i="6"/>
  <c r="AD112" i="6"/>
  <c r="AD7" i="6"/>
  <c r="AD23" i="6"/>
  <c r="AD39" i="6"/>
  <c r="AD230" i="6"/>
  <c r="AD124" i="6"/>
  <c r="AD101" i="6"/>
  <c r="AD74" i="6"/>
  <c r="AD58" i="6"/>
  <c r="AD265" i="6"/>
  <c r="AD174" i="6"/>
  <c r="AD4" i="6"/>
  <c r="AD20" i="6"/>
  <c r="AD36" i="6"/>
  <c r="AD52" i="6"/>
  <c r="AD110" i="6"/>
  <c r="AD405" i="6"/>
  <c r="AD389" i="6"/>
  <c r="AD373" i="6"/>
  <c r="AD354" i="6"/>
  <c r="AD338" i="6"/>
  <c r="AD319" i="6"/>
  <c r="AD303" i="6"/>
  <c r="AD406" i="6"/>
  <c r="AD390" i="6"/>
  <c r="AD374" i="6"/>
  <c r="AD355" i="6"/>
  <c r="AD339" i="6"/>
  <c r="AD320" i="6"/>
  <c r="AD304" i="6"/>
  <c r="AD285" i="6"/>
  <c r="AD247" i="6"/>
  <c r="AD232" i="6"/>
  <c r="AD246" i="6"/>
  <c r="AD207" i="6"/>
  <c r="AD191" i="6"/>
  <c r="AD175" i="6"/>
  <c r="AD159" i="6"/>
  <c r="AD140" i="6"/>
  <c r="AD123" i="6"/>
  <c r="AD107" i="6"/>
  <c r="AD266" i="6"/>
  <c r="AD286" i="6"/>
  <c r="AD268" i="6"/>
  <c r="AD170" i="6"/>
  <c r="AD77" i="6"/>
  <c r="AD61" i="6"/>
  <c r="AD164" i="6"/>
  <c r="AD3" i="6"/>
  <c r="AD9" i="6"/>
  <c r="AD25" i="6"/>
  <c r="AD41" i="6"/>
  <c r="AD196" i="6"/>
  <c r="AD225" i="6"/>
  <c r="AD96" i="6"/>
  <c r="AD72" i="6"/>
  <c r="AD56" i="6"/>
  <c r="AD219" i="6"/>
  <c r="AD103" i="6"/>
  <c r="AD6" i="6"/>
  <c r="AD22" i="6"/>
  <c r="AD38" i="6"/>
  <c r="AD213" i="6"/>
  <c r="AD100" i="6"/>
  <c r="AD403" i="6"/>
  <c r="AD387" i="6"/>
  <c r="AD371" i="6"/>
  <c r="AD352" i="6"/>
  <c r="AD336" i="6"/>
  <c r="AD317" i="6"/>
  <c r="AD301" i="6"/>
  <c r="AD404" i="6"/>
  <c r="AD388" i="6"/>
  <c r="AD372" i="6"/>
  <c r="AD353" i="6"/>
  <c r="AD337" i="6"/>
  <c r="AD318" i="6"/>
  <c r="AD302" i="6"/>
  <c r="AD259" i="6"/>
  <c r="AD244" i="6"/>
  <c r="AD229" i="6"/>
  <c r="AD224" i="6"/>
  <c r="AD205" i="6"/>
  <c r="AD189" i="6"/>
  <c r="AD173" i="6"/>
  <c r="AD157" i="6"/>
  <c r="AD138" i="6"/>
  <c r="AD121" i="6"/>
  <c r="AD275" i="6"/>
  <c r="AD234" i="6"/>
  <c r="AD251" i="6"/>
  <c r="AD239" i="6"/>
  <c r="AD158" i="6"/>
  <c r="AD75" i="6"/>
  <c r="AD59" i="6"/>
  <c r="AD148" i="6"/>
  <c r="AD168" i="6"/>
  <c r="AD11" i="6"/>
  <c r="AD27" i="6"/>
  <c r="AD43" i="6"/>
  <c r="AD180" i="6"/>
  <c r="AD194" i="6"/>
  <c r="AD89" i="6"/>
  <c r="AD70" i="6"/>
  <c r="AD221" i="6"/>
  <c r="AD156" i="6"/>
  <c r="AD98" i="6"/>
  <c r="AD8" i="6"/>
  <c r="AD24" i="6"/>
  <c r="AD40" i="6"/>
  <c r="AD188" i="6"/>
  <c r="AD401" i="6"/>
  <c r="AD385" i="6"/>
  <c r="AD369" i="6"/>
  <c r="AD350" i="6"/>
  <c r="AD334" i="6"/>
  <c r="AD315" i="6"/>
  <c r="AD296" i="6"/>
  <c r="AD402" i="6"/>
  <c r="AD386" i="6"/>
  <c r="AD370" i="6"/>
  <c r="AD351" i="6"/>
  <c r="AD335" i="6"/>
  <c r="AD316" i="6"/>
  <c r="AD300" i="6"/>
  <c r="AD256" i="6"/>
  <c r="AD273" i="6"/>
  <c r="AD261" i="6"/>
  <c r="AD222" i="6"/>
  <c r="AD203" i="6"/>
  <c r="AD187" i="6"/>
  <c r="AD171" i="6"/>
  <c r="AD155" i="6"/>
  <c r="AD136" i="6"/>
  <c r="AD119" i="6"/>
  <c r="AD272" i="6"/>
  <c r="AD231" i="6"/>
  <c r="AD248" i="6"/>
  <c r="AD233" i="6"/>
  <c r="AD139" i="6"/>
  <c r="AD73" i="6"/>
  <c r="AD57" i="6"/>
  <c r="AD128" i="6"/>
  <c r="AD154" i="6"/>
  <c r="AD13" i="6"/>
  <c r="AD29" i="6"/>
  <c r="AD45" i="6"/>
  <c r="AD104" i="6"/>
  <c r="AD178" i="6"/>
  <c r="AD84" i="6"/>
  <c r="AD68" i="6"/>
  <c r="AD192" i="6"/>
  <c r="AD137" i="6"/>
  <c r="AD215" i="6"/>
  <c r="AD10" i="6"/>
  <c r="AD26" i="6"/>
  <c r="AD42" i="6"/>
  <c r="AD172" i="6"/>
  <c r="AD399" i="6"/>
  <c r="AD383" i="6"/>
  <c r="AD367" i="6"/>
  <c r="AD348" i="6"/>
  <c r="AD332" i="6"/>
  <c r="AD313" i="6"/>
  <c r="AD294" i="6"/>
  <c r="AD400" i="6"/>
  <c r="AD384" i="6"/>
  <c r="AD368" i="6"/>
  <c r="AD349" i="6"/>
  <c r="AD333" i="6"/>
  <c r="AD314" i="6"/>
  <c r="AD295" i="6"/>
  <c r="AD253" i="6"/>
  <c r="AD270" i="6"/>
  <c r="AD258" i="6"/>
  <c r="AD220" i="6"/>
  <c r="AD201" i="6"/>
  <c r="AD185" i="6"/>
  <c r="AD169" i="6"/>
  <c r="AD153" i="6"/>
  <c r="AD134" i="6"/>
  <c r="AD117" i="6"/>
  <c r="AD243" i="6"/>
  <c r="AD263" i="6"/>
  <c r="AD277" i="6"/>
  <c r="AD206" i="6"/>
  <c r="AD122" i="6"/>
  <c r="AD71" i="6"/>
  <c r="AD202" i="6"/>
  <c r="AD97" i="6"/>
  <c r="AD135" i="6"/>
  <c r="AD15" i="6"/>
  <c r="AD31" i="6"/>
  <c r="AD47" i="6"/>
  <c r="AD99" i="6"/>
  <c r="AD223" i="6"/>
  <c r="AD82" i="6"/>
  <c r="AD66" i="6"/>
  <c r="AD176" i="6"/>
  <c r="AD120" i="6"/>
  <c r="AD162" i="6"/>
  <c r="AD12" i="6"/>
  <c r="AD28" i="6"/>
  <c r="AD44" i="6"/>
  <c r="AD211" i="6"/>
  <c r="AD397" i="6"/>
  <c r="AD381" i="6"/>
  <c r="AD365" i="6"/>
  <c r="AD346" i="6"/>
  <c r="AD330" i="6"/>
  <c r="AD311" i="6"/>
  <c r="AD292" i="6"/>
  <c r="AD398" i="6"/>
  <c r="AD382" i="6"/>
  <c r="AD366" i="6"/>
  <c r="AD347" i="6"/>
  <c r="AD331" i="6"/>
  <c r="AD312" i="6"/>
  <c r="AD293" i="6"/>
  <c r="AD250" i="6"/>
  <c r="AD241" i="6"/>
  <c r="AD279" i="6"/>
  <c r="AD218" i="6"/>
  <c r="AD199" i="6"/>
  <c r="AD183" i="6"/>
  <c r="AD167" i="6"/>
  <c r="AD151" i="6"/>
  <c r="AD131" i="6"/>
  <c r="AD115" i="6"/>
  <c r="AD240" i="6"/>
  <c r="AD260" i="6"/>
  <c r="AD274" i="6"/>
  <c r="AD186" i="6"/>
  <c r="AD88" i="6"/>
  <c r="AD69" i="6"/>
  <c r="AD184" i="6"/>
  <c r="AD92" i="6"/>
  <c r="AD118" i="6"/>
  <c r="AD17" i="6"/>
  <c r="AD33" i="6"/>
  <c r="AD49" i="6"/>
  <c r="AD94" i="6"/>
  <c r="AD150" i="6"/>
  <c r="AD80" i="6"/>
  <c r="AD64" i="6"/>
  <c r="AD166" i="6"/>
  <c r="AD262" i="6"/>
  <c r="AD143" i="6"/>
  <c r="AD14" i="6"/>
  <c r="AD30" i="6"/>
  <c r="AD46" i="6"/>
  <c r="AD152" i="6"/>
  <c r="AD395" i="6"/>
  <c r="AD379" i="6"/>
  <c r="AD360" i="6"/>
  <c r="AD344" i="6"/>
  <c r="AD328" i="6"/>
  <c r="AD309" i="6"/>
  <c r="AD290" i="6"/>
  <c r="AD396" i="6"/>
  <c r="AD380" i="6"/>
  <c r="AD364" i="6"/>
  <c r="AD345" i="6"/>
  <c r="AD329" i="6"/>
  <c r="AD310" i="6"/>
  <c r="AD291" i="6"/>
  <c r="AD227" i="6"/>
  <c r="AD235" i="6"/>
  <c r="AD255" i="6"/>
  <c r="AD216" i="6"/>
  <c r="AD197" i="6"/>
  <c r="AD181" i="6"/>
  <c r="AD165" i="6"/>
  <c r="AD149" i="6"/>
  <c r="AD129" i="6"/>
  <c r="AD113" i="6"/>
  <c r="AD226" i="6"/>
  <c r="AD228" i="6"/>
  <c r="AD245" i="6"/>
  <c r="AD105" i="6"/>
  <c r="AD83" i="6"/>
  <c r="AD67" i="6"/>
  <c r="AD102" i="6"/>
  <c r="AD198" i="6"/>
  <c r="AD106" i="6"/>
  <c r="AD19" i="6"/>
  <c r="AD35" i="6"/>
  <c r="AD108" i="6"/>
  <c r="AD217" i="6"/>
  <c r="AD126" i="6"/>
  <c r="AD51" i="6"/>
  <c r="AD16" i="6"/>
  <c r="AD130" i="6"/>
  <c r="AD48" i="6"/>
  <c r="AD78" i="6"/>
  <c r="AD132" i="6"/>
  <c r="AD62" i="6"/>
  <c r="AD160" i="6"/>
  <c r="AD32" i="6"/>
  <c r="N77" i="2"/>
  <c r="N80" i="2"/>
  <c r="N334" i="2"/>
  <c r="N322" i="2"/>
  <c r="N325" i="2"/>
  <c r="N327" i="2"/>
  <c r="N324" i="2"/>
  <c r="N319" i="2"/>
  <c r="N332" i="2"/>
  <c r="N330" i="2"/>
  <c r="N315" i="2"/>
  <c r="N317" i="2"/>
  <c r="N318" i="2"/>
  <c r="N329" i="2"/>
  <c r="N316" i="2"/>
  <c r="N333" i="2"/>
  <c r="N328" i="2"/>
  <c r="N323" i="2"/>
  <c r="N53" i="2"/>
  <c r="N36" i="2"/>
  <c r="N25" i="2"/>
  <c r="N33" i="2"/>
  <c r="N69" i="2"/>
  <c r="N144" i="2"/>
  <c r="N289" i="2"/>
  <c r="Q66" i="28" s="1"/>
  <c r="N297" i="2"/>
  <c r="Q74" i="28" s="1"/>
  <c r="N259" i="2"/>
  <c r="Q36" i="28" s="1"/>
  <c r="N266" i="2"/>
  <c r="Q43" i="28" s="1"/>
  <c r="N286" i="2"/>
  <c r="Q63" i="28" s="1"/>
  <c r="N258" i="2"/>
  <c r="Q35" i="28" s="1"/>
  <c r="N290" i="2"/>
  <c r="Q67" i="28" s="1"/>
  <c r="N273" i="2"/>
  <c r="Q50" i="28" s="1"/>
  <c r="N298" i="2"/>
  <c r="Q75" i="28" s="1"/>
  <c r="N285" i="2"/>
  <c r="Q62" i="28" s="1"/>
  <c r="N269" i="2"/>
  <c r="Q46" i="28" s="1"/>
  <c r="N292" i="2"/>
  <c r="Q69" i="28" s="1"/>
  <c r="N274" i="2"/>
  <c r="Q51" i="28" s="1"/>
  <c r="N268" i="2"/>
  <c r="Q45" i="28" s="1"/>
  <c r="N296" i="2"/>
  <c r="Q73" i="28" s="1"/>
  <c r="N294" i="2"/>
  <c r="Q71" i="28" s="1"/>
  <c r="N261" i="2"/>
  <c r="Q38" i="28" s="1"/>
  <c r="N277" i="2"/>
  <c r="Q54" i="28" s="1"/>
  <c r="N272" i="2"/>
  <c r="Q49" i="28" s="1"/>
  <c r="N281" i="2"/>
  <c r="Q58" i="28" s="1"/>
  <c r="N279" i="2"/>
  <c r="Q56" i="28" s="1"/>
  <c r="N284" i="2"/>
  <c r="Q61" i="28" s="1"/>
  <c r="N276" i="2"/>
  <c r="Q53" i="28" s="1"/>
  <c r="N267" i="2"/>
  <c r="Q44" i="28" s="1"/>
  <c r="N291" i="2"/>
  <c r="Q68" i="28" s="1"/>
  <c r="N278" i="2"/>
  <c r="Q55" i="28" s="1"/>
  <c r="N265" i="2"/>
  <c r="Q42" i="28" s="1"/>
  <c r="N280" i="2"/>
  <c r="Q57" i="28" s="1"/>
  <c r="N283" i="2"/>
  <c r="Q60" i="28" s="1"/>
  <c r="N271" i="2"/>
  <c r="Q48" i="28" s="1"/>
  <c r="N293" i="2"/>
  <c r="Q70" i="28" s="1"/>
  <c r="N264" i="2"/>
  <c r="Q41" i="28" s="1"/>
  <c r="L26" i="28"/>
  <c r="L25" i="28"/>
  <c r="N188" i="2" l="1"/>
  <c r="N166" i="2"/>
  <c r="N177" i="2"/>
  <c r="N173" i="2"/>
  <c r="N205" i="2"/>
  <c r="N168" i="2"/>
  <c r="N175" i="2"/>
  <c r="N170" i="2"/>
  <c r="N219" i="2"/>
  <c r="N203" i="2"/>
  <c r="Q27" i="28" s="1"/>
  <c r="N213" i="2"/>
  <c r="N202" i="2"/>
  <c r="N190" i="2"/>
  <c r="Q22" i="28" s="1"/>
  <c r="N211" i="2"/>
  <c r="N195" i="2"/>
  <c r="N182" i="2"/>
  <c r="Q16" i="28" s="1"/>
  <c r="N186" i="2"/>
  <c r="N197" i="2"/>
  <c r="N223" i="2"/>
  <c r="N204" i="2"/>
  <c r="N167" i="2"/>
  <c r="N225" i="2"/>
  <c r="Q29" i="28" s="1"/>
  <c r="D8" i="3"/>
  <c r="E23" i="3"/>
  <c r="E15" i="3"/>
  <c r="N113" i="2"/>
  <c r="N130" i="2"/>
  <c r="N242" i="2"/>
  <c r="N229" i="2"/>
  <c r="AG3" i="27"/>
  <c r="AG9" i="27"/>
  <c r="AG15" i="27"/>
  <c r="AG21" i="27"/>
  <c r="AG121" i="27"/>
  <c r="AG27" i="27"/>
  <c r="AG97" i="27"/>
  <c r="AG24" i="27"/>
  <c r="AG7" i="27"/>
  <c r="AG13" i="27"/>
  <c r="AG19" i="27"/>
  <c r="AG25" i="27"/>
  <c r="AG135" i="27"/>
  <c r="AG132" i="27"/>
  <c r="AG129" i="27"/>
  <c r="AG126" i="27"/>
  <c r="F43" i="9" s="1"/>
  <c r="G145" i="17" s="1"/>
  <c r="AG123" i="27"/>
  <c r="AG120" i="27"/>
  <c r="AG117" i="27"/>
  <c r="AG114" i="27"/>
  <c r="F39" i="9" s="1"/>
  <c r="G141" i="17" s="1"/>
  <c r="AG111" i="27"/>
  <c r="F38" i="9" s="1"/>
  <c r="G140" i="17" s="1"/>
  <c r="AG108" i="27"/>
  <c r="AG105" i="27"/>
  <c r="AG102" i="27"/>
  <c r="AG99" i="27"/>
  <c r="AG96" i="27"/>
  <c r="AG93" i="27"/>
  <c r="AG90" i="27"/>
  <c r="AG87" i="27"/>
  <c r="AG84" i="27"/>
  <c r="AG81" i="27"/>
  <c r="AG78" i="27"/>
  <c r="AG75" i="27"/>
  <c r="AG72" i="27"/>
  <c r="AG69" i="27"/>
  <c r="AG66" i="27"/>
  <c r="AG63" i="27"/>
  <c r="F22" i="9" s="1"/>
  <c r="G124" i="17" s="1"/>
  <c r="AG60" i="27"/>
  <c r="AG57" i="27"/>
  <c r="F20" i="9" s="1"/>
  <c r="G122" i="17" s="1"/>
  <c r="AG54" i="27"/>
  <c r="AG51" i="27"/>
  <c r="AG48" i="27"/>
  <c r="AG49" i="27"/>
  <c r="AG73" i="27"/>
  <c r="AG4" i="27"/>
  <c r="AG10" i="27"/>
  <c r="AG16" i="27"/>
  <c r="AG22" i="27"/>
  <c r="AG136" i="27"/>
  <c r="AG133" i="27"/>
  <c r="AG130" i="27"/>
  <c r="AG127" i="27"/>
  <c r="AG124" i="27"/>
  <c r="AG118" i="27"/>
  <c r="AG115" i="27"/>
  <c r="AG112" i="27"/>
  <c r="AG109" i="27"/>
  <c r="AG106" i="27"/>
  <c r="AG103" i="27"/>
  <c r="AG100" i="27"/>
  <c r="AG94" i="27"/>
  <c r="AG91" i="27"/>
  <c r="AG88" i="27"/>
  <c r="AG85" i="27"/>
  <c r="AG82" i="27"/>
  <c r="AG79" i="27"/>
  <c r="AG76" i="27"/>
  <c r="AG70" i="27"/>
  <c r="AG67" i="27"/>
  <c r="AG64" i="27"/>
  <c r="AG61" i="27"/>
  <c r="AG58" i="27"/>
  <c r="AG55" i="27"/>
  <c r="AG52" i="27"/>
  <c r="AG46" i="27"/>
  <c r="AG43" i="27"/>
  <c r="AG40" i="27"/>
  <c r="AG37" i="27"/>
  <c r="AG34" i="27"/>
  <c r="AG31" i="27"/>
  <c r="AG28" i="27"/>
  <c r="AG12" i="27"/>
  <c r="AG6" i="27"/>
  <c r="AG18" i="27"/>
  <c r="AG45" i="27"/>
  <c r="F16" i="9" s="1"/>
  <c r="G118" i="17" s="1"/>
  <c r="AG42" i="27"/>
  <c r="AG39" i="27"/>
  <c r="F14" i="9" s="1"/>
  <c r="G116" i="17" s="1"/>
  <c r="AG36" i="27"/>
  <c r="AG33" i="27"/>
  <c r="AG30" i="27"/>
  <c r="F11" i="9" s="1"/>
  <c r="G113" i="17" s="1"/>
  <c r="L406" i="17"/>
  <c r="L377" i="17"/>
  <c r="L396" i="17"/>
  <c r="L387" i="17"/>
  <c r="L413" i="17"/>
  <c r="L378" i="17"/>
  <c r="L404" i="17"/>
  <c r="L379" i="17"/>
  <c r="L405" i="17"/>
  <c r="L394" i="17"/>
  <c r="L386" i="17"/>
  <c r="L399" i="17"/>
  <c r="L410" i="17"/>
  <c r="L384" i="17"/>
  <c r="L391" i="17"/>
  <c r="L390" i="17"/>
  <c r="L382" i="17"/>
  <c r="L381" i="17"/>
  <c r="L402" i="17"/>
  <c r="L392" i="17"/>
  <c r="L398" i="17"/>
  <c r="L416" i="17"/>
  <c r="L415" i="17"/>
  <c r="L408" i="17"/>
  <c r="L383" i="17"/>
  <c r="L414" i="17"/>
  <c r="L407" i="17"/>
  <c r="L400" i="17"/>
  <c r="L376" i="17"/>
  <c r="L397" i="17"/>
  <c r="L380" i="17"/>
  <c r="L411" i="17"/>
  <c r="L393" i="17"/>
  <c r="F42" i="9"/>
  <c r="G144" i="17" s="1"/>
  <c r="G3" i="9"/>
  <c r="G4" i="9"/>
  <c r="H106" i="17" s="1"/>
  <c r="F44" i="9"/>
  <c r="G146" i="17" s="1"/>
  <c r="F33" i="9"/>
  <c r="G135" i="17" s="1"/>
  <c r="F30" i="9"/>
  <c r="G132" i="17" s="1"/>
  <c r="G2" i="9"/>
  <c r="H104" i="17" s="1"/>
  <c r="F32" i="9"/>
  <c r="G134" i="17" s="1"/>
  <c r="H119" i="17"/>
  <c r="H131" i="17"/>
  <c r="H139" i="17"/>
  <c r="H141" i="17"/>
  <c r="H143" i="17"/>
  <c r="H147" i="17"/>
  <c r="F28" i="9"/>
  <c r="G130" i="17" s="1"/>
  <c r="H114" i="17"/>
  <c r="H116" i="17"/>
  <c r="H126" i="17"/>
  <c r="H138" i="17"/>
  <c r="H112" i="17"/>
  <c r="H122" i="17"/>
  <c r="H124" i="17"/>
  <c r="H128" i="17"/>
  <c r="H130" i="17"/>
  <c r="H132" i="17"/>
  <c r="H134" i="17"/>
  <c r="H136" i="17"/>
  <c r="H142" i="17"/>
  <c r="H144" i="17"/>
  <c r="H146" i="17"/>
  <c r="H148" i="17"/>
  <c r="F8" i="9"/>
  <c r="G110" i="17" s="1"/>
  <c r="H118" i="17"/>
  <c r="H120" i="17"/>
  <c r="H107" i="17"/>
  <c r="H121" i="17"/>
  <c r="H127" i="17"/>
  <c r="F9" i="9"/>
  <c r="G111" i="17" s="1"/>
  <c r="H145" i="17"/>
  <c r="H108" i="17"/>
  <c r="N236" i="2"/>
  <c r="N230" i="2"/>
  <c r="N239" i="2"/>
  <c r="N356" i="2"/>
  <c r="N406" i="2"/>
  <c r="N374" i="2"/>
  <c r="N237" i="2"/>
  <c r="N240" i="2"/>
  <c r="N228" i="2"/>
  <c r="N310" i="2"/>
  <c r="N232" i="2"/>
  <c r="N234" i="2"/>
  <c r="N191" i="2"/>
  <c r="Q23" i="28" s="1"/>
  <c r="V147" i="2"/>
  <c r="N215" i="2"/>
  <c r="N222" i="2"/>
  <c r="N192" i="2"/>
  <c r="Q24" i="28" s="1"/>
  <c r="N180" i="2"/>
  <c r="Q14" i="28" s="1"/>
  <c r="N137" i="2"/>
  <c r="N68" i="2"/>
  <c r="Z208" i="2"/>
  <c r="N169" i="2"/>
  <c r="N172" i="2"/>
  <c r="N184" i="2"/>
  <c r="Q18" i="28" s="1"/>
  <c r="N152" i="2"/>
  <c r="N150" i="2"/>
  <c r="N42" i="2"/>
  <c r="N194" i="2"/>
  <c r="N176" i="2"/>
  <c r="N224" i="2"/>
  <c r="N208" i="2"/>
  <c r="N120" i="2"/>
  <c r="N127" i="2"/>
  <c r="N38" i="2"/>
  <c r="N321" i="2"/>
  <c r="V153" i="2"/>
  <c r="N164" i="2"/>
  <c r="V144" i="2"/>
  <c r="T372" i="2"/>
  <c r="T378" i="2"/>
  <c r="T396" i="2"/>
  <c r="H117" i="17"/>
  <c r="H135" i="17"/>
  <c r="N183" i="2"/>
  <c r="Q17" i="28" s="1"/>
  <c r="N179" i="2"/>
  <c r="N207" i="2"/>
  <c r="N214" i="2"/>
  <c r="N128" i="2"/>
  <c r="N117" i="2"/>
  <c r="N34" i="2"/>
  <c r="Y207" i="2"/>
  <c r="Y194" i="2"/>
  <c r="U271" i="2"/>
  <c r="M107" i="2"/>
  <c r="L49" i="17"/>
  <c r="L161" i="17"/>
  <c r="N119" i="2"/>
  <c r="N73" i="2"/>
  <c r="T422" i="2"/>
  <c r="V140" i="2"/>
  <c r="M164" i="2"/>
  <c r="U213" i="2"/>
  <c r="M339" i="2"/>
  <c r="N174" i="2"/>
  <c r="N220" i="2"/>
  <c r="N187" i="2"/>
  <c r="Q20" i="28" s="1"/>
  <c r="N216" i="2"/>
  <c r="N109" i="2"/>
  <c r="N153" i="2"/>
  <c r="N67" i="2"/>
  <c r="N71" i="2"/>
  <c r="N336" i="2"/>
  <c r="V152" i="2"/>
  <c r="N193" i="2"/>
  <c r="N171" i="2"/>
  <c r="N206" i="2"/>
  <c r="N185" i="2"/>
  <c r="Q19" i="28" s="1"/>
  <c r="N132" i="2"/>
  <c r="N114" i="2"/>
  <c r="N52" i="2"/>
  <c r="N47" i="2"/>
  <c r="N335" i="2"/>
  <c r="T392" i="2"/>
  <c r="V157" i="2"/>
  <c r="Q12" i="28"/>
  <c r="H123" i="17"/>
  <c r="H125" i="17"/>
  <c r="H129" i="17"/>
  <c r="H133" i="17"/>
  <c r="L152" i="17"/>
  <c r="N131" i="2"/>
  <c r="N151" i="2"/>
  <c r="V156" i="2"/>
  <c r="F46" i="9"/>
  <c r="G148" i="17" s="1"/>
  <c r="H110" i="17"/>
  <c r="T61" i="2"/>
  <c r="X194" i="2"/>
  <c r="N165" i="2"/>
  <c r="N210" i="2"/>
  <c r="N209" i="2"/>
  <c r="N196" i="2"/>
  <c r="N115" i="2"/>
  <c r="N111" i="2"/>
  <c r="N28" i="2"/>
  <c r="V150" i="2"/>
  <c r="T328" i="2"/>
  <c r="P12" i="28"/>
  <c r="V146" i="2"/>
  <c r="L206" i="17"/>
  <c r="AC38" i="12"/>
  <c r="L57" i="17" s="1"/>
  <c r="N198" i="2"/>
  <c r="N189" i="2"/>
  <c r="Q21" i="28" s="1"/>
  <c r="N199" i="2"/>
  <c r="N218" i="2"/>
  <c r="N140" i="2"/>
  <c r="N60" i="2"/>
  <c r="V160" i="2"/>
  <c r="U272" i="2"/>
  <c r="U211" i="2"/>
  <c r="V155" i="2"/>
  <c r="V162" i="2"/>
  <c r="H140" i="17"/>
  <c r="N125" i="2"/>
  <c r="M227" i="2"/>
  <c r="M376" i="2"/>
  <c r="AC19" i="12"/>
  <c r="L38" i="17" s="1"/>
  <c r="AC35" i="12"/>
  <c r="L54" i="17" s="1"/>
  <c r="AC51" i="12"/>
  <c r="L70" i="17" s="1"/>
  <c r="AC20" i="12"/>
  <c r="L39" i="17" s="1"/>
  <c r="AC36" i="12"/>
  <c r="L55" i="17" s="1"/>
  <c r="AC2" i="12"/>
  <c r="L21" i="17" s="1"/>
  <c r="AC15" i="12"/>
  <c r="L34" i="17" s="1"/>
  <c r="AC31" i="12"/>
  <c r="L50" i="17" s="1"/>
  <c r="AC47" i="12"/>
  <c r="L66" i="17" s="1"/>
  <c r="AC3" i="12"/>
  <c r="L22" i="17" s="1"/>
  <c r="AC10" i="12"/>
  <c r="L29" i="17" s="1"/>
  <c r="AC26" i="12"/>
  <c r="L45" i="17" s="1"/>
  <c r="AC42" i="12"/>
  <c r="L61" i="17" s="1"/>
  <c r="AC21" i="12"/>
  <c r="L40" i="17" s="1"/>
  <c r="AC37" i="12"/>
  <c r="L56" i="17" s="1"/>
  <c r="AC16" i="12"/>
  <c r="L35" i="17" s="1"/>
  <c r="AC32" i="12"/>
  <c r="L51" i="17" s="1"/>
  <c r="AC48" i="12"/>
  <c r="L67" i="17" s="1"/>
  <c r="AC11" i="12"/>
  <c r="L30" i="17" s="1"/>
  <c r="AC27" i="12"/>
  <c r="L46" i="17" s="1"/>
  <c r="AC43" i="12"/>
  <c r="L62" i="17" s="1"/>
  <c r="AC17" i="12"/>
  <c r="L36" i="17" s="1"/>
  <c r="AC33" i="12"/>
  <c r="L52" i="17" s="1"/>
  <c r="AC49" i="12"/>
  <c r="L68" i="17" s="1"/>
  <c r="AC12" i="12"/>
  <c r="L31" i="17" s="1"/>
  <c r="AC28" i="12"/>
  <c r="L47" i="17" s="1"/>
  <c r="AC44" i="12"/>
  <c r="L63" i="17" s="1"/>
  <c r="AC7" i="12"/>
  <c r="L26" i="17" s="1"/>
  <c r="AC23" i="12"/>
  <c r="L42" i="17" s="1"/>
  <c r="AC39" i="12"/>
  <c r="L58" i="17" s="1"/>
  <c r="AC18" i="12"/>
  <c r="L37" i="17" s="1"/>
  <c r="AC13" i="12"/>
  <c r="L32" i="17" s="1"/>
  <c r="AC29" i="12"/>
  <c r="L48" i="17" s="1"/>
  <c r="AC45" i="12"/>
  <c r="L64" i="17" s="1"/>
  <c r="AC8" i="12"/>
  <c r="L27" i="17" s="1"/>
  <c r="AC24" i="12"/>
  <c r="L43" i="17" s="1"/>
  <c r="AC40" i="12"/>
  <c r="L59" i="17" s="1"/>
  <c r="N162" i="2"/>
  <c r="N48" i="2"/>
  <c r="T284" i="2"/>
  <c r="U214" i="2"/>
  <c r="U215" i="2" s="1"/>
  <c r="U218" i="2"/>
  <c r="U275" i="2"/>
  <c r="U274" i="2"/>
  <c r="M76" i="2"/>
  <c r="T171" i="2"/>
  <c r="N217" i="2"/>
  <c r="Q28" i="28" s="1"/>
  <c r="N212" i="2"/>
  <c r="N181" i="2"/>
  <c r="Q15" i="28" s="1"/>
  <c r="N398" i="2"/>
  <c r="N161" i="2"/>
  <c r="N59" i="2"/>
  <c r="N320" i="2"/>
  <c r="V154" i="2"/>
  <c r="U279" i="2"/>
  <c r="N107" i="2"/>
  <c r="V163" i="2"/>
  <c r="V159" i="2"/>
  <c r="T285" i="2"/>
  <c r="T399" i="2"/>
  <c r="H105" i="17"/>
  <c r="H111" i="17"/>
  <c r="D43" i="3"/>
  <c r="H109" i="17"/>
  <c r="AC22" i="12"/>
  <c r="L41" i="17" s="1"/>
  <c r="L119" i="17"/>
  <c r="N178" i="2"/>
  <c r="Q13" i="28" s="1"/>
  <c r="N122" i="2"/>
  <c r="V151" i="2"/>
  <c r="N126" i="2"/>
  <c r="V161" i="2"/>
  <c r="F9" i="17"/>
  <c r="J20" i="1" s="1"/>
  <c r="T331" i="2"/>
  <c r="M314" i="2"/>
  <c r="T175" i="2"/>
  <c r="M255" i="2"/>
  <c r="H115" i="17"/>
  <c r="AC9" i="12"/>
  <c r="L28" i="17" s="1"/>
  <c r="N416" i="2"/>
  <c r="N45" i="2"/>
  <c r="T65" i="2"/>
  <c r="Y208" i="2"/>
  <c r="V141" i="2"/>
  <c r="U276" i="2"/>
  <c r="V143" i="2"/>
  <c r="U186" i="2"/>
  <c r="V142" i="2"/>
  <c r="H113" i="17"/>
  <c r="H137" i="17"/>
  <c r="AC11" i="16"/>
  <c r="L82" i="17" s="1"/>
  <c r="AD8" i="21"/>
  <c r="L167" i="17" s="1"/>
  <c r="AC15" i="16"/>
  <c r="L86" i="17" s="1"/>
  <c r="AD12" i="21"/>
  <c r="L171" i="17" s="1"/>
  <c r="AC4" i="16"/>
  <c r="L75" i="17" s="1"/>
  <c r="AC14" i="16"/>
  <c r="L85" i="17" s="1"/>
  <c r="AD60" i="21"/>
  <c r="L219" i="17" s="1"/>
  <c r="AD44" i="21"/>
  <c r="L203" i="17" s="1"/>
  <c r="AD28" i="21"/>
  <c r="L187" i="17" s="1"/>
  <c r="AD11" i="21"/>
  <c r="L170" i="17" s="1"/>
  <c r="AC3" i="16"/>
  <c r="L74" i="17" s="1"/>
  <c r="AD49" i="21"/>
  <c r="L208" i="17" s="1"/>
  <c r="AD33" i="21"/>
  <c r="L192" i="17" s="1"/>
  <c r="AD17" i="21"/>
  <c r="L176" i="17" s="1"/>
  <c r="AC13" i="16"/>
  <c r="L84" i="17" s="1"/>
  <c r="AD16" i="21"/>
  <c r="L175" i="17" s="1"/>
  <c r="N87" i="2"/>
  <c r="N104" i="2"/>
  <c r="N82" i="2"/>
  <c r="N103" i="2"/>
  <c r="N105" i="2"/>
  <c r="N102" i="2"/>
  <c r="N97" i="2"/>
  <c r="N90" i="2"/>
  <c r="N79" i="2"/>
  <c r="N88" i="2"/>
  <c r="N94" i="2"/>
  <c r="N306" i="2"/>
  <c r="N78" i="2"/>
  <c r="N86" i="2"/>
  <c r="N89" i="2"/>
  <c r="J16" i="17"/>
  <c r="N15" i="1" s="1"/>
  <c r="K16" i="17"/>
  <c r="O15" i="1" s="1"/>
  <c r="F16" i="17"/>
  <c r="J15" i="1" s="1"/>
  <c r="L16" i="17"/>
  <c r="P15" i="1" s="1"/>
  <c r="E16" i="17"/>
  <c r="I15" i="1" s="1"/>
  <c r="H16" i="17"/>
  <c r="L15" i="1" s="1"/>
  <c r="G16" i="17"/>
  <c r="K15" i="1" s="1"/>
  <c r="D11" i="3"/>
  <c r="D19" i="3"/>
  <c r="D4" i="3"/>
  <c r="D21" i="3"/>
  <c r="D12" i="3"/>
  <c r="D6" i="3"/>
  <c r="D9" i="3"/>
  <c r="D15" i="3"/>
  <c r="D14" i="3"/>
  <c r="D52" i="3"/>
  <c r="D17" i="3"/>
  <c r="D10" i="3"/>
  <c r="D5" i="3"/>
  <c r="D24" i="3"/>
  <c r="D22" i="3"/>
  <c r="D3" i="3"/>
  <c r="D23" i="3"/>
  <c r="D13" i="3"/>
  <c r="D25" i="3"/>
  <c r="D7" i="3"/>
  <c r="D42" i="3"/>
  <c r="D16" i="3"/>
  <c r="D20" i="3"/>
  <c r="D18" i="3"/>
  <c r="N412" i="2"/>
  <c r="N410" i="2"/>
  <c r="N303" i="2"/>
  <c r="N419" i="2"/>
  <c r="N414" i="2"/>
  <c r="N251" i="2"/>
  <c r="N235" i="2"/>
  <c r="N245" i="2"/>
  <c r="N56" i="2"/>
  <c r="N50" i="2"/>
  <c r="N65" i="2"/>
  <c r="N62" i="2"/>
  <c r="N55" i="2"/>
  <c r="N43" i="2"/>
  <c r="N308" i="2"/>
  <c r="N413" i="2"/>
  <c r="N411" i="2"/>
  <c r="N244" i="2"/>
  <c r="N231" i="2"/>
  <c r="N250" i="2"/>
  <c r="N70" i="2"/>
  <c r="N35" i="2"/>
  <c r="N29" i="2"/>
  <c r="N61" i="2"/>
  <c r="N41" i="2"/>
  <c r="N51" i="2"/>
  <c r="N307" i="2"/>
  <c r="N418" i="2"/>
  <c r="N252" i="2"/>
  <c r="N247" i="2"/>
  <c r="N243" i="2"/>
  <c r="N30" i="2"/>
  <c r="N31" i="2"/>
  <c r="N39" i="2"/>
  <c r="N72" i="2"/>
  <c r="N44" i="2"/>
  <c r="N27" i="2"/>
  <c r="N415" i="2"/>
  <c r="N233" i="2"/>
  <c r="N249" i="2"/>
  <c r="N238" i="2"/>
  <c r="N26" i="2"/>
  <c r="N40" i="2"/>
  <c r="N58" i="2"/>
  <c r="N74" i="2"/>
  <c r="N54" i="2"/>
  <c r="N37" i="2"/>
  <c r="N311" i="2"/>
  <c r="N241" i="2"/>
  <c r="N246" i="2"/>
  <c r="N66" i="2"/>
  <c r="N57" i="2"/>
  <c r="N46" i="2"/>
  <c r="N63" i="2"/>
  <c r="N49" i="2"/>
  <c r="N32" i="2"/>
  <c r="C5" i="3"/>
  <c r="E7" i="3"/>
  <c r="C30" i="3"/>
  <c r="C17" i="3"/>
  <c r="D34" i="3"/>
  <c r="E12" i="3"/>
  <c r="D46" i="3"/>
  <c r="C22" i="3"/>
  <c r="D30" i="3"/>
  <c r="E20" i="3"/>
  <c r="C6" i="3"/>
  <c r="D40" i="3"/>
  <c r="D33" i="3"/>
  <c r="E16" i="3"/>
  <c r="C20" i="3"/>
  <c r="D37" i="3"/>
  <c r="D35" i="3"/>
  <c r="E14" i="3"/>
  <c r="E8" i="3"/>
  <c r="E22" i="3"/>
  <c r="D49" i="3"/>
  <c r="C3" i="3"/>
  <c r="D31" i="3"/>
  <c r="F3" i="3"/>
  <c r="C21" i="3"/>
  <c r="C18" i="3"/>
  <c r="C24" i="3"/>
  <c r="F6" i="3"/>
  <c r="E25" i="3"/>
  <c r="C32" i="3"/>
  <c r="C11" i="3"/>
  <c r="C8" i="3"/>
  <c r="E10" i="3"/>
  <c r="D39" i="3"/>
  <c r="C13" i="3"/>
  <c r="C15" i="3"/>
  <c r="C4" i="3"/>
  <c r="E5" i="3"/>
  <c r="E3" i="3"/>
  <c r="C16" i="3"/>
  <c r="D32" i="3"/>
  <c r="D38" i="3"/>
  <c r="E21" i="3"/>
  <c r="E6" i="3"/>
  <c r="E13" i="3"/>
  <c r="D51" i="3"/>
  <c r="C31" i="3"/>
  <c r="C19" i="3"/>
  <c r="E4" i="3"/>
  <c r="F4" i="3"/>
  <c r="D36" i="3"/>
  <c r="C12" i="3"/>
  <c r="D47" i="3"/>
  <c r="F5" i="3"/>
  <c r="E9" i="3"/>
  <c r="C25" i="3"/>
  <c r="C14" i="3"/>
  <c r="C23" i="3"/>
  <c r="E24" i="3"/>
  <c r="E18" i="3"/>
  <c r="D50" i="3"/>
  <c r="D48" i="3"/>
  <c r="D41" i="3"/>
  <c r="E17" i="3"/>
  <c r="D45" i="3"/>
  <c r="C7" i="3"/>
  <c r="C9" i="3"/>
  <c r="E11" i="3"/>
  <c r="E19" i="3"/>
  <c r="D44" i="3"/>
  <c r="C10" i="3"/>
  <c r="N357" i="2"/>
  <c r="N340" i="2"/>
  <c r="N395" i="2"/>
  <c r="N350" i="2"/>
  <c r="N142" i="2"/>
  <c r="N159" i="2"/>
  <c r="N148" i="2"/>
  <c r="N83" i="2"/>
  <c r="N91" i="2"/>
  <c r="N408" i="2"/>
  <c r="N349" i="2"/>
  <c r="N351" i="2"/>
  <c r="N409" i="2"/>
  <c r="N108" i="2"/>
  <c r="N118" i="2"/>
  <c r="N149" i="2"/>
  <c r="N84" i="2"/>
  <c r="N101" i="2"/>
  <c r="N343" i="2"/>
  <c r="N401" i="2"/>
  <c r="N421" i="2"/>
  <c r="N147" i="2"/>
  <c r="N160" i="2"/>
  <c r="N112" i="2"/>
  <c r="N124" i="2"/>
  <c r="N95" i="2"/>
  <c r="N100" i="2"/>
  <c r="N360" i="2"/>
  <c r="N420" i="2"/>
  <c r="N372" i="2"/>
  <c r="N136" i="2"/>
  <c r="N158" i="2"/>
  <c r="N143" i="2"/>
  <c r="N154" i="2"/>
  <c r="N93" i="2"/>
  <c r="N81" i="2"/>
  <c r="N358" i="2"/>
  <c r="N400" i="2"/>
  <c r="N345" i="2"/>
  <c r="N352" i="2"/>
  <c r="N355" i="2"/>
  <c r="N363" i="2"/>
  <c r="N348" i="2"/>
  <c r="N402" i="2"/>
  <c r="N344" i="2"/>
  <c r="N405" i="2"/>
  <c r="N364" i="2"/>
  <c r="N156" i="2"/>
  <c r="N155" i="2"/>
  <c r="N133" i="2"/>
  <c r="N145" i="2"/>
  <c r="N337" i="2"/>
  <c r="N99" i="2"/>
  <c r="N381" i="2"/>
  <c r="N397" i="2"/>
  <c r="N341" i="2"/>
  <c r="N369" i="2"/>
  <c r="N371" i="2"/>
  <c r="N134" i="2"/>
  <c r="N110" i="2"/>
  <c r="N138" i="2"/>
  <c r="N326" i="2"/>
  <c r="N92" i="2"/>
  <c r="N382" i="2"/>
  <c r="N370" i="2"/>
  <c r="N373" i="2"/>
  <c r="N365" i="2"/>
  <c r="N399" i="2"/>
  <c r="N129" i="2"/>
  <c r="N135" i="2"/>
  <c r="N116" i="2"/>
  <c r="N98" i="2"/>
  <c r="N368" i="2"/>
  <c r="N353" i="2"/>
  <c r="N354" i="2"/>
  <c r="N359" i="2"/>
  <c r="N407" i="2"/>
  <c r="N157" i="2"/>
  <c r="N141" i="2"/>
  <c r="N123" i="2"/>
  <c r="N361" i="2"/>
  <c r="N342" i="2"/>
  <c r="N347" i="2"/>
  <c r="N121" i="2"/>
  <c r="N139" i="2"/>
  <c r="N85" i="2"/>
  <c r="N396" i="2"/>
  <c r="N366" i="2"/>
  <c r="N367" i="2"/>
  <c r="N346" i="2"/>
  <c r="N362" i="2"/>
  <c r="N403" i="2"/>
  <c r="Y7" i="2"/>
  <c r="I2" i="2"/>
  <c r="C33" i="1"/>
  <c r="B8" i="28" s="1"/>
  <c r="X7" i="2"/>
  <c r="K339" i="2"/>
  <c r="K255" i="2"/>
  <c r="R284" i="2"/>
  <c r="R175" i="2"/>
  <c r="K164" i="2"/>
  <c r="S210" i="2"/>
  <c r="S217" i="2"/>
  <c r="S213" i="2"/>
  <c r="R171" i="2"/>
  <c r="W207" i="2"/>
  <c r="R329" i="2"/>
  <c r="S185" i="2"/>
  <c r="N12" i="28"/>
  <c r="R328" i="2"/>
  <c r="R169" i="2"/>
  <c r="AA233" i="2"/>
  <c r="R331" i="2"/>
  <c r="U331" i="2" s="1"/>
  <c r="K300" i="2"/>
  <c r="T142" i="2"/>
  <c r="R61" i="2"/>
  <c r="K107" i="2"/>
  <c r="T140" i="2"/>
  <c r="R170" i="2"/>
  <c r="R73" i="2"/>
  <c r="K24" i="2"/>
  <c r="R332" i="2"/>
  <c r="R65" i="2"/>
  <c r="Q170" i="2"/>
  <c r="U194" i="2"/>
  <c r="Q171" i="2"/>
  <c r="Q326" i="2"/>
  <c r="Z233" i="2"/>
  <c r="R210" i="2"/>
  <c r="V207" i="2"/>
  <c r="Q328" i="2"/>
  <c r="J76" i="2"/>
  <c r="S140" i="2"/>
  <c r="Q175" i="2"/>
  <c r="J107" i="2"/>
  <c r="J164" i="2"/>
  <c r="M12" i="28"/>
  <c r="R213" i="2"/>
  <c r="R72" i="2"/>
  <c r="J227" i="2"/>
  <c r="Q65" i="2"/>
  <c r="U302" i="2"/>
  <c r="J314" i="2"/>
  <c r="R217" i="2"/>
  <c r="J376" i="2"/>
  <c r="J255" i="2"/>
  <c r="Q329" i="2"/>
  <c r="R185" i="2"/>
  <c r="J300" i="2"/>
  <c r="S142" i="2"/>
  <c r="R271" i="2"/>
  <c r="J339" i="2"/>
  <c r="Q284" i="2"/>
  <c r="Q422" i="2"/>
  <c r="T421" i="2" s="1"/>
  <c r="J24" i="2"/>
  <c r="K2" i="2"/>
  <c r="C37" i="1"/>
  <c r="F5" i="28" s="1"/>
  <c r="V7" i="2"/>
  <c r="T7" i="2"/>
  <c r="G2" i="2"/>
  <c r="G10" i="2" s="1"/>
  <c r="C31" i="1"/>
  <c r="B6" i="28" s="1"/>
  <c r="R7" i="2"/>
  <c r="E2" i="2"/>
  <c r="C29" i="1"/>
  <c r="B4" i="28" s="1"/>
  <c r="D9" i="17"/>
  <c r="N287" i="2"/>
  <c r="Q64" i="28" s="1"/>
  <c r="N282" i="2"/>
  <c r="Q59" i="28" s="1"/>
  <c r="N256" i="2"/>
  <c r="N260" i="2"/>
  <c r="N262" i="2"/>
  <c r="Q39" i="28" s="1"/>
  <c r="N288" i="2"/>
  <c r="Q65" i="28" s="1"/>
  <c r="N275" i="2"/>
  <c r="N257" i="2"/>
  <c r="N295" i="2"/>
  <c r="Q72" i="28" s="1"/>
  <c r="N270" i="2"/>
  <c r="Q47" i="28" s="1"/>
  <c r="N263" i="2"/>
  <c r="Q40" i="28" s="1"/>
  <c r="N301" i="2"/>
  <c r="N309" i="2"/>
  <c r="N304" i="2"/>
  <c r="N302" i="2"/>
  <c r="N312" i="2"/>
  <c r="C9" i="17"/>
  <c r="G9" i="17"/>
  <c r="K20" i="1" s="1"/>
  <c r="H9" i="17"/>
  <c r="L20" i="1" s="1"/>
  <c r="B9" i="17"/>
  <c r="F7" i="9" l="1"/>
  <c r="G109" i="17" s="1"/>
  <c r="F36" i="9"/>
  <c r="G138" i="17" s="1"/>
  <c r="F34" i="9"/>
  <c r="G136" i="17" s="1"/>
  <c r="F12" i="9"/>
  <c r="G114" i="17" s="1"/>
  <c r="F37" i="9"/>
  <c r="G139" i="17" s="1"/>
  <c r="F41" i="9"/>
  <c r="G143" i="17" s="1"/>
  <c r="F6" i="9"/>
  <c r="G108" i="17" s="1"/>
  <c r="F26" i="9"/>
  <c r="G128" i="17" s="1"/>
  <c r="F18" i="9"/>
  <c r="G120" i="17" s="1"/>
  <c r="F29" i="9"/>
  <c r="G131" i="17" s="1"/>
  <c r="F40" i="9"/>
  <c r="G142" i="17" s="1"/>
  <c r="F27" i="9"/>
  <c r="G129" i="17" s="1"/>
  <c r="F25" i="9"/>
  <c r="G127" i="17" s="1"/>
  <c r="F45" i="9"/>
  <c r="G147" i="17" s="1"/>
  <c r="F2" i="9"/>
  <c r="G104" i="17" s="1"/>
  <c r="F3" i="9"/>
  <c r="G105" i="17" s="1"/>
  <c r="F35" i="9"/>
  <c r="G137" i="17" s="1"/>
  <c r="F21" i="9"/>
  <c r="G123" i="17" s="1"/>
  <c r="F31" i="9"/>
  <c r="G133" i="17" s="1"/>
  <c r="F13" i="9"/>
  <c r="G115" i="17" s="1"/>
  <c r="F5" i="9"/>
  <c r="G107" i="17" s="1"/>
  <c r="F24" i="9"/>
  <c r="G126" i="17" s="1"/>
  <c r="F23" i="9"/>
  <c r="G125" i="17" s="1"/>
  <c r="F17" i="9"/>
  <c r="G119" i="17" s="1"/>
  <c r="F10" i="9"/>
  <c r="G112" i="17" s="1"/>
  <c r="F19" i="9"/>
  <c r="G121" i="17" s="1"/>
  <c r="F15" i="9"/>
  <c r="G117" i="17" s="1"/>
  <c r="F4" i="9"/>
  <c r="G106" i="17" s="1"/>
  <c r="U328" i="2"/>
  <c r="U170" i="2"/>
  <c r="V170" i="2" s="1"/>
  <c r="V65" i="2"/>
  <c r="S244" i="2"/>
  <c r="U175" i="2"/>
  <c r="V175" i="2" s="1"/>
  <c r="U171" i="2"/>
  <c r="V171" i="2" s="1"/>
  <c r="M2" i="2"/>
  <c r="C39" i="1"/>
  <c r="F7" i="28" s="1"/>
  <c r="I13" i="2"/>
  <c r="I10" i="2"/>
  <c r="Q321" i="2" s="1"/>
  <c r="I9" i="2"/>
  <c r="W257" i="2" s="1"/>
  <c r="I7" i="2"/>
  <c r="I6" i="2"/>
  <c r="I8" i="2"/>
  <c r="I4" i="2"/>
  <c r="I3" i="2"/>
  <c r="I5" i="2"/>
  <c r="L2" i="2"/>
  <c r="C38" i="1"/>
  <c r="F6" i="28" s="1"/>
  <c r="G5" i="2"/>
  <c r="G136" i="2" s="1"/>
  <c r="G3" i="2"/>
  <c r="G72" i="2" s="1"/>
  <c r="U329" i="2"/>
  <c r="T72" i="2"/>
  <c r="K13" i="2"/>
  <c r="R396" i="2" s="1"/>
  <c r="K8" i="2"/>
  <c r="R285" i="2" s="1"/>
  <c r="K5" i="2"/>
  <c r="K11" i="2"/>
  <c r="K9" i="2"/>
  <c r="K4" i="2"/>
  <c r="K6" i="2"/>
  <c r="S276" i="2" s="1"/>
  <c r="K10" i="2"/>
  <c r="K7" i="2"/>
  <c r="K3" i="2"/>
  <c r="T154" i="2" s="1"/>
  <c r="J2" i="2"/>
  <c r="C36" i="1"/>
  <c r="F4" i="28" s="1"/>
  <c r="C32" i="1"/>
  <c r="B7" i="28" s="1"/>
  <c r="H2" i="2"/>
  <c r="G8" i="2"/>
  <c r="G6" i="2"/>
  <c r="G13" i="2"/>
  <c r="G11" i="2"/>
  <c r="G7" i="2"/>
  <c r="G9" i="2"/>
  <c r="G4" i="2"/>
  <c r="F2" i="2"/>
  <c r="C30" i="1"/>
  <c r="B5" i="28" s="1"/>
  <c r="E3" i="2"/>
  <c r="E5" i="2"/>
  <c r="E13" i="2"/>
  <c r="E11" i="2"/>
  <c r="E10" i="2"/>
  <c r="E9" i="2"/>
  <c r="E7" i="2"/>
  <c r="E4" i="2"/>
  <c r="E8" i="2"/>
  <c r="E6" i="2"/>
  <c r="Q34" i="28"/>
  <c r="Q52" i="28"/>
  <c r="G35" i="2"/>
  <c r="G323" i="2"/>
  <c r="G333" i="2"/>
  <c r="G320" i="2"/>
  <c r="G329" i="2"/>
  <c r="G324" i="2"/>
  <c r="G336" i="2"/>
  <c r="G316" i="2"/>
  <c r="G334" i="2"/>
  <c r="G330" i="2"/>
  <c r="G321" i="2"/>
  <c r="G322" i="2"/>
  <c r="G325" i="2"/>
  <c r="G327" i="2"/>
  <c r="G317" i="2"/>
  <c r="G315" i="2"/>
  <c r="G337" i="2"/>
  <c r="G318" i="2"/>
  <c r="G331" i="2"/>
  <c r="G326" i="2"/>
  <c r="G328" i="2"/>
  <c r="G335" i="2"/>
  <c r="G332" i="2"/>
  <c r="G319" i="2"/>
  <c r="Q37" i="28"/>
  <c r="Q33" i="28"/>
  <c r="G68" i="2" l="1"/>
  <c r="G46" i="2"/>
  <c r="G47" i="2"/>
  <c r="G66" i="2"/>
  <c r="G43" i="2"/>
  <c r="G55" i="2"/>
  <c r="G34" i="2"/>
  <c r="G62" i="2"/>
  <c r="G74" i="2"/>
  <c r="G48" i="2"/>
  <c r="G38" i="2"/>
  <c r="G42" i="2"/>
  <c r="G52" i="2"/>
  <c r="G57" i="2"/>
  <c r="G29" i="2"/>
  <c r="G37" i="2"/>
  <c r="G67" i="2"/>
  <c r="T163" i="2"/>
  <c r="T153" i="2"/>
  <c r="T152" i="2"/>
  <c r="T155" i="2"/>
  <c r="S211" i="2"/>
  <c r="R392" i="2"/>
  <c r="T159" i="2"/>
  <c r="T149" i="2"/>
  <c r="S186" i="2"/>
  <c r="S277" i="2"/>
  <c r="G73" i="2"/>
  <c r="G45" i="2"/>
  <c r="S274" i="2"/>
  <c r="S272" i="2"/>
  <c r="S279" i="2"/>
  <c r="S273" i="2"/>
  <c r="S275" i="2"/>
  <c r="S278" i="2"/>
  <c r="T151" i="2"/>
  <c r="T156" i="2"/>
  <c r="T162" i="2"/>
  <c r="T150" i="2"/>
  <c r="T157" i="2"/>
  <c r="T161" i="2"/>
  <c r="T146" i="2"/>
  <c r="R372" i="2"/>
  <c r="T148" i="2"/>
  <c r="T158" i="2"/>
  <c r="T143" i="2"/>
  <c r="S214" i="2"/>
  <c r="R380" i="2"/>
  <c r="T160" i="2"/>
  <c r="T141" i="2"/>
  <c r="R399" i="2"/>
  <c r="R378" i="2"/>
  <c r="G113" i="2"/>
  <c r="G112" i="2"/>
  <c r="G143" i="2"/>
  <c r="G144" i="2"/>
  <c r="G127" i="2"/>
  <c r="G115" i="2"/>
  <c r="G110" i="2"/>
  <c r="G154" i="2"/>
  <c r="G155" i="2"/>
  <c r="G147" i="2"/>
  <c r="G114" i="2"/>
  <c r="G160" i="2"/>
  <c r="G151" i="2"/>
  <c r="G152" i="2"/>
  <c r="G108" i="2"/>
  <c r="G126" i="2"/>
  <c r="G141" i="2"/>
  <c r="G134" i="2"/>
  <c r="G148" i="2"/>
  <c r="G125" i="2"/>
  <c r="G117" i="2"/>
  <c r="G119" i="2"/>
  <c r="G135" i="2"/>
  <c r="G150" i="2"/>
  <c r="G157" i="2"/>
  <c r="G116" i="2"/>
  <c r="M13" i="2"/>
  <c r="M7" i="2"/>
  <c r="M8" i="2"/>
  <c r="M11" i="2"/>
  <c r="M4" i="2"/>
  <c r="M6" i="2"/>
  <c r="M10" i="2"/>
  <c r="M3" i="2"/>
  <c r="M5" i="2"/>
  <c r="M9" i="2"/>
  <c r="G59" i="2"/>
  <c r="G153" i="2"/>
  <c r="G146" i="2"/>
  <c r="I124" i="2"/>
  <c r="I131" i="2"/>
  <c r="I135" i="2"/>
  <c r="I111" i="2"/>
  <c r="I128" i="2"/>
  <c r="I133" i="2"/>
  <c r="I125" i="2"/>
  <c r="I152" i="2"/>
  <c r="I158" i="2"/>
  <c r="I154" i="2"/>
  <c r="I118" i="2"/>
  <c r="I139" i="2"/>
  <c r="I159" i="2"/>
  <c r="I123" i="2"/>
  <c r="I145" i="2"/>
  <c r="I121" i="2"/>
  <c r="I143" i="2"/>
  <c r="I126" i="2"/>
  <c r="I142" i="2"/>
  <c r="I137" i="2"/>
  <c r="I127" i="2"/>
  <c r="I116" i="2"/>
  <c r="I115" i="2"/>
  <c r="I134" i="2"/>
  <c r="I148" i="2"/>
  <c r="I141" i="2"/>
  <c r="I108" i="2"/>
  <c r="I112" i="2"/>
  <c r="I130" i="2"/>
  <c r="I136" i="2"/>
  <c r="I150" i="2"/>
  <c r="I156" i="2"/>
  <c r="I113" i="2"/>
  <c r="I162" i="2"/>
  <c r="I149" i="2"/>
  <c r="I140" i="2"/>
  <c r="I155" i="2"/>
  <c r="I161" i="2"/>
  <c r="I160" i="2"/>
  <c r="I119" i="2"/>
  <c r="I132" i="2"/>
  <c r="I147" i="2"/>
  <c r="I146" i="2"/>
  <c r="I144" i="2"/>
  <c r="I117" i="2"/>
  <c r="I120" i="2"/>
  <c r="I151" i="2"/>
  <c r="I114" i="2"/>
  <c r="I110" i="2"/>
  <c r="I122" i="2"/>
  <c r="I129" i="2"/>
  <c r="I109" i="2"/>
  <c r="I157" i="2"/>
  <c r="I138" i="2"/>
  <c r="I153" i="2"/>
  <c r="G61" i="2"/>
  <c r="G28" i="2"/>
  <c r="G161" i="2"/>
  <c r="G138" i="2"/>
  <c r="G142" i="2"/>
  <c r="G105" i="2"/>
  <c r="G104" i="2"/>
  <c r="R161" i="2"/>
  <c r="I35" i="2"/>
  <c r="I69" i="2"/>
  <c r="U61" i="2"/>
  <c r="V61" i="2" s="1"/>
  <c r="I37" i="2"/>
  <c r="I25" i="2"/>
  <c r="I70" i="2"/>
  <c r="I42" i="2"/>
  <c r="I56" i="2"/>
  <c r="I31" i="2"/>
  <c r="I72" i="2"/>
  <c r="R151" i="2"/>
  <c r="I57" i="2"/>
  <c r="I34" i="2"/>
  <c r="I45" i="2"/>
  <c r="I59" i="2"/>
  <c r="I29" i="2"/>
  <c r="I52" i="2"/>
  <c r="I51" i="2"/>
  <c r="I33" i="2"/>
  <c r="I65" i="2"/>
  <c r="I55" i="2"/>
  <c r="I73" i="2"/>
  <c r="I38" i="2"/>
  <c r="I50" i="2"/>
  <c r="I53" i="2"/>
  <c r="I58" i="2"/>
  <c r="I63" i="2"/>
  <c r="I67" i="2"/>
  <c r="I44" i="2"/>
  <c r="R156" i="2"/>
  <c r="I47" i="2"/>
  <c r="I54" i="2"/>
  <c r="I46" i="2"/>
  <c r="I27" i="2"/>
  <c r="I60" i="2"/>
  <c r="I41" i="2"/>
  <c r="R150" i="2"/>
  <c r="I64" i="2"/>
  <c r="I61" i="2"/>
  <c r="I39" i="2"/>
  <c r="I26" i="2"/>
  <c r="I32" i="2"/>
  <c r="I49" i="2"/>
  <c r="I30" i="2"/>
  <c r="I74" i="2"/>
  <c r="I28" i="2"/>
  <c r="I36" i="2"/>
  <c r="I40" i="2"/>
  <c r="I71" i="2"/>
  <c r="I66" i="2"/>
  <c r="I68" i="2"/>
  <c r="I62" i="2"/>
  <c r="I43" i="2"/>
  <c r="R163" i="2"/>
  <c r="I48" i="2"/>
  <c r="G36" i="2"/>
  <c r="G111" i="2"/>
  <c r="G159" i="2"/>
  <c r="G130" i="2"/>
  <c r="I87" i="2"/>
  <c r="I104" i="2"/>
  <c r="I100" i="2"/>
  <c r="I93" i="2"/>
  <c r="I94" i="2"/>
  <c r="I105" i="2"/>
  <c r="I96" i="2"/>
  <c r="I83" i="2"/>
  <c r="I88" i="2"/>
  <c r="I90" i="2"/>
  <c r="I91" i="2"/>
  <c r="I99" i="2"/>
  <c r="I92" i="2"/>
  <c r="I95" i="2"/>
  <c r="I86" i="2"/>
  <c r="I82" i="2"/>
  <c r="I98" i="2"/>
  <c r="I80" i="2"/>
  <c r="I79" i="2"/>
  <c r="I85" i="2"/>
  <c r="I97" i="2"/>
  <c r="I102" i="2"/>
  <c r="I103" i="2"/>
  <c r="I84" i="2"/>
  <c r="I77" i="2"/>
  <c r="I89" i="2"/>
  <c r="I101" i="2"/>
  <c r="I81" i="2"/>
  <c r="I78" i="2"/>
  <c r="G60" i="2"/>
  <c r="G133" i="2"/>
  <c r="G158" i="2"/>
  <c r="G149" i="2"/>
  <c r="I263" i="2"/>
  <c r="L40" i="28" s="1"/>
  <c r="I294" i="2"/>
  <c r="L71" i="28" s="1"/>
  <c r="I280" i="2"/>
  <c r="L57" i="28" s="1"/>
  <c r="I268" i="2"/>
  <c r="L45" i="28" s="1"/>
  <c r="I257" i="2"/>
  <c r="L34" i="28" s="1"/>
  <c r="I279" i="2"/>
  <c r="L56" i="28" s="1"/>
  <c r="I285" i="2"/>
  <c r="L62" i="28" s="1"/>
  <c r="I275" i="2"/>
  <c r="L52" i="28" s="1"/>
  <c r="I290" i="2"/>
  <c r="L67" i="28" s="1"/>
  <c r="I269" i="2"/>
  <c r="L46" i="28" s="1"/>
  <c r="I261" i="2"/>
  <c r="L38" i="28" s="1"/>
  <c r="I270" i="2"/>
  <c r="L47" i="28" s="1"/>
  <c r="I271" i="2"/>
  <c r="L48" i="28" s="1"/>
  <c r="I284" i="2"/>
  <c r="L61" i="28" s="1"/>
  <c r="I292" i="2"/>
  <c r="L69" i="28" s="1"/>
  <c r="I293" i="2"/>
  <c r="L70" i="28" s="1"/>
  <c r="I259" i="2"/>
  <c r="L36" i="28" s="1"/>
  <c r="I282" i="2"/>
  <c r="L59" i="28" s="1"/>
  <c r="I265" i="2"/>
  <c r="L42" i="28" s="1"/>
  <c r="I278" i="2"/>
  <c r="L55" i="28" s="1"/>
  <c r="I297" i="2"/>
  <c r="L74" i="28" s="1"/>
  <c r="I288" i="2"/>
  <c r="L65" i="28" s="1"/>
  <c r="I256" i="2"/>
  <c r="L33" i="28" s="1"/>
  <c r="I281" i="2"/>
  <c r="L58" i="28" s="1"/>
  <c r="I276" i="2"/>
  <c r="L53" i="28" s="1"/>
  <c r="I258" i="2"/>
  <c r="L35" i="28" s="1"/>
  <c r="I296" i="2"/>
  <c r="L73" i="28" s="1"/>
  <c r="I273" i="2"/>
  <c r="L50" i="28" s="1"/>
  <c r="I272" i="2"/>
  <c r="L49" i="28" s="1"/>
  <c r="I291" i="2"/>
  <c r="L68" i="28" s="1"/>
  <c r="I264" i="2"/>
  <c r="L41" i="28" s="1"/>
  <c r="I287" i="2"/>
  <c r="L64" i="28" s="1"/>
  <c r="I286" i="2"/>
  <c r="L63" i="28" s="1"/>
  <c r="I260" i="2"/>
  <c r="L37" i="28" s="1"/>
  <c r="I283" i="2"/>
  <c r="L60" i="28" s="1"/>
  <c r="I289" i="2"/>
  <c r="L66" i="28" s="1"/>
  <c r="I267" i="2"/>
  <c r="L44" i="28" s="1"/>
  <c r="I266" i="2"/>
  <c r="L43" i="28" s="1"/>
  <c r="I274" i="2"/>
  <c r="L51" i="28" s="1"/>
  <c r="I277" i="2"/>
  <c r="L54" i="28" s="1"/>
  <c r="I298" i="2"/>
  <c r="L75" i="28" s="1"/>
  <c r="I262" i="2"/>
  <c r="L39" i="28" s="1"/>
  <c r="I295" i="2"/>
  <c r="L72" i="28" s="1"/>
  <c r="G128" i="2"/>
  <c r="G162" i="2"/>
  <c r="G132" i="2"/>
  <c r="I219" i="2"/>
  <c r="I194" i="2"/>
  <c r="I193" i="2"/>
  <c r="U208" i="2"/>
  <c r="I176" i="2"/>
  <c r="I213" i="2"/>
  <c r="Q218" i="2"/>
  <c r="I170" i="2"/>
  <c r="I183" i="2"/>
  <c r="L17" i="28" s="1"/>
  <c r="I191" i="2"/>
  <c r="L23" i="28" s="1"/>
  <c r="I206" i="2"/>
  <c r="I211" i="2"/>
  <c r="I220" i="2"/>
  <c r="I168" i="2"/>
  <c r="I217" i="2"/>
  <c r="L28" i="28" s="1"/>
  <c r="I179" i="2"/>
  <c r="I171" i="2"/>
  <c r="I221" i="2"/>
  <c r="I196" i="2"/>
  <c r="I184" i="2"/>
  <c r="L18" i="28" s="1"/>
  <c r="I169" i="2"/>
  <c r="I174" i="2"/>
  <c r="I165" i="2"/>
  <c r="I175" i="2"/>
  <c r="I204" i="2"/>
  <c r="I203" i="2"/>
  <c r="L27" i="28" s="1"/>
  <c r="I178" i="2"/>
  <c r="L13" i="28" s="1"/>
  <c r="I218" i="2"/>
  <c r="I225" i="2"/>
  <c r="L29" i="28" s="1"/>
  <c r="I205" i="2"/>
  <c r="I195" i="2"/>
  <c r="I186" i="2"/>
  <c r="Q186" i="2"/>
  <c r="I199" i="2"/>
  <c r="U192" i="2"/>
  <c r="I208" i="2"/>
  <c r="I181" i="2"/>
  <c r="L15" i="28" s="1"/>
  <c r="I190" i="2"/>
  <c r="L22" i="28" s="1"/>
  <c r="I166" i="2"/>
  <c r="I212" i="2"/>
  <c r="I182" i="2"/>
  <c r="L16" i="28" s="1"/>
  <c r="I187" i="2"/>
  <c r="L20" i="28" s="1"/>
  <c r="I192" i="2"/>
  <c r="L24" i="28" s="1"/>
  <c r="I216" i="2"/>
  <c r="I172" i="2"/>
  <c r="I222" i="2"/>
  <c r="I177" i="2"/>
  <c r="I198" i="2"/>
  <c r="I215" i="2"/>
  <c r="I167" i="2"/>
  <c r="I180" i="2"/>
  <c r="L14" i="28" s="1"/>
  <c r="I189" i="2"/>
  <c r="L21" i="28" s="1"/>
  <c r="I210" i="2"/>
  <c r="I202" i="2"/>
  <c r="I188" i="2"/>
  <c r="I173" i="2"/>
  <c r="I224" i="2"/>
  <c r="I223" i="2"/>
  <c r="I209" i="2"/>
  <c r="G49" i="2"/>
  <c r="G137" i="2"/>
  <c r="G109" i="2"/>
  <c r="I232" i="2"/>
  <c r="I248" i="2"/>
  <c r="I247" i="2"/>
  <c r="I233" i="2"/>
  <c r="I235" i="2"/>
  <c r="R147" i="2"/>
  <c r="I249" i="2"/>
  <c r="I243" i="2"/>
  <c r="Y238" i="2"/>
  <c r="I240" i="2"/>
  <c r="I236" i="2"/>
  <c r="R144" i="2"/>
  <c r="I251" i="2"/>
  <c r="I229" i="2"/>
  <c r="I234" i="2"/>
  <c r="I230" i="2"/>
  <c r="I239" i="2"/>
  <c r="I238" i="2"/>
  <c r="I252" i="2"/>
  <c r="Y234" i="2"/>
  <c r="I242" i="2"/>
  <c r="R148" i="2"/>
  <c r="I246" i="2"/>
  <c r="I231" i="2"/>
  <c r="R141" i="2"/>
  <c r="I241" i="2"/>
  <c r="G39" i="2"/>
  <c r="G64" i="2"/>
  <c r="G26" i="2"/>
  <c r="G31" i="2"/>
  <c r="G139" i="2"/>
  <c r="G124" i="2"/>
  <c r="G129" i="2"/>
  <c r="G69" i="2"/>
  <c r="G44" i="2"/>
  <c r="G32" i="2"/>
  <c r="G145" i="2"/>
  <c r="G50" i="2"/>
  <c r="G25" i="2"/>
  <c r="G41" i="2"/>
  <c r="G70" i="2"/>
  <c r="G140" i="2"/>
  <c r="G123" i="2"/>
  <c r="G120" i="2"/>
  <c r="I334" i="2"/>
  <c r="I320" i="2"/>
  <c r="I324" i="2"/>
  <c r="I327" i="2"/>
  <c r="I322" i="2"/>
  <c r="I315" i="2"/>
  <c r="I335" i="2"/>
  <c r="I332" i="2"/>
  <c r="I331" i="2"/>
  <c r="I319" i="2"/>
  <c r="I326" i="2"/>
  <c r="I328" i="2"/>
  <c r="I337" i="2"/>
  <c r="I317" i="2"/>
  <c r="I336" i="2"/>
  <c r="I318" i="2"/>
  <c r="I323" i="2"/>
  <c r="I333" i="2"/>
  <c r="I321" i="2"/>
  <c r="I329" i="2"/>
  <c r="I316" i="2"/>
  <c r="I330" i="2"/>
  <c r="I325" i="2"/>
  <c r="G51" i="2"/>
  <c r="G40" i="2"/>
  <c r="G54" i="2"/>
  <c r="G33" i="2"/>
  <c r="G65" i="2"/>
  <c r="G58" i="2"/>
  <c r="G53" i="2"/>
  <c r="G56" i="2"/>
  <c r="G156" i="2"/>
  <c r="G121" i="2"/>
  <c r="G131" i="2"/>
  <c r="Q193" i="6"/>
  <c r="Y215" i="6"/>
  <c r="Y151" i="6"/>
  <c r="Y63" i="6"/>
  <c r="Q278" i="2"/>
  <c r="Y348" i="6"/>
  <c r="Y148" i="6"/>
  <c r="Y204" i="6"/>
  <c r="Y328" i="6"/>
  <c r="Y308" i="6"/>
  <c r="Y115" i="6"/>
  <c r="Y182" i="6"/>
  <c r="Y81" i="6"/>
  <c r="Y290" i="6"/>
  <c r="P372" i="2"/>
  <c r="Y27" i="6"/>
  <c r="Y383" i="6"/>
  <c r="Y14" i="6"/>
  <c r="Y258" i="6"/>
  <c r="Y393" i="6"/>
  <c r="Y23" i="6"/>
  <c r="Y226" i="6"/>
  <c r="Y116" i="6"/>
  <c r="Y34" i="6"/>
  <c r="Y370" i="6"/>
  <c r="Q211" i="2"/>
  <c r="Y172" i="6"/>
  <c r="AC197" i="2"/>
  <c r="Y401" i="6"/>
  <c r="Y220" i="6"/>
  <c r="Y130" i="6"/>
  <c r="Y76" i="6"/>
  <c r="Y19" i="6"/>
  <c r="Y199" i="6"/>
  <c r="Y117" i="6"/>
  <c r="Y212" i="6"/>
  <c r="Y174" i="6"/>
  <c r="Y292" i="6"/>
  <c r="Y108" i="6"/>
  <c r="Y187" i="6"/>
  <c r="Y277" i="6"/>
  <c r="Y264" i="6"/>
  <c r="Y287" i="6"/>
  <c r="Y10" i="6"/>
  <c r="Y250" i="6"/>
  <c r="Q276" i="2"/>
  <c r="Y5" i="6"/>
  <c r="Y243" i="6"/>
  <c r="Y6" i="6"/>
  <c r="Y373" i="6"/>
  <c r="Y371" i="6"/>
  <c r="Y270" i="6"/>
  <c r="Y251" i="6"/>
  <c r="Y225" i="6"/>
  <c r="Y162" i="6"/>
  <c r="Y150" i="6"/>
  <c r="Y399" i="6"/>
  <c r="Y227" i="6"/>
  <c r="Q275" i="2"/>
  <c r="Y235" i="6"/>
  <c r="Y374" i="6"/>
  <c r="Y56" i="6"/>
  <c r="Y246" i="6"/>
  <c r="Y400" i="6"/>
  <c r="Y101" i="6"/>
  <c r="Y245" i="6"/>
  <c r="Q174" i="6"/>
  <c r="Y380" i="6"/>
  <c r="Y96" i="6"/>
  <c r="Y161" i="6"/>
  <c r="Y343" i="6"/>
  <c r="Y132" i="6"/>
  <c r="Y179" i="6"/>
  <c r="Y279" i="6"/>
  <c r="Y353" i="6"/>
  <c r="Y164" i="6"/>
  <c r="Y316" i="6"/>
  <c r="Y143" i="6"/>
  <c r="Y102" i="6"/>
  <c r="Y397" i="6"/>
  <c r="Y278" i="6"/>
  <c r="Y285" i="6"/>
  <c r="Y109" i="6"/>
  <c r="Y33" i="6"/>
  <c r="Y194" i="6"/>
  <c r="Y37" i="6"/>
  <c r="Y222" i="6"/>
  <c r="Y36" i="6"/>
  <c r="Y384" i="6"/>
  <c r="Y269" i="6"/>
  <c r="Y92" i="6"/>
  <c r="Y40" i="6"/>
  <c r="Q277" i="2"/>
  <c r="Y367" i="6"/>
  <c r="Y103" i="6"/>
  <c r="Y147" i="6"/>
  <c r="Y330" i="6"/>
  <c r="Y329" i="6"/>
  <c r="Y128" i="6"/>
  <c r="Y149" i="6"/>
  <c r="Y340" i="6"/>
  <c r="Y134" i="6"/>
  <c r="Y291" i="6"/>
  <c r="Y70" i="6"/>
  <c r="Y121" i="6"/>
  <c r="Y97" i="6"/>
  <c r="Y43" i="6"/>
  <c r="Y233" i="6"/>
  <c r="Y64" i="6"/>
  <c r="Y16" i="6"/>
  <c r="Y158" i="6"/>
  <c r="Y368" i="6"/>
  <c r="Y38" i="6"/>
  <c r="Y301" i="6"/>
  <c r="Y110" i="6"/>
  <c r="Y25" i="6"/>
  <c r="Y366" i="6"/>
  <c r="Y331" i="6"/>
  <c r="Y213" i="6"/>
  <c r="Y359" i="6"/>
  <c r="Y346" i="6"/>
  <c r="Y176" i="6"/>
  <c r="Y313" i="6"/>
  <c r="Y111" i="6"/>
  <c r="Y59" i="6"/>
  <c r="Y186" i="6"/>
  <c r="Y57" i="6"/>
  <c r="Y239" i="6"/>
  <c r="Y320" i="6"/>
  <c r="Y3" i="6"/>
  <c r="Y275" i="6"/>
  <c r="Y26" i="6"/>
  <c r="Y100" i="6"/>
  <c r="Y295" i="6"/>
  <c r="Y407" i="6"/>
  <c r="Y376" i="6"/>
  <c r="Y267" i="6"/>
  <c r="Y386" i="6"/>
  <c r="Y228" i="6"/>
  <c r="Y20" i="6"/>
  <c r="Y61" i="6"/>
  <c r="Y8" i="6"/>
  <c r="Y350" i="6"/>
  <c r="Y315" i="6"/>
  <c r="Y218" i="6"/>
  <c r="Y206" i="6"/>
  <c r="Y192" i="6"/>
  <c r="Y181" i="6"/>
  <c r="Y276" i="6"/>
  <c r="Y355" i="6"/>
  <c r="Y72" i="6"/>
  <c r="Y191" i="6"/>
  <c r="Y71" i="6"/>
  <c r="Y249" i="6"/>
  <c r="Y307" i="6"/>
  <c r="Y288" i="6"/>
  <c r="Y29" i="6"/>
  <c r="Y394" i="6"/>
  <c r="Y17" i="6"/>
  <c r="Y271" i="6"/>
  <c r="Y230" i="6"/>
  <c r="Y214" i="6"/>
  <c r="Y65" i="6"/>
  <c r="Y80" i="6"/>
  <c r="Y78" i="6"/>
  <c r="Y332" i="6"/>
  <c r="Y326" i="6"/>
  <c r="Y168" i="6"/>
  <c r="Y263" i="6"/>
  <c r="Y203" i="6"/>
  <c r="Y382" i="6"/>
  <c r="Y387" i="6"/>
  <c r="Y349" i="6"/>
  <c r="Y69" i="6"/>
  <c r="Y403" i="6"/>
  <c r="Y217" i="6"/>
  <c r="Q191" i="6"/>
  <c r="Y196" i="6"/>
  <c r="Y280" i="6"/>
  <c r="Y42" i="6"/>
  <c r="Y390" i="6"/>
  <c r="Y197" i="6"/>
  <c r="Y131" i="6"/>
  <c r="Y167" i="6"/>
  <c r="Y342" i="6"/>
  <c r="Y322" i="6"/>
  <c r="Y125" i="6"/>
  <c r="Y170" i="6"/>
  <c r="Y11" i="6"/>
  <c r="Y241" i="6"/>
  <c r="Y129" i="6"/>
  <c r="Y12" i="6"/>
  <c r="Y381" i="6"/>
  <c r="Y118" i="6"/>
  <c r="Y255" i="6"/>
  <c r="Y98" i="6"/>
  <c r="Y136" i="6"/>
  <c r="Y124" i="6"/>
  <c r="Y113" i="6"/>
  <c r="Y356" i="6"/>
  <c r="Y293" i="6"/>
  <c r="Y398" i="6"/>
  <c r="Y201" i="6"/>
  <c r="Y169" i="6"/>
  <c r="Y378" i="6"/>
  <c r="Y223" i="6"/>
  <c r="Y141" i="6"/>
  <c r="Y114" i="6"/>
  <c r="Y77" i="6"/>
  <c r="Y188" i="6"/>
  <c r="Y309" i="6"/>
  <c r="Y153" i="6"/>
  <c r="Y88" i="6"/>
  <c r="Y138" i="6"/>
  <c r="Y257" i="6"/>
  <c r="Y68" i="6"/>
  <c r="Q274" i="2"/>
  <c r="Y247" i="6"/>
  <c r="Y91" i="6"/>
  <c r="Y7" i="6"/>
  <c r="Y106" i="6"/>
  <c r="Y377" i="6"/>
  <c r="Y207" i="6"/>
  <c r="Y198" i="6"/>
  <c r="Y50" i="6"/>
  <c r="Y296" i="6"/>
  <c r="Y127" i="6"/>
  <c r="Y317" i="6"/>
  <c r="Y66" i="6"/>
  <c r="Y180" i="6"/>
  <c r="Y178" i="6"/>
  <c r="Y166" i="6"/>
  <c r="Y300" i="6"/>
  <c r="Y51" i="6"/>
  <c r="Y242" i="6"/>
  <c r="Y385" i="6"/>
  <c r="Y107" i="6"/>
  <c r="Y79" i="6"/>
  <c r="Y365" i="6"/>
  <c r="Y404" i="6"/>
  <c r="Y360" i="6"/>
  <c r="Y357" i="6"/>
  <c r="Y123" i="6"/>
  <c r="Y193" i="6"/>
  <c r="Y244" i="6"/>
  <c r="Y351" i="6"/>
  <c r="Y335" i="6"/>
  <c r="Y58" i="6"/>
  <c r="Y84" i="6"/>
  <c r="Y305" i="6"/>
  <c r="Y265" i="6"/>
  <c r="Y266" i="6"/>
  <c r="Y302" i="6"/>
  <c r="Y157" i="6"/>
  <c r="Q279" i="2"/>
  <c r="Y231" i="6"/>
  <c r="Y354" i="6"/>
  <c r="Y372" i="6"/>
  <c r="Y224" i="6"/>
  <c r="Y252" i="6"/>
  <c r="Y253" i="6"/>
  <c r="Y160" i="6"/>
  <c r="Y137" i="6"/>
  <c r="Y211" i="6"/>
  <c r="Y262" i="6"/>
  <c r="Y46" i="6"/>
  <c r="Y344" i="6"/>
  <c r="Y327" i="6"/>
  <c r="Y139" i="6"/>
  <c r="Y260" i="6"/>
  <c r="Y338" i="6"/>
  <c r="Y319" i="6"/>
  <c r="Y289" i="6"/>
  <c r="Y337" i="6"/>
  <c r="Y254" i="6"/>
  <c r="Y15" i="6"/>
  <c r="Y45" i="6"/>
  <c r="Y281" i="6"/>
  <c r="Y62" i="6"/>
  <c r="Y405" i="6"/>
  <c r="Y32" i="6"/>
  <c r="Y248" i="6"/>
  <c r="Y119" i="6"/>
  <c r="Y52" i="6"/>
  <c r="Y9" i="6"/>
  <c r="Y234" i="6"/>
  <c r="Q249" i="6"/>
  <c r="Q270" i="6"/>
  <c r="Y216" i="6"/>
  <c r="Y18" i="6"/>
  <c r="Y49" i="6"/>
  <c r="Y190" i="6"/>
  <c r="Y311" i="6"/>
  <c r="Y310" i="6"/>
  <c r="Y73" i="6"/>
  <c r="Y184" i="6"/>
  <c r="Y173" i="6"/>
  <c r="Y268" i="6"/>
  <c r="Y321" i="6"/>
  <c r="Y82" i="6"/>
  <c r="Y304" i="6"/>
  <c r="Y28" i="6"/>
  <c r="Y229" i="6"/>
  <c r="Y155" i="6"/>
  <c r="Y105" i="6"/>
  <c r="Y391" i="6"/>
  <c r="Y314" i="6"/>
  <c r="Y200" i="6"/>
  <c r="Y256" i="6"/>
  <c r="Y388" i="6"/>
  <c r="Y154" i="6"/>
  <c r="Y41" i="6"/>
  <c r="Q271" i="6"/>
  <c r="Q278" i="6"/>
  <c r="Y44" i="6"/>
  <c r="Y389" i="6"/>
  <c r="Y35" i="6"/>
  <c r="Y195" i="6"/>
  <c r="Y273" i="6"/>
  <c r="Y294" i="6"/>
  <c r="Y89" i="6"/>
  <c r="Y189" i="6"/>
  <c r="Y83" i="6"/>
  <c r="Y104" i="6"/>
  <c r="Y175" i="6"/>
  <c r="Y303" i="6"/>
  <c r="Y261" i="6"/>
  <c r="Y408" i="6"/>
  <c r="Y126" i="6"/>
  <c r="Y152" i="6"/>
  <c r="Y21" i="6"/>
  <c r="Y272" i="6"/>
  <c r="Y240" i="6"/>
  <c r="Y67" i="6"/>
  <c r="Y39" i="6"/>
  <c r="Y333" i="6"/>
  <c r="Y60" i="6"/>
  <c r="Y24" i="6"/>
  <c r="Y347" i="6"/>
  <c r="Y312" i="6"/>
  <c r="Y392" i="6"/>
  <c r="Y259" i="6"/>
  <c r="Y345" i="6"/>
  <c r="Y142" i="6"/>
  <c r="Y286" i="6"/>
  <c r="Y232" i="6"/>
  <c r="Y339" i="6"/>
  <c r="Y122" i="6"/>
  <c r="Y156" i="6"/>
  <c r="Y13" i="6"/>
  <c r="Y159" i="6"/>
  <c r="Q273" i="2"/>
  <c r="Y318" i="6"/>
  <c r="Y395" i="6"/>
  <c r="Y112" i="6"/>
  <c r="Y379" i="6"/>
  <c r="Y4" i="6"/>
  <c r="Y402" i="6"/>
  <c r="Y22" i="6"/>
  <c r="Y352" i="6"/>
  <c r="Y221" i="6"/>
  <c r="Y334" i="6"/>
  <c r="Y75" i="6"/>
  <c r="Y135" i="6"/>
  <c r="Y95" i="6"/>
  <c r="Y205" i="6"/>
  <c r="Q214" i="2"/>
  <c r="Y30" i="6"/>
  <c r="Y120" i="6"/>
  <c r="Y99" i="6"/>
  <c r="Y47" i="6"/>
  <c r="Y163" i="6"/>
  <c r="Y369" i="6"/>
  <c r="Y185" i="6"/>
  <c r="Y165" i="6"/>
  <c r="Y93" i="6"/>
  <c r="Y364" i="6"/>
  <c r="Y183" i="6"/>
  <c r="Y358" i="6"/>
  <c r="Y341" i="6"/>
  <c r="Y74" i="6"/>
  <c r="Y177" i="6"/>
  <c r="Y336" i="6"/>
  <c r="Y171" i="6"/>
  <c r="Y306" i="6"/>
  <c r="Y140" i="6"/>
  <c r="Y90" i="6"/>
  <c r="Y396" i="6"/>
  <c r="Y31" i="6"/>
  <c r="Y274" i="6"/>
  <c r="Y406" i="6"/>
  <c r="Y94" i="6"/>
  <c r="Y48" i="6"/>
  <c r="Y219" i="6"/>
  <c r="Y375" i="6"/>
  <c r="Y202" i="6"/>
  <c r="G27" i="2"/>
  <c r="G71" i="2"/>
  <c r="G30" i="2"/>
  <c r="G63" i="2"/>
  <c r="G118" i="2"/>
  <c r="G122" i="2"/>
  <c r="T144" i="2"/>
  <c r="T147" i="2"/>
  <c r="W208" i="2"/>
  <c r="S218" i="2"/>
  <c r="L13" i="2"/>
  <c r="S332" i="2" s="1"/>
  <c r="L5" i="2"/>
  <c r="L3" i="2"/>
  <c r="U157" i="2" s="1"/>
  <c r="L10" i="2"/>
  <c r="L6" i="2"/>
  <c r="L4" i="2"/>
  <c r="L11" i="2"/>
  <c r="L8" i="2"/>
  <c r="S285" i="2" s="1"/>
  <c r="L9" i="2"/>
  <c r="L7" i="2"/>
  <c r="K73" i="2"/>
  <c r="K54" i="2"/>
  <c r="K71" i="2"/>
  <c r="K29" i="2"/>
  <c r="K30" i="2"/>
  <c r="K31" i="2"/>
  <c r="K37" i="2"/>
  <c r="K72" i="2"/>
  <c r="K41" i="2"/>
  <c r="K63" i="2"/>
  <c r="K40" i="2"/>
  <c r="K55" i="2"/>
  <c r="K26" i="2"/>
  <c r="K57" i="2"/>
  <c r="K60" i="2"/>
  <c r="K49" i="2"/>
  <c r="K28" i="2"/>
  <c r="K36" i="2"/>
  <c r="K25" i="2"/>
  <c r="K50" i="2"/>
  <c r="K46" i="2"/>
  <c r="K42" i="2"/>
  <c r="K59" i="2"/>
  <c r="K61" i="2"/>
  <c r="K65" i="2"/>
  <c r="K51" i="2"/>
  <c r="K38" i="2"/>
  <c r="K32" i="2"/>
  <c r="K53" i="2"/>
  <c r="K74" i="2"/>
  <c r="K68" i="2"/>
  <c r="K45" i="2"/>
  <c r="K47" i="2"/>
  <c r="K33" i="2"/>
  <c r="K66" i="2"/>
  <c r="K27" i="2"/>
  <c r="K52" i="2"/>
  <c r="K35" i="2"/>
  <c r="K56" i="2"/>
  <c r="K58" i="2"/>
  <c r="K67" i="2"/>
  <c r="K44" i="2"/>
  <c r="K69" i="2"/>
  <c r="K34" i="2"/>
  <c r="K70" i="2"/>
  <c r="K64" i="2"/>
  <c r="K48" i="2"/>
  <c r="K62" i="2"/>
  <c r="K39" i="2"/>
  <c r="K251" i="2"/>
  <c r="K243" i="2"/>
  <c r="AA238" i="2"/>
  <c r="K230" i="2"/>
  <c r="K235" i="2"/>
  <c r="K241" i="2"/>
  <c r="K247" i="2"/>
  <c r="K238" i="2"/>
  <c r="K229" i="2"/>
  <c r="K246" i="2"/>
  <c r="K242" i="2"/>
  <c r="K240" i="2"/>
  <c r="K231" i="2"/>
  <c r="K239" i="2"/>
  <c r="K236" i="2"/>
  <c r="AA234" i="2"/>
  <c r="K249" i="2"/>
  <c r="K328" i="2"/>
  <c r="K326" i="2"/>
  <c r="K316" i="2"/>
  <c r="K336" i="2"/>
  <c r="K324" i="2"/>
  <c r="K333" i="2"/>
  <c r="K337" i="2"/>
  <c r="K330" i="2"/>
  <c r="K317" i="2"/>
  <c r="K325" i="2"/>
  <c r="K318" i="2"/>
  <c r="K334" i="2"/>
  <c r="K315" i="2"/>
  <c r="K329" i="2"/>
  <c r="K331" i="2"/>
  <c r="K323" i="2"/>
  <c r="K321" i="2"/>
  <c r="K332" i="2"/>
  <c r="K320" i="2"/>
  <c r="K319" i="2"/>
  <c r="K335" i="2"/>
  <c r="K322" i="2"/>
  <c r="K327" i="2"/>
  <c r="K206" i="2"/>
  <c r="K196" i="2"/>
  <c r="K208" i="2"/>
  <c r="K195" i="2"/>
  <c r="K169" i="2"/>
  <c r="K212" i="2"/>
  <c r="K218" i="2"/>
  <c r="K184" i="2"/>
  <c r="N18" i="28" s="1"/>
  <c r="K197" i="2"/>
  <c r="K176" i="2"/>
  <c r="K210" i="2"/>
  <c r="K187" i="2"/>
  <c r="N20" i="28" s="1"/>
  <c r="K183" i="2"/>
  <c r="N17" i="28" s="1"/>
  <c r="K220" i="2"/>
  <c r="K179" i="2"/>
  <c r="K203" i="2"/>
  <c r="N27" i="28" s="1"/>
  <c r="K223" i="2"/>
  <c r="K168" i="2"/>
  <c r="K221" i="2"/>
  <c r="K217" i="2"/>
  <c r="N28" i="28" s="1"/>
  <c r="K222" i="2"/>
  <c r="K188" i="2"/>
  <c r="K175" i="2"/>
  <c r="K191" i="2"/>
  <c r="N23" i="28" s="1"/>
  <c r="K180" i="2"/>
  <c r="N14" i="28" s="1"/>
  <c r="K204" i="2"/>
  <c r="K199" i="2"/>
  <c r="K173" i="2"/>
  <c r="K205" i="2"/>
  <c r="K172" i="2"/>
  <c r="K167" i="2"/>
  <c r="K202" i="2"/>
  <c r="K198" i="2"/>
  <c r="K219" i="2"/>
  <c r="K216" i="2"/>
  <c r="K193" i="2"/>
  <c r="K174" i="2"/>
  <c r="K178" i="2"/>
  <c r="N13" i="28" s="1"/>
  <c r="K211" i="2"/>
  <c r="K182" i="2"/>
  <c r="N16" i="28" s="1"/>
  <c r="K225" i="2"/>
  <c r="N29" i="28" s="1"/>
  <c r="K186" i="2"/>
  <c r="K181" i="2"/>
  <c r="N15" i="28" s="1"/>
  <c r="K165" i="2"/>
  <c r="K194" i="2"/>
  <c r="K224" i="2"/>
  <c r="K189" i="2"/>
  <c r="N21" i="28" s="1"/>
  <c r="K192" i="2"/>
  <c r="N24" i="28" s="1"/>
  <c r="K209" i="2"/>
  <c r="K215" i="2"/>
  <c r="K171" i="2"/>
  <c r="K213" i="2"/>
  <c r="K190" i="2"/>
  <c r="N22" i="28" s="1"/>
  <c r="K170" i="2"/>
  <c r="K177" i="2"/>
  <c r="K166" i="2"/>
  <c r="K102" i="2"/>
  <c r="K95" i="2"/>
  <c r="K80" i="2"/>
  <c r="K92" i="2"/>
  <c r="K100" i="2"/>
  <c r="K84" i="2"/>
  <c r="K98" i="2"/>
  <c r="K88" i="2"/>
  <c r="K104" i="2"/>
  <c r="K97" i="2"/>
  <c r="K90" i="2"/>
  <c r="K103" i="2"/>
  <c r="K89" i="2"/>
  <c r="K94" i="2"/>
  <c r="K91" i="2"/>
  <c r="K99" i="2"/>
  <c r="K96" i="2"/>
  <c r="K93" i="2"/>
  <c r="K86" i="2"/>
  <c r="K82" i="2"/>
  <c r="K87" i="2"/>
  <c r="K78" i="2"/>
  <c r="K105" i="2"/>
  <c r="K81" i="2"/>
  <c r="K101" i="2"/>
  <c r="K77" i="2"/>
  <c r="K85" i="2"/>
  <c r="K79" i="2"/>
  <c r="K83" i="2"/>
  <c r="K301" i="2"/>
  <c r="K312" i="2"/>
  <c r="K309" i="2"/>
  <c r="K306" i="2"/>
  <c r="K303" i="2"/>
  <c r="K302" i="2"/>
  <c r="K308" i="2"/>
  <c r="K307" i="2"/>
  <c r="K305" i="2"/>
  <c r="K310" i="2"/>
  <c r="K311" i="2"/>
  <c r="K304" i="2"/>
  <c r="K343" i="2"/>
  <c r="K346" i="2"/>
  <c r="K388" i="2"/>
  <c r="K370" i="2"/>
  <c r="K403" i="2"/>
  <c r="K364" i="2"/>
  <c r="K367" i="2"/>
  <c r="K381" i="2"/>
  <c r="K369" i="2"/>
  <c r="K417" i="2"/>
  <c r="K420" i="2"/>
  <c r="K401" i="2"/>
  <c r="K421" i="2"/>
  <c r="K378" i="2"/>
  <c r="K340" i="2"/>
  <c r="K372" i="2"/>
  <c r="K363" i="2"/>
  <c r="K352" i="2"/>
  <c r="K355" i="2"/>
  <c r="K386" i="2"/>
  <c r="K368" i="2"/>
  <c r="K412" i="2"/>
  <c r="K344" i="2"/>
  <c r="K387" i="2"/>
  <c r="K380" i="2"/>
  <c r="K366" i="2"/>
  <c r="K418" i="2"/>
  <c r="K383" i="2"/>
  <c r="K350" i="2"/>
  <c r="K413" i="2"/>
  <c r="K402" i="2"/>
  <c r="K357" i="2"/>
  <c r="K345" i="2"/>
  <c r="K395" i="2"/>
  <c r="K347" i="2"/>
  <c r="K374" i="2"/>
  <c r="K409" i="2"/>
  <c r="K348" i="2"/>
  <c r="K405" i="2"/>
  <c r="K406" i="2"/>
  <c r="K384" i="2"/>
  <c r="K389" i="2"/>
  <c r="K341" i="2"/>
  <c r="K394" i="2"/>
  <c r="K408" i="2"/>
  <c r="K385" i="2"/>
  <c r="K359" i="2"/>
  <c r="K407" i="2"/>
  <c r="K411" i="2"/>
  <c r="K353" i="2"/>
  <c r="K410" i="2"/>
  <c r="K391" i="2"/>
  <c r="K373" i="2"/>
  <c r="K361" i="2"/>
  <c r="K393" i="2"/>
  <c r="K354" i="2"/>
  <c r="K404" i="2"/>
  <c r="K396" i="2"/>
  <c r="K356" i="2"/>
  <c r="K397" i="2"/>
  <c r="K351" i="2"/>
  <c r="K415" i="2"/>
  <c r="K392" i="2"/>
  <c r="K419" i="2"/>
  <c r="K360" i="2"/>
  <c r="K399" i="2"/>
  <c r="K358" i="2"/>
  <c r="K342" i="2"/>
  <c r="K382" i="2"/>
  <c r="K414" i="2"/>
  <c r="K400" i="2"/>
  <c r="K377" i="2"/>
  <c r="K379" i="2"/>
  <c r="K371" i="2"/>
  <c r="K362" i="2"/>
  <c r="K398" i="2"/>
  <c r="K416" i="2"/>
  <c r="K349" i="2"/>
  <c r="K365" i="2"/>
  <c r="K390" i="2"/>
  <c r="K129" i="2"/>
  <c r="K159" i="2"/>
  <c r="K120" i="2"/>
  <c r="K152" i="2"/>
  <c r="K115" i="2"/>
  <c r="K156" i="2"/>
  <c r="K143" i="2"/>
  <c r="K110" i="2"/>
  <c r="K134" i="2"/>
  <c r="K139" i="2"/>
  <c r="K135" i="2"/>
  <c r="K150" i="2"/>
  <c r="K138" i="2"/>
  <c r="K119" i="2"/>
  <c r="K158" i="2"/>
  <c r="K117" i="2"/>
  <c r="K125" i="2"/>
  <c r="K113" i="2"/>
  <c r="K145" i="2"/>
  <c r="K146" i="2"/>
  <c r="K118" i="2"/>
  <c r="K148" i="2"/>
  <c r="K112" i="2"/>
  <c r="K140" i="2"/>
  <c r="K141" i="2"/>
  <c r="K160" i="2"/>
  <c r="K116" i="2"/>
  <c r="K161" i="2"/>
  <c r="K137" i="2"/>
  <c r="K130" i="2"/>
  <c r="K154" i="2"/>
  <c r="K122" i="2"/>
  <c r="K131" i="2"/>
  <c r="K121" i="2"/>
  <c r="K111" i="2"/>
  <c r="K157" i="2"/>
  <c r="K153" i="2"/>
  <c r="K127" i="2"/>
  <c r="K133" i="2"/>
  <c r="K114" i="2"/>
  <c r="K126" i="2"/>
  <c r="K147" i="2"/>
  <c r="K142" i="2"/>
  <c r="K124" i="2"/>
  <c r="K162" i="2"/>
  <c r="K123" i="2"/>
  <c r="K108" i="2"/>
  <c r="K132" i="2"/>
  <c r="K155" i="2"/>
  <c r="K149" i="2"/>
  <c r="K151" i="2"/>
  <c r="K128" i="2"/>
  <c r="K144" i="2"/>
  <c r="K109" i="2"/>
  <c r="K136" i="2"/>
  <c r="R289" i="2"/>
  <c r="K295" i="2" s="1"/>
  <c r="N72" i="28" s="1"/>
  <c r="K259" i="2"/>
  <c r="N36" i="28" s="1"/>
  <c r="K267" i="2"/>
  <c r="N44" i="28" s="1"/>
  <c r="K275" i="2"/>
  <c r="N52" i="28" s="1"/>
  <c r="K262" i="2"/>
  <c r="N39" i="28" s="1"/>
  <c r="K285" i="2"/>
  <c r="N62" i="28" s="1"/>
  <c r="K257" i="2"/>
  <c r="N34" i="28" s="1"/>
  <c r="K256" i="2"/>
  <c r="N33" i="28" s="1"/>
  <c r="K258" i="2"/>
  <c r="N35" i="28" s="1"/>
  <c r="K270" i="2"/>
  <c r="N47" i="28" s="1"/>
  <c r="K283" i="2"/>
  <c r="N60" i="28" s="1"/>
  <c r="K269" i="2"/>
  <c r="N46" i="28" s="1"/>
  <c r="K273" i="2"/>
  <c r="N50" i="28" s="1"/>
  <c r="K266" i="2"/>
  <c r="N43" i="28" s="1"/>
  <c r="K292" i="2"/>
  <c r="N69" i="28" s="1"/>
  <c r="K277" i="2"/>
  <c r="N54" i="28" s="1"/>
  <c r="K282" i="2"/>
  <c r="N59" i="28" s="1"/>
  <c r="K271" i="2"/>
  <c r="N48" i="28" s="1"/>
  <c r="K261" i="2"/>
  <c r="N38" i="28" s="1"/>
  <c r="K297" i="2"/>
  <c r="N74" i="28" s="1"/>
  <c r="K288" i="2"/>
  <c r="N65" i="28" s="1"/>
  <c r="K276" i="2"/>
  <c r="N53" i="28" s="1"/>
  <c r="K265" i="2"/>
  <c r="N42" i="28" s="1"/>
  <c r="K284" i="2"/>
  <c r="N61" i="28" s="1"/>
  <c r="K298" i="2"/>
  <c r="N75" i="28" s="1"/>
  <c r="K264" i="2"/>
  <c r="N41" i="28" s="1"/>
  <c r="R288" i="2"/>
  <c r="K293" i="2"/>
  <c r="N70" i="28" s="1"/>
  <c r="K260" i="2"/>
  <c r="N37" i="28" s="1"/>
  <c r="R287" i="2"/>
  <c r="K294" i="2"/>
  <c r="N71" i="28" s="1"/>
  <c r="K286" i="2"/>
  <c r="N63" i="28" s="1"/>
  <c r="K279" i="2"/>
  <c r="N56" i="28" s="1"/>
  <c r="K280" i="2"/>
  <c r="N57" i="28" s="1"/>
  <c r="K290" i="2"/>
  <c r="N67" i="28" s="1"/>
  <c r="K274" i="2"/>
  <c r="N51" i="28" s="1"/>
  <c r="K278" i="2"/>
  <c r="N55" i="28" s="1"/>
  <c r="K263" i="2"/>
  <c r="N40" i="28" s="1"/>
  <c r="K296" i="2"/>
  <c r="N73" i="28" s="1"/>
  <c r="K291" i="2"/>
  <c r="N68" i="28" s="1"/>
  <c r="K281" i="2"/>
  <c r="N58" i="28" s="1"/>
  <c r="AA377" i="6"/>
  <c r="AA161" i="6"/>
  <c r="AA96" i="6"/>
  <c r="AA356" i="6"/>
  <c r="AA140" i="6"/>
  <c r="AA70" i="6"/>
  <c r="AA373" i="6"/>
  <c r="AA157" i="6"/>
  <c r="AA84" i="6"/>
  <c r="AA387" i="6"/>
  <c r="AA171" i="6"/>
  <c r="AA108" i="6"/>
  <c r="AA385" i="6"/>
  <c r="AA169" i="6"/>
  <c r="AA156" i="6"/>
  <c r="AA231" i="6"/>
  <c r="AA197" i="6"/>
  <c r="AA30" i="6"/>
  <c r="AA73" i="6"/>
  <c r="AA348" i="6"/>
  <c r="AA127" i="6"/>
  <c r="AA44" i="6"/>
  <c r="AA268" i="6"/>
  <c r="AA163" i="6"/>
  <c r="AA358" i="6"/>
  <c r="AA142" i="6"/>
  <c r="AA72" i="6"/>
  <c r="AA340" i="6"/>
  <c r="AA123" i="6"/>
  <c r="AA91" i="6"/>
  <c r="AA354" i="6"/>
  <c r="AA138" i="6"/>
  <c r="AA68" i="6"/>
  <c r="AA371" i="6"/>
  <c r="AA155" i="6"/>
  <c r="AA82" i="6"/>
  <c r="AA369" i="6"/>
  <c r="AA153" i="6"/>
  <c r="AA80" i="6"/>
  <c r="AA397" i="6"/>
  <c r="AA181" i="6"/>
  <c r="AA46" i="6"/>
  <c r="AA16" i="6"/>
  <c r="AA275" i="6"/>
  <c r="AA27" i="6"/>
  <c r="AA98" i="6"/>
  <c r="AA313" i="6"/>
  <c r="AA3" i="6"/>
  <c r="AA280" i="6"/>
  <c r="AA342" i="6"/>
  <c r="AA125" i="6"/>
  <c r="AA56" i="6"/>
  <c r="AA321" i="6"/>
  <c r="AA107" i="6"/>
  <c r="AA338" i="6"/>
  <c r="AA121" i="6"/>
  <c r="AA162" i="6"/>
  <c r="AA352" i="6"/>
  <c r="AA136" i="6"/>
  <c r="AA66" i="6"/>
  <c r="AA350" i="6"/>
  <c r="AA134" i="6"/>
  <c r="AA64" i="6"/>
  <c r="AA381" i="6"/>
  <c r="AA165" i="6"/>
  <c r="AA120" i="6"/>
  <c r="AA74" i="6"/>
  <c r="AA206" i="6"/>
  <c r="AA57" i="6"/>
  <c r="AA322" i="6"/>
  <c r="AA174" i="6"/>
  <c r="AA148" i="6"/>
  <c r="AA326" i="6"/>
  <c r="AA109" i="6"/>
  <c r="AA400" i="6"/>
  <c r="AA305" i="6"/>
  <c r="AA139" i="6"/>
  <c r="AA319" i="6"/>
  <c r="AA152" i="6"/>
  <c r="AA336" i="6"/>
  <c r="AA119" i="6"/>
  <c r="AA143" i="6"/>
  <c r="AA334" i="6"/>
  <c r="AA117" i="6"/>
  <c r="AA126" i="6"/>
  <c r="AA365" i="6"/>
  <c r="AA149" i="6"/>
  <c r="AA76" i="6"/>
  <c r="AA199" i="6"/>
  <c r="AA32" i="6"/>
  <c r="AA77" i="6"/>
  <c r="AA167" i="6"/>
  <c r="AA130" i="6"/>
  <c r="AA402" i="6"/>
  <c r="AA307" i="6"/>
  <c r="AA158" i="6"/>
  <c r="AA384" i="6"/>
  <c r="AA286" i="6"/>
  <c r="AA15" i="6"/>
  <c r="AA398" i="6"/>
  <c r="AA303" i="6"/>
  <c r="AA122" i="6"/>
  <c r="AA317" i="6"/>
  <c r="AA132" i="6"/>
  <c r="AA315" i="6"/>
  <c r="AA116" i="6"/>
  <c r="AA346" i="6"/>
  <c r="AA129" i="6"/>
  <c r="AA60" i="6"/>
  <c r="AA243" i="6"/>
  <c r="AA131" i="6"/>
  <c r="AA58" i="6"/>
  <c r="AA353" i="6"/>
  <c r="AA95" i="6"/>
  <c r="AA101" i="6"/>
  <c r="AA386" i="6"/>
  <c r="AA288" i="6"/>
  <c r="AA13" i="6"/>
  <c r="AA368" i="6"/>
  <c r="AA267" i="6"/>
  <c r="AA31" i="6"/>
  <c r="AA382" i="6"/>
  <c r="AA281" i="6"/>
  <c r="AA17" i="6"/>
  <c r="AA396" i="6"/>
  <c r="AA301" i="6"/>
  <c r="AA100" i="6"/>
  <c r="AA394" i="6"/>
  <c r="AA296" i="6"/>
  <c r="AA5" i="6"/>
  <c r="AA330" i="6"/>
  <c r="AA113" i="6"/>
  <c r="AA103" i="6"/>
  <c r="AA110" i="6"/>
  <c r="AA23" i="6"/>
  <c r="AA395" i="6"/>
  <c r="AA137" i="6"/>
  <c r="AA370" i="6"/>
  <c r="AA269" i="6"/>
  <c r="AA29" i="6"/>
  <c r="AA349" i="6"/>
  <c r="AA251" i="6"/>
  <c r="AA47" i="6"/>
  <c r="AA366" i="6"/>
  <c r="AA265" i="6"/>
  <c r="AA33" i="6"/>
  <c r="AA380" i="6"/>
  <c r="AA279" i="6"/>
  <c r="AA19" i="6"/>
  <c r="AA378" i="6"/>
  <c r="AA277" i="6"/>
  <c r="AA21" i="6"/>
  <c r="AA406" i="6"/>
  <c r="AA311" i="6"/>
  <c r="AA93" i="6"/>
  <c r="AA94" i="6"/>
  <c r="AA61" i="6"/>
  <c r="AA357" i="6"/>
  <c r="AA328" i="6"/>
  <c r="AA151" i="6"/>
  <c r="AA294" i="6"/>
  <c r="AA351" i="6"/>
  <c r="AA253" i="6"/>
  <c r="AA45" i="6"/>
  <c r="AA333" i="6"/>
  <c r="AA232" i="6"/>
  <c r="AA88" i="6"/>
  <c r="AA347" i="6"/>
  <c r="AA249" i="6"/>
  <c r="AA49" i="6"/>
  <c r="AA364" i="6"/>
  <c r="AA263" i="6"/>
  <c r="AA35" i="6"/>
  <c r="AA359" i="6"/>
  <c r="AA261" i="6"/>
  <c r="AA37" i="6"/>
  <c r="AA390" i="6"/>
  <c r="AA292" i="6"/>
  <c r="AA9" i="6"/>
  <c r="AA388" i="6"/>
  <c r="AA392" i="6"/>
  <c r="AA28" i="6"/>
  <c r="AA287" i="6"/>
  <c r="AA255" i="6"/>
  <c r="AA78" i="6"/>
  <c r="AA12" i="6"/>
  <c r="AA335" i="6"/>
  <c r="AA234" i="6"/>
  <c r="AA128" i="6"/>
  <c r="AA314" i="6"/>
  <c r="AA217" i="6"/>
  <c r="AA69" i="6"/>
  <c r="AA331" i="6"/>
  <c r="AA230" i="6"/>
  <c r="AA83" i="6"/>
  <c r="AA345" i="6"/>
  <c r="AA247" i="6"/>
  <c r="AA51" i="6"/>
  <c r="AA343" i="6"/>
  <c r="AA245" i="6"/>
  <c r="AA105" i="6"/>
  <c r="AA374" i="6"/>
  <c r="AA273" i="6"/>
  <c r="AA25" i="6"/>
  <c r="AA318" i="6"/>
  <c r="AA252" i="6"/>
  <c r="AA62" i="6"/>
  <c r="AA399" i="6"/>
  <c r="AA186" i="6"/>
  <c r="AA383" i="6"/>
  <c r="AA316" i="6"/>
  <c r="AA219" i="6"/>
  <c r="AA71" i="6"/>
  <c r="AA295" i="6"/>
  <c r="AA198" i="6"/>
  <c r="AA102" i="6"/>
  <c r="AA312" i="6"/>
  <c r="AA215" i="6"/>
  <c r="AA67" i="6"/>
  <c r="AA329" i="6"/>
  <c r="AA228" i="6"/>
  <c r="AA81" i="6"/>
  <c r="AA327" i="6"/>
  <c r="AA226" i="6"/>
  <c r="AA79" i="6"/>
  <c r="AA355" i="6"/>
  <c r="AA257" i="6"/>
  <c r="AA41" i="6"/>
  <c r="AA248" i="6"/>
  <c r="AA367" i="6"/>
  <c r="AA372" i="6"/>
  <c r="AA332" i="6"/>
  <c r="AA179" i="6"/>
  <c r="AA404" i="6"/>
  <c r="AA300" i="6"/>
  <c r="AA200" i="6"/>
  <c r="AA112" i="6"/>
  <c r="AA276" i="6"/>
  <c r="AA182" i="6"/>
  <c r="AA160" i="6"/>
  <c r="AA293" i="6"/>
  <c r="AA196" i="6"/>
  <c r="AA90" i="6"/>
  <c r="AA310" i="6"/>
  <c r="AA213" i="6"/>
  <c r="AA65" i="6"/>
  <c r="AA308" i="6"/>
  <c r="AA211" i="6"/>
  <c r="AA63" i="6"/>
  <c r="AA339" i="6"/>
  <c r="AA241" i="6"/>
  <c r="AA164" i="6"/>
  <c r="AA360" i="6"/>
  <c r="AA225" i="6"/>
  <c r="AA302" i="6"/>
  <c r="AA259" i="6"/>
  <c r="AA111" i="6"/>
  <c r="AA337" i="6"/>
  <c r="AA278" i="6"/>
  <c r="AA184" i="6"/>
  <c r="AA92" i="6"/>
  <c r="AA260" i="6"/>
  <c r="AA104" i="6"/>
  <c r="AA4" i="6"/>
  <c r="AA274" i="6"/>
  <c r="AA180" i="6"/>
  <c r="AA141" i="6"/>
  <c r="AA291" i="6"/>
  <c r="AA194" i="6"/>
  <c r="AA154" i="6"/>
  <c r="AA289" i="6"/>
  <c r="AA192" i="6"/>
  <c r="AA135" i="6"/>
  <c r="AA320" i="6"/>
  <c r="AA223" i="6"/>
  <c r="AA75" i="6"/>
  <c r="AA290" i="6"/>
  <c r="AA218" i="6"/>
  <c r="AA229" i="6"/>
  <c r="AA190" i="6"/>
  <c r="AA43" i="6"/>
  <c r="AA264" i="6"/>
  <c r="V195" i="2"/>
  <c r="AA262" i="6"/>
  <c r="AA168" i="6"/>
  <c r="AA114" i="6"/>
  <c r="AA244" i="6"/>
  <c r="AA207" i="6"/>
  <c r="AA20" i="6"/>
  <c r="AA258" i="6"/>
  <c r="AA224" i="6"/>
  <c r="AA6" i="6"/>
  <c r="AA272" i="6"/>
  <c r="AA178" i="6"/>
  <c r="AA124" i="6"/>
  <c r="AA270" i="6"/>
  <c r="AA176" i="6"/>
  <c r="AA99" i="6"/>
  <c r="AA304" i="6"/>
  <c r="AA204" i="6"/>
  <c r="AA59" i="6"/>
  <c r="AA221" i="6"/>
  <c r="AA7" i="6"/>
  <c r="AA344" i="6"/>
  <c r="AA183" i="6"/>
  <c r="AA97" i="6"/>
  <c r="AA379" i="6"/>
  <c r="AA246" i="6"/>
  <c r="AA212" i="6"/>
  <c r="AA18" i="6"/>
  <c r="AA407" i="6"/>
  <c r="AA191" i="6"/>
  <c r="AA36" i="6"/>
  <c r="AA242" i="6"/>
  <c r="AA205" i="6"/>
  <c r="AA22" i="6"/>
  <c r="AA256" i="6"/>
  <c r="AA222" i="6"/>
  <c r="AA8" i="6"/>
  <c r="AA254" i="6"/>
  <c r="AA220" i="6"/>
  <c r="AA10" i="6"/>
  <c r="AA285" i="6"/>
  <c r="AA188" i="6"/>
  <c r="AA106" i="6"/>
  <c r="AA214" i="6"/>
  <c r="AA376" i="6"/>
  <c r="AA271" i="6"/>
  <c r="AA115" i="6"/>
  <c r="AA48" i="6"/>
  <c r="AA309" i="6"/>
  <c r="AA227" i="6"/>
  <c r="AA193" i="6"/>
  <c r="AA34" i="6"/>
  <c r="AA391" i="6"/>
  <c r="AA175" i="6"/>
  <c r="AA52" i="6"/>
  <c r="AA405" i="6"/>
  <c r="AA189" i="6"/>
  <c r="AA38" i="6"/>
  <c r="AA240" i="6"/>
  <c r="AA203" i="6"/>
  <c r="AA24" i="6"/>
  <c r="AA235" i="6"/>
  <c r="AA201" i="6"/>
  <c r="AA26" i="6"/>
  <c r="AA266" i="6"/>
  <c r="AA172" i="6"/>
  <c r="AA150" i="6"/>
  <c r="AA147" i="6"/>
  <c r="AA306" i="6"/>
  <c r="AA202" i="6"/>
  <c r="AA39" i="6"/>
  <c r="AA408" i="6"/>
  <c r="AA239" i="6"/>
  <c r="AA393" i="6"/>
  <c r="AA177" i="6"/>
  <c r="AA50" i="6"/>
  <c r="AA375" i="6"/>
  <c r="AA159" i="6"/>
  <c r="AA89" i="6"/>
  <c r="AA389" i="6"/>
  <c r="AA173" i="6"/>
  <c r="AA166" i="6"/>
  <c r="AA403" i="6"/>
  <c r="AA187" i="6"/>
  <c r="AA40" i="6"/>
  <c r="AA401" i="6"/>
  <c r="AA185" i="6"/>
  <c r="AA42" i="6"/>
  <c r="AA250" i="6"/>
  <c r="AA216" i="6"/>
  <c r="AA14" i="6"/>
  <c r="AA11" i="6"/>
  <c r="AA233" i="6"/>
  <c r="AA195" i="6"/>
  <c r="AA118" i="6"/>
  <c r="AA341" i="6"/>
  <c r="AA170" i="6"/>
  <c r="J13" i="2"/>
  <c r="Q396" i="2" s="1"/>
  <c r="T395" i="2" s="1"/>
  <c r="J6" i="2"/>
  <c r="R276" i="2" s="1"/>
  <c r="R263" i="2" s="1"/>
  <c r="Q263" i="2" s="1"/>
  <c r="P263" i="2" s="1"/>
  <c r="J10" i="2"/>
  <c r="J7" i="2"/>
  <c r="J3" i="2"/>
  <c r="S154" i="2" s="1"/>
  <c r="R34" i="2" s="1"/>
  <c r="T34" i="2" s="1"/>
  <c r="J8" i="2"/>
  <c r="Q285" i="2" s="1"/>
  <c r="J5" i="2"/>
  <c r="J11" i="2"/>
  <c r="J9" i="2"/>
  <c r="J4" i="2"/>
  <c r="H8" i="2"/>
  <c r="H13" i="2"/>
  <c r="H11" i="2"/>
  <c r="H9" i="2"/>
  <c r="H7" i="2"/>
  <c r="H3" i="2"/>
  <c r="H4" i="2"/>
  <c r="H6" i="2"/>
  <c r="H5" i="2"/>
  <c r="H10" i="2"/>
  <c r="G102" i="2"/>
  <c r="G88" i="2"/>
  <c r="G84" i="2"/>
  <c r="G83" i="2"/>
  <c r="G87" i="2"/>
  <c r="G97" i="2"/>
  <c r="G93" i="2"/>
  <c r="G98" i="2"/>
  <c r="G96" i="2"/>
  <c r="G82" i="2"/>
  <c r="G78" i="2"/>
  <c r="G86" i="2"/>
  <c r="G99" i="2"/>
  <c r="G101" i="2"/>
  <c r="G81" i="2"/>
  <c r="G94" i="2"/>
  <c r="G80" i="2"/>
  <c r="G92" i="2"/>
  <c r="G100" i="2"/>
  <c r="G89" i="2"/>
  <c r="G85" i="2"/>
  <c r="G90" i="2"/>
  <c r="G77" i="2"/>
  <c r="G95" i="2"/>
  <c r="G79" i="2"/>
  <c r="G103" i="2"/>
  <c r="G91" i="2"/>
  <c r="G306" i="2"/>
  <c r="G309" i="2"/>
  <c r="G303" i="2"/>
  <c r="G307" i="2"/>
  <c r="G304" i="2"/>
  <c r="G308" i="2"/>
  <c r="G302" i="2"/>
  <c r="V257" i="2"/>
  <c r="X255" i="2" s="1"/>
  <c r="G305" i="2"/>
  <c r="G301" i="2"/>
  <c r="G310" i="2"/>
  <c r="G311" i="2"/>
  <c r="G312" i="2"/>
  <c r="G237" i="2"/>
  <c r="G229" i="2"/>
  <c r="G246" i="2"/>
  <c r="G245" i="2"/>
  <c r="G240" i="2"/>
  <c r="G236" i="2"/>
  <c r="G239" i="2"/>
  <c r="G247" i="2"/>
  <c r="G248" i="2"/>
  <c r="G232" i="2"/>
  <c r="G250" i="2"/>
  <c r="G231" i="2"/>
  <c r="G230" i="2"/>
  <c r="G249" i="2"/>
  <c r="G233" i="2"/>
  <c r="G228" i="2"/>
  <c r="G238" i="2"/>
  <c r="G241" i="2"/>
  <c r="G251" i="2"/>
  <c r="G234" i="2"/>
  <c r="G252" i="2"/>
  <c r="G244" i="2"/>
  <c r="G243" i="2"/>
  <c r="G242" i="2"/>
  <c r="G235" i="2"/>
  <c r="G354" i="2"/>
  <c r="G399" i="2"/>
  <c r="G372" i="2"/>
  <c r="G344" i="2"/>
  <c r="G341" i="2"/>
  <c r="G360" i="2"/>
  <c r="G393" i="2"/>
  <c r="G361" i="2"/>
  <c r="G368" i="2"/>
  <c r="G390" i="2"/>
  <c r="G350" i="2"/>
  <c r="G412" i="2"/>
  <c r="G385" i="2"/>
  <c r="G407" i="2"/>
  <c r="G420" i="2"/>
  <c r="G352" i="2"/>
  <c r="G358" i="2"/>
  <c r="G347" i="2"/>
  <c r="G397" i="2"/>
  <c r="G373" i="2"/>
  <c r="G371" i="2"/>
  <c r="G366" i="2"/>
  <c r="G340" i="2"/>
  <c r="G383" i="2"/>
  <c r="G400" i="2"/>
  <c r="G401" i="2"/>
  <c r="G342" i="2"/>
  <c r="G379" i="2"/>
  <c r="G408" i="2"/>
  <c r="G362" i="2"/>
  <c r="G364" i="2"/>
  <c r="G384" i="2"/>
  <c r="G404" i="2"/>
  <c r="G402" i="2"/>
  <c r="G386" i="2"/>
  <c r="G417" i="2"/>
  <c r="G388" i="2"/>
  <c r="G381" i="2"/>
  <c r="G345" i="2"/>
  <c r="G406" i="2"/>
  <c r="G378" i="2"/>
  <c r="G346" i="2"/>
  <c r="G418" i="2"/>
  <c r="G421" i="2"/>
  <c r="G415" i="2"/>
  <c r="G392" i="2"/>
  <c r="G387" i="2"/>
  <c r="G357" i="2"/>
  <c r="G370" i="2"/>
  <c r="G343" i="2"/>
  <c r="G359" i="2"/>
  <c r="G356" i="2"/>
  <c r="G369" i="2"/>
  <c r="G380" i="2"/>
  <c r="G355" i="2"/>
  <c r="G382" i="2"/>
  <c r="G414" i="2"/>
  <c r="G365" i="2"/>
  <c r="G348" i="2"/>
  <c r="G409" i="2"/>
  <c r="G394" i="2"/>
  <c r="G377" i="2"/>
  <c r="G419" i="2"/>
  <c r="G410" i="2"/>
  <c r="G353" i="2"/>
  <c r="G389" i="2"/>
  <c r="G403" i="2"/>
  <c r="G391" i="2"/>
  <c r="G398" i="2"/>
  <c r="G405" i="2"/>
  <c r="G396" i="2"/>
  <c r="G367" i="2"/>
  <c r="G413" i="2"/>
  <c r="G351" i="2"/>
  <c r="G395" i="2"/>
  <c r="G416" i="2"/>
  <c r="G411" i="2"/>
  <c r="G363" i="2"/>
  <c r="G374" i="2"/>
  <c r="G349" i="2"/>
  <c r="W116" i="6"/>
  <c r="N116" i="6" s="1"/>
  <c r="W376" i="6"/>
  <c r="N376" i="6" s="1"/>
  <c r="W360" i="6"/>
  <c r="N360" i="6" s="1"/>
  <c r="W154" i="6"/>
  <c r="N154" i="6" s="1"/>
  <c r="W93" i="6"/>
  <c r="N93" i="6" s="1"/>
  <c r="W311" i="6"/>
  <c r="N311" i="6" s="1"/>
  <c r="W340" i="6"/>
  <c r="N340" i="6" s="1"/>
  <c r="W186" i="6"/>
  <c r="N186" i="6" s="1"/>
  <c r="W84" i="6"/>
  <c r="N84" i="6" s="1"/>
  <c r="W30" i="6"/>
  <c r="N30" i="6" s="1"/>
  <c r="W83" i="6"/>
  <c r="N83" i="6" s="1"/>
  <c r="W349" i="6"/>
  <c r="N349" i="6" s="1"/>
  <c r="W302" i="6"/>
  <c r="N302" i="6" s="1"/>
  <c r="W202" i="6"/>
  <c r="N202" i="6" s="1"/>
  <c r="W401" i="6"/>
  <c r="N401" i="6" s="1"/>
  <c r="W275" i="6"/>
  <c r="N275" i="6" s="1"/>
  <c r="W235" i="6"/>
  <c r="N235" i="6" s="1"/>
  <c r="W333" i="6"/>
  <c r="N333" i="6" s="1"/>
  <c r="W9" i="6"/>
  <c r="N9" i="6" s="1"/>
  <c r="W69" i="6"/>
  <c r="N69" i="6" s="1"/>
  <c r="W320" i="6"/>
  <c r="N320" i="6" s="1"/>
  <c r="W165" i="6"/>
  <c r="N165" i="6" s="1"/>
  <c r="W285" i="6"/>
  <c r="N285" i="6" s="1"/>
  <c r="W250" i="6"/>
  <c r="N250" i="6" s="1"/>
  <c r="W59" i="6"/>
  <c r="N59" i="6" s="1"/>
  <c r="W306" i="6"/>
  <c r="N306" i="6" s="1"/>
  <c r="W110" i="6"/>
  <c r="N110" i="6" s="1"/>
  <c r="W240" i="6"/>
  <c r="N240" i="6" s="1"/>
  <c r="W11" i="6"/>
  <c r="N11" i="6" s="1"/>
  <c r="W158" i="6"/>
  <c r="N158" i="6" s="1"/>
  <c r="W405" i="6"/>
  <c r="N405" i="6" s="1"/>
  <c r="W7" i="6"/>
  <c r="N7" i="6" s="1"/>
  <c r="W350" i="6"/>
  <c r="N350" i="6" s="1"/>
  <c r="W286" i="6"/>
  <c r="N286" i="6" s="1"/>
  <c r="W27" i="6"/>
  <c r="N27" i="6" s="1"/>
  <c r="W389" i="6"/>
  <c r="N389" i="6" s="1"/>
  <c r="W198" i="6"/>
  <c r="N198" i="6" s="1"/>
  <c r="W309" i="6"/>
  <c r="N309" i="6" s="1"/>
  <c r="W398" i="6"/>
  <c r="N398" i="6" s="1"/>
  <c r="W334" i="6"/>
  <c r="N334" i="6" s="1"/>
  <c r="W224" i="6"/>
  <c r="N224" i="6" s="1"/>
  <c r="W135" i="6"/>
  <c r="W180" i="6"/>
  <c r="N180" i="6" s="1"/>
  <c r="W269" i="6"/>
  <c r="N269" i="6" s="1"/>
  <c r="W115" i="6"/>
  <c r="N115" i="6" s="1"/>
  <c r="W291" i="6"/>
  <c r="N291" i="6" s="1"/>
  <c r="W227" i="6"/>
  <c r="N227" i="6" s="1"/>
  <c r="W385" i="6"/>
  <c r="N385" i="6" s="1"/>
  <c r="W63" i="6"/>
  <c r="N63" i="6" s="1"/>
  <c r="W328" i="6"/>
  <c r="N328" i="6" s="1"/>
  <c r="W353" i="6"/>
  <c r="N353" i="6" s="1"/>
  <c r="W38" i="6"/>
  <c r="N38" i="6" s="1"/>
  <c r="W51" i="6"/>
  <c r="N51" i="6" s="1"/>
  <c r="W265" i="6"/>
  <c r="N265" i="6" s="1"/>
  <c r="W128" i="6"/>
  <c r="N128" i="6" s="1"/>
  <c r="W243" i="6"/>
  <c r="N243" i="6" s="1"/>
  <c r="W111" i="6"/>
  <c r="N111" i="6" s="1"/>
  <c r="W404" i="6"/>
  <c r="N404" i="6" s="1"/>
  <c r="W39" i="6"/>
  <c r="N39" i="6" s="1"/>
  <c r="W288" i="6"/>
  <c r="N288" i="6" s="1"/>
  <c r="W232" i="6"/>
  <c r="N232" i="6" s="1"/>
  <c r="W16" i="6"/>
  <c r="N16" i="6" s="1"/>
  <c r="W276" i="6"/>
  <c r="N276" i="6" s="1"/>
  <c r="W346" i="6"/>
  <c r="N346" i="6" s="1"/>
  <c r="W271" i="6"/>
  <c r="N271" i="6" s="1"/>
  <c r="W277" i="6"/>
  <c r="N277" i="6" s="1"/>
  <c r="W184" i="6"/>
  <c r="N184" i="6" s="1"/>
  <c r="W260" i="6"/>
  <c r="N260" i="6" s="1"/>
  <c r="W229" i="6"/>
  <c r="N229" i="6" s="1"/>
  <c r="W267" i="6"/>
  <c r="N267" i="6" s="1"/>
  <c r="W234" i="6"/>
  <c r="N234" i="6" s="1"/>
  <c r="W40" i="6"/>
  <c r="N40" i="6" s="1"/>
  <c r="W101" i="6"/>
  <c r="N101" i="6" s="1"/>
  <c r="W315" i="6"/>
  <c r="N315" i="6" s="1"/>
  <c r="W48" i="6"/>
  <c r="N48" i="6" s="1"/>
  <c r="W233" i="6"/>
  <c r="N233" i="6" s="1"/>
  <c r="W382" i="6"/>
  <c r="N382" i="6" s="1"/>
  <c r="W369" i="6"/>
  <c r="N369" i="6" s="1"/>
  <c r="W96" i="6"/>
  <c r="N96" i="6" s="1"/>
  <c r="W20" i="6"/>
  <c r="N20" i="6" s="1"/>
  <c r="W89" i="6"/>
  <c r="N89" i="6" s="1"/>
  <c r="W14" i="6"/>
  <c r="N14" i="6" s="1"/>
  <c r="W189" i="6"/>
  <c r="N189" i="6" s="1"/>
  <c r="W99" i="6"/>
  <c r="N99" i="6" s="1"/>
  <c r="W130" i="6"/>
  <c r="N130" i="6" s="1"/>
  <c r="W366" i="6"/>
  <c r="N366" i="6" s="1"/>
  <c r="W245" i="6"/>
  <c r="N245" i="6" s="1"/>
  <c r="W181" i="6"/>
  <c r="N181" i="6" s="1"/>
  <c r="W141" i="6"/>
  <c r="W305" i="6"/>
  <c r="N305" i="6" s="1"/>
  <c r="W123" i="6"/>
  <c r="N123" i="6" s="1"/>
  <c r="W407" i="6"/>
  <c r="N407" i="6" s="1"/>
  <c r="W17" i="6"/>
  <c r="N17" i="6" s="1"/>
  <c r="W136" i="6"/>
  <c r="W104" i="6"/>
  <c r="N104" i="6" s="1"/>
  <c r="W102" i="6"/>
  <c r="N102" i="6" s="1"/>
  <c r="W290" i="6"/>
  <c r="N290" i="6" s="1"/>
  <c r="W347" i="6"/>
  <c r="N347" i="6" s="1"/>
  <c r="W391" i="6"/>
  <c r="N391" i="6" s="1"/>
  <c r="W394" i="6"/>
  <c r="N394" i="6" s="1"/>
  <c r="W214" i="6"/>
  <c r="N214" i="6" s="1"/>
  <c r="W197" i="6"/>
  <c r="N197" i="6" s="1"/>
  <c r="W387" i="6"/>
  <c r="N387" i="6" s="1"/>
  <c r="W406" i="6"/>
  <c r="N406" i="6" s="1"/>
  <c r="W253" i="6"/>
  <c r="N253" i="6" s="1"/>
  <c r="W3" i="6"/>
  <c r="N3" i="6" s="1"/>
  <c r="W206" i="6"/>
  <c r="N206" i="6" s="1"/>
  <c r="W335" i="6"/>
  <c r="N335" i="6" s="1"/>
  <c r="W292" i="6"/>
  <c r="N292" i="6" s="1"/>
  <c r="W81" i="6"/>
  <c r="N81" i="6" s="1"/>
  <c r="W239" i="6"/>
  <c r="N239" i="6" s="1"/>
  <c r="W207" i="6"/>
  <c r="N207" i="6" s="1"/>
  <c r="W338" i="6"/>
  <c r="N338" i="6" s="1"/>
  <c r="W190" i="6"/>
  <c r="N190" i="6" s="1"/>
  <c r="W132" i="6"/>
  <c r="N132" i="6" s="1"/>
  <c r="Q165" i="6"/>
  <c r="W314" i="6"/>
  <c r="N314" i="6" s="1"/>
  <c r="W313" i="6"/>
  <c r="N313" i="6" s="1"/>
  <c r="W167" i="6"/>
  <c r="N167" i="6" s="1"/>
  <c r="W166" i="6"/>
  <c r="N166" i="6" s="1"/>
  <c r="W255" i="6"/>
  <c r="N255" i="6" s="1"/>
  <c r="W312" i="6"/>
  <c r="N312" i="6" s="1"/>
  <c r="W296" i="6"/>
  <c r="N296" i="6" s="1"/>
  <c r="W171" i="6"/>
  <c r="N171" i="6" s="1"/>
  <c r="W61" i="6"/>
  <c r="N61" i="6" s="1"/>
  <c r="W19" i="6"/>
  <c r="N19" i="6" s="1"/>
  <c r="W357" i="6"/>
  <c r="N357" i="6" s="1"/>
  <c r="W374" i="6"/>
  <c r="N374" i="6" s="1"/>
  <c r="W218" i="6"/>
  <c r="N218" i="6" s="1"/>
  <c r="W149" i="6"/>
  <c r="N149" i="6" s="1"/>
  <c r="W397" i="6"/>
  <c r="N397" i="6" s="1"/>
  <c r="W139" i="6"/>
  <c r="W331" i="6"/>
  <c r="N331" i="6" s="1"/>
  <c r="W175" i="6"/>
  <c r="N175" i="6" s="1"/>
  <c r="W138" i="6"/>
  <c r="W281" i="6"/>
  <c r="N281" i="6" s="1"/>
  <c r="W370" i="6"/>
  <c r="N370" i="6" s="1"/>
  <c r="W162" i="6"/>
  <c r="N162" i="6" s="1"/>
  <c r="W259" i="6"/>
  <c r="N259" i="6" s="1"/>
  <c r="W270" i="6"/>
  <c r="N270" i="6" s="1"/>
  <c r="W399" i="6"/>
  <c r="N399" i="6" s="1"/>
  <c r="W377" i="6"/>
  <c r="N377" i="6" s="1"/>
  <c r="W121" i="6"/>
  <c r="N121" i="6" s="1"/>
  <c r="W126" i="6"/>
  <c r="N126" i="6" s="1"/>
  <c r="W220" i="6"/>
  <c r="N220" i="6" s="1"/>
  <c r="W261" i="6"/>
  <c r="N261" i="6" s="1"/>
  <c r="W348" i="6"/>
  <c r="N348" i="6" s="1"/>
  <c r="W351" i="6"/>
  <c r="N351" i="6" s="1"/>
  <c r="W119" i="6"/>
  <c r="N119" i="6" s="1"/>
  <c r="W343" i="6"/>
  <c r="N343" i="6" s="1"/>
  <c r="W352" i="6"/>
  <c r="N352" i="6" s="1"/>
  <c r="W183" i="6"/>
  <c r="N183" i="6" s="1"/>
  <c r="W354" i="6"/>
  <c r="N354" i="6" s="1"/>
  <c r="W134" i="6"/>
  <c r="W289" i="6"/>
  <c r="N289" i="6" s="1"/>
  <c r="W249" i="6"/>
  <c r="N249" i="6" s="1"/>
  <c r="W10" i="6"/>
  <c r="N10" i="6" s="1"/>
  <c r="W201" i="6"/>
  <c r="N201" i="6" s="1"/>
  <c r="W293" i="6"/>
  <c r="N293" i="6" s="1"/>
  <c r="W140" i="6"/>
  <c r="W72" i="6"/>
  <c r="N72" i="6" s="1"/>
  <c r="W71" i="6"/>
  <c r="N71" i="6" s="1"/>
  <c r="W37" i="6"/>
  <c r="N37" i="6" s="1"/>
  <c r="W67" i="6"/>
  <c r="N67" i="6" s="1"/>
  <c r="W216" i="6"/>
  <c r="N216" i="6" s="1"/>
  <c r="N381" i="6"/>
  <c r="W129" i="6"/>
  <c r="N129" i="6" s="1"/>
  <c r="W118" i="6"/>
  <c r="N118" i="6" s="1"/>
  <c r="W56" i="6"/>
  <c r="N56" i="6" s="1"/>
  <c r="W114" i="6"/>
  <c r="N114" i="6" s="1"/>
  <c r="W274" i="6"/>
  <c r="N274" i="6" s="1"/>
  <c r="W226" i="6"/>
  <c r="N226" i="6" s="1"/>
  <c r="W194" i="6"/>
  <c r="N194" i="6" s="1"/>
  <c r="W287" i="6"/>
  <c r="N287" i="6" s="1"/>
  <c r="W317" i="6"/>
  <c r="N317" i="6" s="1"/>
  <c r="W339" i="6"/>
  <c r="N339" i="6" s="1"/>
  <c r="W151" i="6"/>
  <c r="N151" i="6" s="1"/>
  <c r="W80" i="6"/>
  <c r="N80" i="6" s="1"/>
  <c r="W112" i="6"/>
  <c r="N112" i="6" s="1"/>
  <c r="W155" i="6"/>
  <c r="N155" i="6" s="1"/>
  <c r="W258" i="6"/>
  <c r="N258" i="6" s="1"/>
  <c r="W58" i="6"/>
  <c r="N58" i="6" s="1"/>
  <c r="W241" i="6"/>
  <c r="N241" i="6" s="1"/>
  <c r="W52" i="6"/>
  <c r="N52" i="6" s="1"/>
  <c r="W176" i="6"/>
  <c r="N176" i="6" s="1"/>
  <c r="W182" i="6"/>
  <c r="N182" i="6" s="1"/>
  <c r="W64" i="6"/>
  <c r="N64" i="6" s="1"/>
  <c r="W43" i="6"/>
  <c r="N43" i="6" s="1"/>
  <c r="W18" i="6"/>
  <c r="N18" i="6" s="1"/>
  <c r="W280" i="6"/>
  <c r="N280" i="6" s="1"/>
  <c r="W330" i="6"/>
  <c r="N330" i="6" s="1"/>
  <c r="W319" i="6"/>
  <c r="N319" i="6" s="1"/>
  <c r="W65" i="6"/>
  <c r="N65" i="6" s="1"/>
  <c r="W185" i="6"/>
  <c r="N185" i="6" s="1"/>
  <c r="W242" i="6"/>
  <c r="N242" i="6" s="1"/>
  <c r="W294" i="6"/>
  <c r="N294" i="6" s="1"/>
  <c r="W308" i="6"/>
  <c r="N308" i="6" s="1"/>
  <c r="W5" i="6"/>
  <c r="N5" i="6" s="1"/>
  <c r="W200" i="6"/>
  <c r="N200" i="6" s="1"/>
  <c r="W304" i="6"/>
  <c r="N304" i="6" s="1"/>
  <c r="W74" i="6"/>
  <c r="N74" i="6" s="1"/>
  <c r="W6" i="6"/>
  <c r="N6" i="6" s="1"/>
  <c r="W303" i="6"/>
  <c r="W192" i="6"/>
  <c r="N192" i="6" s="1"/>
  <c r="W42" i="6"/>
  <c r="N42" i="6" s="1"/>
  <c r="W169" i="6"/>
  <c r="N169" i="6" s="1"/>
  <c r="W256" i="6"/>
  <c r="N256" i="6" s="1"/>
  <c r="W35" i="6"/>
  <c r="N35" i="6" s="1"/>
  <c r="W22" i="6"/>
  <c r="N22" i="6" s="1"/>
  <c r="W50" i="6"/>
  <c r="N50" i="6" s="1"/>
  <c r="W381" i="6"/>
  <c r="W373" i="6"/>
  <c r="N373" i="6" s="1"/>
  <c r="N380" i="6"/>
  <c r="W322" i="6"/>
  <c r="N322" i="6" s="1"/>
  <c r="W402" i="6"/>
  <c r="N402" i="6" s="1"/>
  <c r="W26" i="6"/>
  <c r="N26" i="6" s="1"/>
  <c r="W191" i="6"/>
  <c r="N191" i="6" s="1"/>
  <c r="W254" i="6"/>
  <c r="N254" i="6" s="1"/>
  <c r="W358" i="6"/>
  <c r="N358" i="6" s="1"/>
  <c r="W217" i="6"/>
  <c r="N217" i="6" s="1"/>
  <c r="W279" i="6"/>
  <c r="N279" i="6" s="1"/>
  <c r="W266" i="6"/>
  <c r="N266" i="6" s="1"/>
  <c r="W49" i="6"/>
  <c r="N49" i="6" s="1"/>
  <c r="W386" i="6"/>
  <c r="N386" i="6" s="1"/>
  <c r="W257" i="6"/>
  <c r="N257" i="6" s="1"/>
  <c r="W36" i="6"/>
  <c r="N36" i="6" s="1"/>
  <c r="W78" i="6"/>
  <c r="N78" i="6" s="1"/>
  <c r="W125" i="6"/>
  <c r="N125" i="6" s="1"/>
  <c r="W223" i="6"/>
  <c r="N223" i="6" s="1"/>
  <c r="W195" i="6"/>
  <c r="N195" i="6" s="1"/>
  <c r="W318" i="6"/>
  <c r="N318" i="6" s="1"/>
  <c r="W273" i="6"/>
  <c r="N273" i="6" s="1"/>
  <c r="W336" i="6"/>
  <c r="N336" i="6" s="1"/>
  <c r="W316" i="6"/>
  <c r="N316" i="6" s="1"/>
  <c r="W392" i="6"/>
  <c r="N392" i="6" s="1"/>
  <c r="W187" i="6"/>
  <c r="N187" i="6" s="1"/>
  <c r="W173" i="6"/>
  <c r="N173" i="6" s="1"/>
  <c r="W252" i="6"/>
  <c r="N252" i="6" s="1"/>
  <c r="W403" i="6"/>
  <c r="N403" i="6" s="1"/>
  <c r="W222" i="6"/>
  <c r="N222" i="6" s="1"/>
  <c r="W153" i="6"/>
  <c r="N153" i="6" s="1"/>
  <c r="W204" i="6"/>
  <c r="N204" i="6" s="1"/>
  <c r="W251" i="6"/>
  <c r="N251" i="6" s="1"/>
  <c r="W97" i="6"/>
  <c r="N97" i="6" s="1"/>
  <c r="W82" i="6"/>
  <c r="N82" i="6" s="1"/>
  <c r="W108" i="6"/>
  <c r="N108" i="6" s="1"/>
  <c r="W150" i="6"/>
  <c r="N150" i="6" s="1"/>
  <c r="W231" i="6"/>
  <c r="N231" i="6" s="1"/>
  <c r="W380" i="6"/>
  <c r="W90" i="6"/>
  <c r="N90" i="6" s="1"/>
  <c r="W152" i="6"/>
  <c r="N152" i="6" s="1"/>
  <c r="W46" i="6"/>
  <c r="N46" i="6" s="1"/>
  <c r="W76" i="6"/>
  <c r="N76" i="6" s="1"/>
  <c r="W188" i="6"/>
  <c r="N188" i="6" s="1"/>
  <c r="W272" i="6"/>
  <c r="N272" i="6" s="1"/>
  <c r="W91" i="6"/>
  <c r="N91" i="6" s="1"/>
  <c r="W147" i="6"/>
  <c r="N147" i="6" s="1"/>
  <c r="W124" i="6"/>
  <c r="N124" i="6" s="1"/>
  <c r="W384" i="6"/>
  <c r="N384" i="6" s="1"/>
  <c r="W371" i="6"/>
  <c r="N371" i="6" s="1"/>
  <c r="W95" i="6"/>
  <c r="N95" i="6" s="1"/>
  <c r="W359" i="6"/>
  <c r="N359" i="6" s="1"/>
  <c r="W179" i="6"/>
  <c r="N179" i="6" s="1"/>
  <c r="W221" i="6"/>
  <c r="N221" i="6" s="1"/>
  <c r="W159" i="6"/>
  <c r="N159" i="6" s="1"/>
  <c r="W205" i="6"/>
  <c r="N205" i="6" s="1"/>
  <c r="W211" i="6"/>
  <c r="N211" i="6" s="1"/>
  <c r="W247" i="6"/>
  <c r="N247" i="6" s="1"/>
  <c r="W196" i="6"/>
  <c r="N196" i="6" s="1"/>
  <c r="W213" i="6"/>
  <c r="N213" i="6" s="1"/>
  <c r="W300" i="6"/>
  <c r="N300" i="6" s="1"/>
  <c r="W203" i="6"/>
  <c r="N203" i="6" s="1"/>
  <c r="W88" i="6"/>
  <c r="N88" i="6" s="1"/>
  <c r="W75" i="6"/>
  <c r="N75" i="6" s="1"/>
  <c r="W21" i="6"/>
  <c r="N21" i="6" s="1"/>
  <c r="W310" i="6"/>
  <c r="N310" i="6" s="1"/>
  <c r="W156" i="6"/>
  <c r="N156" i="6" s="1"/>
  <c r="W378" i="6"/>
  <c r="N378" i="6" s="1"/>
  <c r="W70" i="6"/>
  <c r="N70" i="6" s="1"/>
  <c r="W393" i="6"/>
  <c r="N393" i="6" s="1"/>
  <c r="W62" i="6"/>
  <c r="N62" i="6" s="1"/>
  <c r="W193" i="6"/>
  <c r="N193" i="6" s="1"/>
  <c r="W230" i="6"/>
  <c r="N230" i="6" s="1"/>
  <c r="W122" i="6"/>
  <c r="N122" i="6" s="1"/>
  <c r="W264" i="6"/>
  <c r="N264" i="6" s="1"/>
  <c r="W77" i="6"/>
  <c r="N77" i="6" s="1"/>
  <c r="W148" i="6"/>
  <c r="N148" i="6" s="1"/>
  <c r="S195" i="2"/>
  <c r="S197" i="2" s="1"/>
  <c r="W109" i="6"/>
  <c r="N109" i="6" s="1"/>
  <c r="W172" i="6"/>
  <c r="N172" i="6" s="1"/>
  <c r="W368" i="6"/>
  <c r="N368" i="6" s="1"/>
  <c r="W41" i="6"/>
  <c r="N41" i="6" s="1"/>
  <c r="W8" i="6"/>
  <c r="N8" i="6" s="1"/>
  <c r="W106" i="6"/>
  <c r="N106" i="6" s="1"/>
  <c r="W212" i="6"/>
  <c r="N212" i="6" s="1"/>
  <c r="W164" i="6"/>
  <c r="N164" i="6" s="1"/>
  <c r="W248" i="6"/>
  <c r="N248" i="6" s="1"/>
  <c r="W342" i="6"/>
  <c r="N342" i="6" s="1"/>
  <c r="W24" i="6"/>
  <c r="N24" i="6" s="1"/>
  <c r="W408" i="6"/>
  <c r="N408" i="6" s="1"/>
  <c r="W15" i="6"/>
  <c r="N15" i="6" s="1"/>
  <c r="W143" i="6"/>
  <c r="W327" i="6"/>
  <c r="N327" i="6" s="1"/>
  <c r="W23" i="6"/>
  <c r="N23" i="6" s="1"/>
  <c r="W100" i="6"/>
  <c r="N100" i="6" s="1"/>
  <c r="W25" i="6"/>
  <c r="N25" i="6" s="1"/>
  <c r="W32" i="6"/>
  <c r="N32" i="6" s="1"/>
  <c r="W228" i="6"/>
  <c r="N228" i="6" s="1"/>
  <c r="W262" i="6"/>
  <c r="N262" i="6" s="1"/>
  <c r="W127" i="6"/>
  <c r="N127" i="6" s="1"/>
  <c r="W92" i="6"/>
  <c r="N92" i="6" s="1"/>
  <c r="W60" i="6"/>
  <c r="N60" i="6" s="1"/>
  <c r="W137" i="6"/>
  <c r="W107" i="6"/>
  <c r="N107" i="6" s="1"/>
  <c r="W157" i="6"/>
  <c r="N157" i="6" s="1"/>
  <c r="W168" i="6"/>
  <c r="N168" i="6" s="1"/>
  <c r="W295" i="6"/>
  <c r="N295" i="6" s="1"/>
  <c r="W372" i="6"/>
  <c r="N372" i="6" s="1"/>
  <c r="W177" i="6"/>
  <c r="N177" i="6" s="1"/>
  <c r="W120" i="6"/>
  <c r="N120" i="6" s="1"/>
  <c r="W375" i="6"/>
  <c r="N375" i="6" s="1"/>
  <c r="W246" i="6"/>
  <c r="N246" i="6" s="1"/>
  <c r="W163" i="6"/>
  <c r="N163" i="6" s="1"/>
  <c r="W341" i="6"/>
  <c r="N341" i="6" s="1"/>
  <c r="W379" i="6"/>
  <c r="N379" i="6" s="1"/>
  <c r="W79" i="6"/>
  <c r="N79" i="6" s="1"/>
  <c r="W367" i="6"/>
  <c r="N367" i="6" s="1"/>
  <c r="W29" i="6"/>
  <c r="N29" i="6" s="1"/>
  <c r="W326" i="6"/>
  <c r="N326" i="6" s="1"/>
  <c r="W244" i="6"/>
  <c r="N244" i="6" s="1"/>
  <c r="W355" i="6"/>
  <c r="N355" i="6" s="1"/>
  <c r="W45" i="6"/>
  <c r="N45" i="6" s="1"/>
  <c r="W301" i="6"/>
  <c r="N301" i="6" s="1"/>
  <c r="W117" i="6"/>
  <c r="N117" i="6" s="1"/>
  <c r="W73" i="6"/>
  <c r="N73" i="6" s="1"/>
  <c r="W68" i="6"/>
  <c r="N68" i="6" s="1"/>
  <c r="W199" i="6"/>
  <c r="N199" i="6" s="1"/>
  <c r="W219" i="6"/>
  <c r="N219" i="6" s="1"/>
  <c r="W105" i="6"/>
  <c r="N105" i="6" s="1"/>
  <c r="W395" i="6"/>
  <c r="N395" i="6" s="1"/>
  <c r="W12" i="6"/>
  <c r="N12" i="6" s="1"/>
  <c r="W33" i="6"/>
  <c r="N33" i="6" s="1"/>
  <c r="W396" i="6"/>
  <c r="N396" i="6" s="1"/>
  <c r="W57" i="6"/>
  <c r="N57" i="6" s="1"/>
  <c r="W28" i="6"/>
  <c r="N28" i="6" s="1"/>
  <c r="W13" i="6"/>
  <c r="N13" i="6" s="1"/>
  <c r="W66" i="6"/>
  <c r="N66" i="6" s="1"/>
  <c r="W337" i="6"/>
  <c r="N337" i="6" s="1"/>
  <c r="W47" i="6"/>
  <c r="N47" i="6" s="1"/>
  <c r="W44" i="6"/>
  <c r="N44" i="6" s="1"/>
  <c r="W278" i="6"/>
  <c r="N278" i="6" s="1"/>
  <c r="W131" i="6"/>
  <c r="N131" i="6" s="1"/>
  <c r="W4" i="6"/>
  <c r="N4" i="6" s="1"/>
  <c r="W215" i="6"/>
  <c r="N215" i="6" s="1"/>
  <c r="W174" i="6"/>
  <c r="N174" i="6" s="1"/>
  <c r="W161" i="6"/>
  <c r="N161" i="6" s="1"/>
  <c r="W356" i="6"/>
  <c r="N356" i="6" s="1"/>
  <c r="W263" i="6"/>
  <c r="N263" i="6" s="1"/>
  <c r="W390" i="6"/>
  <c r="N390" i="6" s="1"/>
  <c r="W31" i="6"/>
  <c r="N31" i="6" s="1"/>
  <c r="W113" i="6"/>
  <c r="N113" i="6" s="1"/>
  <c r="W365" i="6"/>
  <c r="N365" i="6" s="1"/>
  <c r="W225" i="6"/>
  <c r="N225" i="6" s="1"/>
  <c r="W383" i="6"/>
  <c r="N383" i="6" s="1"/>
  <c r="W94" i="6"/>
  <c r="N94" i="6" s="1"/>
  <c r="W34" i="6"/>
  <c r="N34" i="6" s="1"/>
  <c r="W142" i="6"/>
  <c r="W98" i="6"/>
  <c r="N98" i="6" s="1"/>
  <c r="W332" i="6"/>
  <c r="N332" i="6" s="1"/>
  <c r="W160" i="6"/>
  <c r="N160" i="6" s="1"/>
  <c r="W178" i="6"/>
  <c r="N178" i="6" s="1"/>
  <c r="W329" i="6"/>
  <c r="N329" i="6" s="1"/>
  <c r="W268" i="6"/>
  <c r="N268" i="6" s="1"/>
  <c r="W344" i="6"/>
  <c r="N344" i="6" s="1"/>
  <c r="W103" i="6"/>
  <c r="N103" i="6" s="1"/>
  <c r="W364" i="6"/>
  <c r="N364" i="6" s="1"/>
  <c r="W321" i="6"/>
  <c r="N321" i="6" s="1"/>
  <c r="W400" i="6"/>
  <c r="N400" i="6" s="1"/>
  <c r="W307" i="6"/>
  <c r="W388" i="6"/>
  <c r="N388" i="6" s="1"/>
  <c r="W345" i="6"/>
  <c r="N345" i="6" s="1"/>
  <c r="W170" i="6"/>
  <c r="N170" i="6" s="1"/>
  <c r="G195" i="2"/>
  <c r="G178" i="2"/>
  <c r="J13" i="28" s="1"/>
  <c r="G181" i="2"/>
  <c r="J15" i="28" s="1"/>
  <c r="G221" i="2"/>
  <c r="G182" i="2"/>
  <c r="J16" i="28" s="1"/>
  <c r="G213" i="2"/>
  <c r="G193" i="2"/>
  <c r="G225" i="2"/>
  <c r="J29" i="28" s="1"/>
  <c r="S208" i="2"/>
  <c r="G188" i="2"/>
  <c r="G171" i="2"/>
  <c r="S192" i="2"/>
  <c r="W192" i="2" s="1"/>
  <c r="G174" i="2"/>
  <c r="G183" i="2"/>
  <c r="J17" i="28" s="1"/>
  <c r="G167" i="2"/>
  <c r="G168" i="2"/>
  <c r="G186" i="2"/>
  <c r="G215" i="2"/>
  <c r="G198" i="2"/>
  <c r="G218" i="2"/>
  <c r="G211" i="2"/>
  <c r="G202" i="2"/>
  <c r="G199" i="2"/>
  <c r="G210" i="2"/>
  <c r="G187" i="2"/>
  <c r="J20" i="28" s="1"/>
  <c r="G175" i="2"/>
  <c r="G192" i="2"/>
  <c r="J24" i="28" s="1"/>
  <c r="G165" i="2"/>
  <c r="G216" i="2"/>
  <c r="G166" i="2"/>
  <c r="G212" i="2"/>
  <c r="G191" i="2"/>
  <c r="J23" i="28" s="1"/>
  <c r="G173" i="2"/>
  <c r="G194" i="2"/>
  <c r="G169" i="2"/>
  <c r="G224" i="2"/>
  <c r="G214" i="2"/>
  <c r="G217" i="2"/>
  <c r="J28" i="28" s="1"/>
  <c r="G179" i="2"/>
  <c r="G205" i="2"/>
  <c r="G223" i="2"/>
  <c r="G172" i="2"/>
  <c r="G170" i="2"/>
  <c r="G180" i="2"/>
  <c r="J14" i="28" s="1"/>
  <c r="G196" i="2"/>
  <c r="G222" i="2"/>
  <c r="G206" i="2"/>
  <c r="G185" i="2"/>
  <c r="J19" i="28" s="1"/>
  <c r="G176" i="2"/>
  <c r="G190" i="2"/>
  <c r="J22" i="28" s="1"/>
  <c r="G209" i="2"/>
  <c r="G220" i="2"/>
  <c r="G203" i="2"/>
  <c r="J27" i="28" s="1"/>
  <c r="G204" i="2"/>
  <c r="G177" i="2"/>
  <c r="G219" i="2"/>
  <c r="G184" i="2"/>
  <c r="J18" i="28" s="1"/>
  <c r="G189" i="2"/>
  <c r="J21" i="28" s="1"/>
  <c r="G208" i="2"/>
  <c r="G285" i="2"/>
  <c r="J62" i="28" s="1"/>
  <c r="G286" i="2"/>
  <c r="J63" i="28" s="1"/>
  <c r="G280" i="2"/>
  <c r="J57" i="28" s="1"/>
  <c r="G261" i="2"/>
  <c r="J38" i="28" s="1"/>
  <c r="G297" i="2"/>
  <c r="J74" i="28" s="1"/>
  <c r="G290" i="2"/>
  <c r="J67" i="28" s="1"/>
  <c r="G284" i="2"/>
  <c r="J61" i="28" s="1"/>
  <c r="G256" i="2"/>
  <c r="J33" i="28" s="1"/>
  <c r="G269" i="2"/>
  <c r="J46" i="28" s="1"/>
  <c r="G257" i="2"/>
  <c r="J34" i="28" s="1"/>
  <c r="G277" i="2"/>
  <c r="J54" i="28" s="1"/>
  <c r="G294" i="2"/>
  <c r="J71" i="28" s="1"/>
  <c r="G295" i="2"/>
  <c r="J72" i="28" s="1"/>
  <c r="G275" i="2"/>
  <c r="J52" i="28" s="1"/>
  <c r="G291" i="2"/>
  <c r="J68" i="28" s="1"/>
  <c r="G296" i="2"/>
  <c r="J73" i="28" s="1"/>
  <c r="G272" i="2"/>
  <c r="J49" i="28" s="1"/>
  <c r="G293" i="2"/>
  <c r="J70" i="28" s="1"/>
  <c r="G259" i="2"/>
  <c r="J36" i="28" s="1"/>
  <c r="G292" i="2"/>
  <c r="J69" i="28" s="1"/>
  <c r="G278" i="2"/>
  <c r="J55" i="28" s="1"/>
  <c r="G282" i="2"/>
  <c r="J59" i="28" s="1"/>
  <c r="G274" i="2"/>
  <c r="J51" i="28" s="1"/>
  <c r="G258" i="2"/>
  <c r="J35" i="28" s="1"/>
  <c r="G283" i="2"/>
  <c r="J60" i="28" s="1"/>
  <c r="G267" i="2"/>
  <c r="J44" i="28" s="1"/>
  <c r="G268" i="2"/>
  <c r="J45" i="28" s="1"/>
  <c r="G271" i="2"/>
  <c r="J48" i="28" s="1"/>
  <c r="G262" i="2"/>
  <c r="J39" i="28" s="1"/>
  <c r="G266" i="2"/>
  <c r="J43" i="28" s="1"/>
  <c r="G279" i="2"/>
  <c r="J56" i="28" s="1"/>
  <c r="G260" i="2"/>
  <c r="J37" i="28" s="1"/>
  <c r="G265" i="2"/>
  <c r="J42" i="28" s="1"/>
  <c r="G263" i="2"/>
  <c r="J40" i="28" s="1"/>
  <c r="G289" i="2"/>
  <c r="J66" i="28" s="1"/>
  <c r="G298" i="2"/>
  <c r="J75" i="28" s="1"/>
  <c r="G281" i="2"/>
  <c r="J58" i="28" s="1"/>
  <c r="G264" i="2"/>
  <c r="J41" i="28" s="1"/>
  <c r="G276" i="2"/>
  <c r="J53" i="28" s="1"/>
  <c r="G270" i="2"/>
  <c r="J47" i="28" s="1"/>
  <c r="G288" i="2"/>
  <c r="J65" i="28" s="1"/>
  <c r="G273" i="2"/>
  <c r="J50" i="28" s="1"/>
  <c r="G287" i="2"/>
  <c r="J64" i="28" s="1"/>
  <c r="Q282" i="2"/>
  <c r="F4" i="2"/>
  <c r="F8" i="2"/>
  <c r="F9" i="2"/>
  <c r="F6" i="2"/>
  <c r="Q205" i="2" s="1"/>
  <c r="F3" i="2"/>
  <c r="F5" i="2"/>
  <c r="F13" i="2"/>
  <c r="F10" i="2"/>
  <c r="F11" i="2"/>
  <c r="F7" i="2"/>
  <c r="E185" i="2"/>
  <c r="E202" i="2"/>
  <c r="E182" i="2"/>
  <c r="E193" i="2"/>
  <c r="E175" i="2"/>
  <c r="E205" i="2"/>
  <c r="E176" i="2"/>
  <c r="E224" i="2"/>
  <c r="E181" i="2"/>
  <c r="E188" i="2"/>
  <c r="E189" i="2"/>
  <c r="E203" i="2"/>
  <c r="E197" i="2"/>
  <c r="E166" i="2"/>
  <c r="E198" i="2"/>
  <c r="E194" i="2"/>
  <c r="E206" i="2"/>
  <c r="E190" i="2"/>
  <c r="E219" i="2"/>
  <c r="E180" i="2"/>
  <c r="E184" i="2"/>
  <c r="E186" i="2"/>
  <c r="E223" i="2"/>
  <c r="E217" i="2"/>
  <c r="E187" i="2"/>
  <c r="E214" i="2"/>
  <c r="E195" i="2"/>
  <c r="E208" i="2"/>
  <c r="E210" i="2"/>
  <c r="E168" i="2"/>
  <c r="E218" i="2"/>
  <c r="E225" i="2"/>
  <c r="E199" i="2"/>
  <c r="E221" i="2"/>
  <c r="E216" i="2"/>
  <c r="E196" i="2"/>
  <c r="E165" i="2"/>
  <c r="E178" i="2"/>
  <c r="E209" i="2"/>
  <c r="E192" i="2"/>
  <c r="E215" i="2"/>
  <c r="E172" i="2"/>
  <c r="E179" i="2"/>
  <c r="E174" i="2"/>
  <c r="E169" i="2"/>
  <c r="E167" i="2"/>
  <c r="E191" i="2"/>
  <c r="E171" i="2"/>
  <c r="E183" i="2"/>
  <c r="E222" i="2"/>
  <c r="E220" i="2"/>
  <c r="E177" i="2"/>
  <c r="E173" i="2"/>
  <c r="E170" i="2"/>
  <c r="E204" i="2"/>
  <c r="E211" i="2"/>
  <c r="E213" i="2"/>
  <c r="E212" i="2"/>
  <c r="E256" i="2"/>
  <c r="E284" i="2"/>
  <c r="E297" i="2"/>
  <c r="E263" i="2"/>
  <c r="E269" i="2"/>
  <c r="E287" i="2"/>
  <c r="E289" i="2"/>
  <c r="E294" i="2"/>
  <c r="E279" i="2"/>
  <c r="E258" i="2"/>
  <c r="E276" i="2"/>
  <c r="E266" i="2"/>
  <c r="E293" i="2"/>
  <c r="E295" i="2"/>
  <c r="E274" i="2"/>
  <c r="E259" i="2"/>
  <c r="E278" i="2"/>
  <c r="E283" i="2"/>
  <c r="E285" i="2"/>
  <c r="E282" i="2"/>
  <c r="E257" i="2"/>
  <c r="E298" i="2"/>
  <c r="E262" i="2"/>
  <c r="E270" i="2"/>
  <c r="E261" i="2"/>
  <c r="E292" i="2"/>
  <c r="E281" i="2"/>
  <c r="E288" i="2"/>
  <c r="E267" i="2"/>
  <c r="E290" i="2"/>
  <c r="E280" i="2"/>
  <c r="E273" i="2"/>
  <c r="E286" i="2"/>
  <c r="E296" i="2"/>
  <c r="E268" i="2"/>
  <c r="E265" i="2"/>
  <c r="E275" i="2"/>
  <c r="E291" i="2"/>
  <c r="E277" i="2"/>
  <c r="E264" i="2"/>
  <c r="E272" i="2"/>
  <c r="E271" i="2"/>
  <c r="E260" i="2"/>
  <c r="E88" i="2"/>
  <c r="E94" i="2"/>
  <c r="E103" i="2"/>
  <c r="E84" i="2"/>
  <c r="E87" i="2"/>
  <c r="E100" i="2"/>
  <c r="E105" i="2"/>
  <c r="E78" i="2"/>
  <c r="E93" i="2"/>
  <c r="E77" i="2"/>
  <c r="E89" i="2"/>
  <c r="E80" i="2"/>
  <c r="E95" i="2"/>
  <c r="E86" i="2"/>
  <c r="E83" i="2"/>
  <c r="E101" i="2"/>
  <c r="E82" i="2"/>
  <c r="E99" i="2"/>
  <c r="E91" i="2"/>
  <c r="E81" i="2"/>
  <c r="E97" i="2"/>
  <c r="E85" i="2"/>
  <c r="E96" i="2"/>
  <c r="E92" i="2"/>
  <c r="E104" i="2"/>
  <c r="E90" i="2"/>
  <c r="E79" i="2"/>
  <c r="E102" i="2"/>
  <c r="E98" i="2"/>
  <c r="E250" i="2"/>
  <c r="E228" i="2"/>
  <c r="E243" i="2"/>
  <c r="E242" i="2"/>
  <c r="E249" i="2"/>
  <c r="E246" i="2"/>
  <c r="E233" i="2"/>
  <c r="E248" i="2"/>
  <c r="E232" i="2"/>
  <c r="E252" i="2"/>
  <c r="W238" i="2"/>
  <c r="E236" i="2"/>
  <c r="E229" i="2"/>
  <c r="E244" i="2"/>
  <c r="E247" i="2"/>
  <c r="E238" i="2"/>
  <c r="E245" i="2"/>
  <c r="W234" i="2"/>
  <c r="E237" i="2"/>
  <c r="E251" i="2"/>
  <c r="E231" i="2"/>
  <c r="E235" i="2"/>
  <c r="E239" i="2"/>
  <c r="E241" i="2"/>
  <c r="E230" i="2"/>
  <c r="E234" i="2"/>
  <c r="E240" i="2"/>
  <c r="E306" i="2"/>
  <c r="E305" i="2"/>
  <c r="E310" i="2"/>
  <c r="E307" i="2"/>
  <c r="E311" i="2"/>
  <c r="E312" i="2"/>
  <c r="E301" i="2"/>
  <c r="E304" i="2"/>
  <c r="E308" i="2"/>
  <c r="E309" i="2"/>
  <c r="E303" i="2"/>
  <c r="E302" i="2"/>
  <c r="E317" i="2"/>
  <c r="E319" i="2"/>
  <c r="E335" i="2"/>
  <c r="E329" i="2"/>
  <c r="E332" i="2"/>
  <c r="E331" i="2"/>
  <c r="E333" i="2"/>
  <c r="E320" i="2"/>
  <c r="E325" i="2"/>
  <c r="E316" i="2"/>
  <c r="E321" i="2"/>
  <c r="E337" i="2"/>
  <c r="E324" i="2"/>
  <c r="E323" i="2"/>
  <c r="E322" i="2"/>
  <c r="E336" i="2"/>
  <c r="E334" i="2"/>
  <c r="E318" i="2"/>
  <c r="E326" i="2"/>
  <c r="E330" i="2"/>
  <c r="E315" i="2"/>
  <c r="E327" i="2"/>
  <c r="E328" i="2"/>
  <c r="E394" i="2"/>
  <c r="E341" i="2"/>
  <c r="E384" i="2"/>
  <c r="E381" i="2"/>
  <c r="E401" i="2"/>
  <c r="E379" i="2"/>
  <c r="E405" i="2"/>
  <c r="E414" i="2"/>
  <c r="E391" i="2"/>
  <c r="E392" i="2"/>
  <c r="E420" i="2"/>
  <c r="E417" i="2"/>
  <c r="E348" i="2"/>
  <c r="E397" i="2"/>
  <c r="E366" i="2"/>
  <c r="E402" i="2"/>
  <c r="E358" i="2"/>
  <c r="E372" i="2"/>
  <c r="E347" i="2"/>
  <c r="E373" i="2"/>
  <c r="E368" i="2"/>
  <c r="E419" i="2"/>
  <c r="E409" i="2"/>
  <c r="E369" i="2"/>
  <c r="E390" i="2"/>
  <c r="E399" i="2"/>
  <c r="E388" i="2"/>
  <c r="E353" i="2"/>
  <c r="E418" i="2"/>
  <c r="E410" i="2"/>
  <c r="E416" i="2"/>
  <c r="E357" i="2"/>
  <c r="E362" i="2"/>
  <c r="E380" i="2"/>
  <c r="E354" i="2"/>
  <c r="E361" i="2"/>
  <c r="E407" i="2"/>
  <c r="E413" i="2"/>
  <c r="E377" i="2"/>
  <c r="E406" i="2"/>
  <c r="E382" i="2"/>
  <c r="E351" i="2"/>
  <c r="E408" i="2"/>
  <c r="E385" i="2"/>
  <c r="E383" i="2"/>
  <c r="E395" i="2"/>
  <c r="E345" i="2"/>
  <c r="E374" i="2"/>
  <c r="E367" i="2"/>
  <c r="E349" i="2"/>
  <c r="E415" i="2"/>
  <c r="E389" i="2"/>
  <c r="E412" i="2"/>
  <c r="E421" i="2"/>
  <c r="E396" i="2"/>
  <c r="E360" i="2"/>
  <c r="E398" i="2"/>
  <c r="E411" i="2"/>
  <c r="E386" i="2"/>
  <c r="E343" i="2"/>
  <c r="E370" i="2"/>
  <c r="E342" i="2"/>
  <c r="E355" i="2"/>
  <c r="E356" i="2"/>
  <c r="E387" i="2"/>
  <c r="E404" i="2"/>
  <c r="E393" i="2"/>
  <c r="E365" i="2"/>
  <c r="E352" i="2"/>
  <c r="E400" i="2"/>
  <c r="E344" i="2"/>
  <c r="E371" i="2"/>
  <c r="E403" i="2"/>
  <c r="E359" i="2"/>
  <c r="E350" i="2"/>
  <c r="E340" i="2"/>
  <c r="E346" i="2"/>
  <c r="E363" i="2"/>
  <c r="E378" i="2"/>
  <c r="E364" i="2"/>
  <c r="U349" i="6"/>
  <c r="L349" i="6" s="1"/>
  <c r="U148" i="6"/>
  <c r="L148" i="6" s="1"/>
  <c r="U147" i="6"/>
  <c r="L147" i="6" s="1"/>
  <c r="U228" i="6"/>
  <c r="L228" i="6" s="1"/>
  <c r="U84" i="6"/>
  <c r="L84" i="6" s="1"/>
  <c r="U109" i="6"/>
  <c r="L109" i="6" s="1"/>
  <c r="U331" i="6"/>
  <c r="L331" i="6" s="1"/>
  <c r="U44" i="6"/>
  <c r="L44" i="6" s="1"/>
  <c r="U390" i="6"/>
  <c r="L390" i="6" s="1"/>
  <c r="U198" i="6"/>
  <c r="L198" i="6" s="1"/>
  <c r="U142" i="6"/>
  <c r="L142" i="6" s="1"/>
  <c r="U334" i="6"/>
  <c r="L334" i="6" s="1"/>
  <c r="U170" i="6"/>
  <c r="L170" i="6" s="1"/>
  <c r="U154" i="6"/>
  <c r="L154" i="6" s="1"/>
  <c r="U167" i="6"/>
  <c r="L167" i="6" s="1"/>
  <c r="U274" i="6"/>
  <c r="L274" i="6" s="1"/>
  <c r="U261" i="6"/>
  <c r="L261" i="6" s="1"/>
  <c r="U17" i="6"/>
  <c r="L17" i="6" s="1"/>
  <c r="U173" i="6"/>
  <c r="L173" i="6" s="1"/>
  <c r="U112" i="6"/>
  <c r="L112" i="6" s="1"/>
  <c r="U340" i="6"/>
  <c r="L340" i="6" s="1"/>
  <c r="U130" i="6"/>
  <c r="L130" i="6" s="1"/>
  <c r="U66" i="6"/>
  <c r="L66" i="6" s="1"/>
  <c r="U300" i="6"/>
  <c r="L300" i="6" s="1"/>
  <c r="U239" i="6"/>
  <c r="L239" i="6" s="1"/>
  <c r="U116" i="6"/>
  <c r="L116" i="6" s="1"/>
  <c r="U74" i="6"/>
  <c r="L74" i="6" s="1"/>
  <c r="U286" i="6"/>
  <c r="L286" i="6" s="1"/>
  <c r="U252" i="6"/>
  <c r="L252" i="6" s="1"/>
  <c r="U365" i="6"/>
  <c r="L365" i="6" s="1"/>
  <c r="U220" i="6"/>
  <c r="L220" i="6" s="1"/>
  <c r="U23" i="6"/>
  <c r="L23" i="6" s="1"/>
  <c r="U315" i="6"/>
  <c r="L315" i="6" s="1"/>
  <c r="U156" i="6"/>
  <c r="L156" i="6" s="1"/>
  <c r="U91" i="6"/>
  <c r="L91" i="6" s="1"/>
  <c r="U33" i="6"/>
  <c r="L33" i="6" s="1"/>
  <c r="U346" i="6"/>
  <c r="L346" i="6" s="1"/>
  <c r="U60" i="6"/>
  <c r="L60" i="6" s="1"/>
  <c r="U306" i="6"/>
  <c r="L306" i="6" s="1"/>
  <c r="U12" i="6"/>
  <c r="L12" i="6" s="1"/>
  <c r="U35" i="6"/>
  <c r="L35" i="6" s="1"/>
  <c r="U382" i="6"/>
  <c r="L382" i="6" s="1"/>
  <c r="U81" i="6"/>
  <c r="L81" i="6" s="1"/>
  <c r="U342" i="6"/>
  <c r="L342" i="6" s="1"/>
  <c r="U163" i="6"/>
  <c r="L163" i="6" s="1"/>
  <c r="U335" i="6"/>
  <c r="L335" i="6" s="1"/>
  <c r="U111" i="6"/>
  <c r="L111" i="6" s="1"/>
  <c r="U267" i="6"/>
  <c r="L267" i="6" s="1"/>
  <c r="U64" i="6"/>
  <c r="L64" i="6" s="1"/>
  <c r="U106" i="6"/>
  <c r="L106" i="6" s="1"/>
  <c r="U314" i="6"/>
  <c r="L314" i="6" s="1"/>
  <c r="U222" i="6"/>
  <c r="L222" i="6" s="1"/>
  <c r="U90" i="6"/>
  <c r="L90" i="6" s="1"/>
  <c r="U374" i="6"/>
  <c r="L374" i="6" s="1"/>
  <c r="U186" i="6"/>
  <c r="L186" i="6" s="1"/>
  <c r="U18" i="6"/>
  <c r="L18" i="6" s="1"/>
  <c r="U51" i="6"/>
  <c r="L51" i="6" s="1"/>
  <c r="U137" i="6"/>
  <c r="L137" i="6" s="1"/>
  <c r="U93" i="6"/>
  <c r="L93" i="6" s="1"/>
  <c r="U43" i="6"/>
  <c r="L43" i="6" s="1"/>
  <c r="U332" i="6"/>
  <c r="L332" i="6" s="1"/>
  <c r="U122" i="6"/>
  <c r="L122" i="6" s="1"/>
  <c r="U165" i="6"/>
  <c r="L165" i="6" s="1"/>
  <c r="U99" i="6"/>
  <c r="L99" i="6" s="1"/>
  <c r="U287" i="6"/>
  <c r="L287" i="6" s="1"/>
  <c r="U225" i="6"/>
  <c r="L225" i="6" s="1"/>
  <c r="U243" i="6"/>
  <c r="L243" i="6" s="1"/>
  <c r="U45" i="6"/>
  <c r="L45" i="6" s="1"/>
  <c r="U304" i="6"/>
  <c r="L304" i="6" s="1"/>
  <c r="Q195" i="2"/>
  <c r="Q197" i="2" s="1"/>
  <c r="U326" i="6"/>
  <c r="L326" i="6" s="1"/>
  <c r="U118" i="6"/>
  <c r="L118" i="6" s="1"/>
  <c r="U56" i="6"/>
  <c r="L56" i="6" s="1"/>
  <c r="U280" i="6"/>
  <c r="L280" i="6" s="1"/>
  <c r="U256" i="6"/>
  <c r="L256" i="6" s="1"/>
  <c r="U295" i="6"/>
  <c r="L295" i="6" s="1"/>
  <c r="U277" i="6"/>
  <c r="L277" i="6" s="1"/>
  <c r="U205" i="6"/>
  <c r="L205" i="6" s="1"/>
  <c r="U59" i="6"/>
  <c r="L59" i="6" s="1"/>
  <c r="U357" i="6"/>
  <c r="L357" i="6" s="1"/>
  <c r="U348" i="6"/>
  <c r="L348" i="6" s="1"/>
  <c r="U203" i="6"/>
  <c r="L203" i="6" s="1"/>
  <c r="U400" i="6"/>
  <c r="L400" i="6" s="1"/>
  <c r="U301" i="6"/>
  <c r="L301" i="6" s="1"/>
  <c r="U124" i="6"/>
  <c r="L124" i="6" s="1"/>
  <c r="U100" i="6"/>
  <c r="L100" i="6" s="1"/>
  <c r="U386" i="6"/>
  <c r="L386" i="6" s="1"/>
  <c r="U313" i="6"/>
  <c r="L313" i="6" s="1"/>
  <c r="U403" i="6"/>
  <c r="L403" i="6" s="1"/>
  <c r="U206" i="6"/>
  <c r="L206" i="6" s="1"/>
  <c r="U22" i="6"/>
  <c r="L22" i="6" s="1"/>
  <c r="U387" i="6"/>
  <c r="L387" i="6" s="1"/>
  <c r="U9" i="6"/>
  <c r="L9" i="6" s="1"/>
  <c r="U204" i="6"/>
  <c r="L204" i="6" s="1"/>
  <c r="U318" i="6"/>
  <c r="L318" i="6" s="1"/>
  <c r="U169" i="6"/>
  <c r="L169" i="6" s="1"/>
  <c r="U19" i="6"/>
  <c r="L19" i="6" s="1"/>
  <c r="U397" i="6"/>
  <c r="L397" i="6" s="1"/>
  <c r="U219" i="6"/>
  <c r="L219" i="6" s="1"/>
  <c r="U255" i="6"/>
  <c r="L255" i="6" s="1"/>
  <c r="U129" i="6"/>
  <c r="L129" i="6" s="1"/>
  <c r="U153" i="6"/>
  <c r="L153" i="6" s="1"/>
  <c r="U268" i="6"/>
  <c r="L268" i="6" s="1"/>
  <c r="U158" i="6"/>
  <c r="L158" i="6" s="1"/>
  <c r="U36" i="6"/>
  <c r="L36" i="6" s="1"/>
  <c r="U388" i="6"/>
  <c r="L388" i="6" s="1"/>
  <c r="U281" i="6"/>
  <c r="L281" i="6" s="1"/>
  <c r="U370" i="6"/>
  <c r="L370" i="6" s="1"/>
  <c r="U296" i="6"/>
  <c r="L296" i="6" s="1"/>
  <c r="U241" i="6"/>
  <c r="L241" i="6" s="1"/>
  <c r="U119" i="6"/>
  <c r="L119" i="6" s="1"/>
  <c r="U117" i="6"/>
  <c r="L117" i="6" s="1"/>
  <c r="U231" i="6"/>
  <c r="L231" i="6" s="1"/>
  <c r="U40" i="6"/>
  <c r="L40" i="6" s="1"/>
  <c r="U108" i="6"/>
  <c r="L108" i="6" s="1"/>
  <c r="U351" i="6"/>
  <c r="L351" i="6" s="1"/>
  <c r="U229" i="6"/>
  <c r="L229" i="6" s="1"/>
  <c r="U311" i="6"/>
  <c r="L311" i="6" s="1"/>
  <c r="U309" i="6"/>
  <c r="L309" i="6" s="1"/>
  <c r="U258" i="6"/>
  <c r="L258" i="6" s="1"/>
  <c r="U3" i="6"/>
  <c r="L3" i="6" s="1"/>
  <c r="U278" i="6"/>
  <c r="L278" i="6" s="1"/>
  <c r="U253" i="6"/>
  <c r="L253" i="6" s="1"/>
  <c r="U179" i="6"/>
  <c r="L179" i="6" s="1"/>
  <c r="U92" i="6"/>
  <c r="L92" i="6" s="1"/>
  <c r="U345" i="6"/>
  <c r="L345" i="6" s="1"/>
  <c r="U336" i="6"/>
  <c r="L336" i="6" s="1"/>
  <c r="U191" i="6"/>
  <c r="L191" i="6" s="1"/>
  <c r="U245" i="6"/>
  <c r="L245" i="6" s="1"/>
  <c r="U244" i="6"/>
  <c r="L244" i="6" s="1"/>
  <c r="U10" i="6"/>
  <c r="L10" i="6" s="1"/>
  <c r="U355" i="6"/>
  <c r="L355" i="6" s="1"/>
  <c r="U246" i="6"/>
  <c r="L246" i="6" s="1"/>
  <c r="U389" i="6"/>
  <c r="L389" i="6" s="1"/>
  <c r="U194" i="6"/>
  <c r="L194" i="6" s="1"/>
  <c r="U83" i="6"/>
  <c r="L83" i="6" s="1"/>
  <c r="U271" i="6"/>
  <c r="L271" i="6" s="1"/>
  <c r="U178" i="6"/>
  <c r="L178" i="6" s="1"/>
  <c r="U302" i="6"/>
  <c r="L302" i="6" s="1"/>
  <c r="U269" i="6"/>
  <c r="L269" i="6" s="1"/>
  <c r="U6" i="6"/>
  <c r="L6" i="6" s="1"/>
  <c r="U37" i="6"/>
  <c r="L37" i="6" s="1"/>
  <c r="U383" i="6"/>
  <c r="L383" i="6" s="1"/>
  <c r="U202" i="6"/>
  <c r="L202" i="6" s="1"/>
  <c r="U240" i="6"/>
  <c r="L240" i="6" s="1"/>
  <c r="U107" i="6"/>
  <c r="L107" i="6" s="1"/>
  <c r="U11" i="6"/>
  <c r="L11" i="6" s="1"/>
  <c r="U217" i="6"/>
  <c r="L217" i="6" s="1"/>
  <c r="U82" i="6"/>
  <c r="L82" i="6" s="1"/>
  <c r="U127" i="6"/>
  <c r="L127" i="6" s="1"/>
  <c r="U139" i="6"/>
  <c r="L139" i="6" s="1"/>
  <c r="U46" i="6"/>
  <c r="L46" i="6" s="1"/>
  <c r="U372" i="6"/>
  <c r="L372" i="6" s="1"/>
  <c r="U28" i="6"/>
  <c r="L28" i="6" s="1"/>
  <c r="U341" i="6"/>
  <c r="L341" i="6" s="1"/>
  <c r="U279" i="6"/>
  <c r="L279" i="6" s="1"/>
  <c r="U125" i="6"/>
  <c r="L125" i="6" s="1"/>
  <c r="U7" i="6"/>
  <c r="L7" i="6" s="1"/>
  <c r="U375" i="6"/>
  <c r="L375" i="6" s="1"/>
  <c r="U216" i="6"/>
  <c r="L216" i="6" s="1"/>
  <c r="U396" i="6"/>
  <c r="L396" i="6" s="1"/>
  <c r="U223" i="6"/>
  <c r="L223" i="6" s="1"/>
  <c r="U14" i="6"/>
  <c r="L14" i="6" s="1"/>
  <c r="U32" i="6"/>
  <c r="L32" i="6" s="1"/>
  <c r="U290" i="6"/>
  <c r="L290" i="6" s="1"/>
  <c r="U406" i="6"/>
  <c r="L406" i="6" s="1"/>
  <c r="U369" i="6"/>
  <c r="L369" i="6" s="1"/>
  <c r="U395" i="6"/>
  <c r="L395" i="6" s="1"/>
  <c r="U329" i="6"/>
  <c r="L329" i="6" s="1"/>
  <c r="U317" i="6"/>
  <c r="L317" i="6" s="1"/>
  <c r="U159" i="6"/>
  <c r="L159" i="6" s="1"/>
  <c r="U131" i="6"/>
  <c r="L131" i="6" s="1"/>
  <c r="U343" i="6"/>
  <c r="L343" i="6" s="1"/>
  <c r="U233" i="6"/>
  <c r="L233" i="6" s="1"/>
  <c r="U264" i="6"/>
  <c r="L264" i="6" s="1"/>
  <c r="U322" i="6"/>
  <c r="L322" i="6" s="1"/>
  <c r="U230" i="6"/>
  <c r="L230" i="6" s="1"/>
  <c r="U263" i="6"/>
  <c r="L263" i="6" s="1"/>
  <c r="U25" i="6"/>
  <c r="L25" i="6" s="1"/>
  <c r="U356" i="6"/>
  <c r="L356" i="6" s="1"/>
  <c r="U180" i="6"/>
  <c r="L180" i="6" s="1"/>
  <c r="U199" i="6"/>
  <c r="L199" i="6" s="1"/>
  <c r="U73" i="6"/>
  <c r="L73" i="6" s="1"/>
  <c r="U401" i="6"/>
  <c r="L401" i="6" s="1"/>
  <c r="U132" i="6"/>
  <c r="L132" i="6" s="1"/>
  <c r="U285" i="6"/>
  <c r="L285" i="6" s="1"/>
  <c r="U226" i="6"/>
  <c r="L226" i="6" s="1"/>
  <c r="U24" i="6"/>
  <c r="L24" i="6" s="1"/>
  <c r="U392" i="6"/>
  <c r="L392" i="6" s="1"/>
  <c r="U188" i="6"/>
  <c r="L188" i="6" s="1"/>
  <c r="U224" i="6"/>
  <c r="L224" i="6" s="1"/>
  <c r="U161" i="6"/>
  <c r="L161" i="6" s="1"/>
  <c r="U29" i="6"/>
  <c r="L29" i="6" s="1"/>
  <c r="U200" i="6"/>
  <c r="L200" i="6" s="1"/>
  <c r="U103" i="6"/>
  <c r="L103" i="6" s="1"/>
  <c r="U101" i="6"/>
  <c r="L101" i="6" s="1"/>
  <c r="U312" i="6"/>
  <c r="L312" i="6" s="1"/>
  <c r="U126" i="6"/>
  <c r="L126" i="6" s="1"/>
  <c r="U72" i="6"/>
  <c r="L72" i="6" s="1"/>
  <c r="U327" i="6"/>
  <c r="L327" i="6" s="1"/>
  <c r="U38" i="6"/>
  <c r="L38" i="6" s="1"/>
  <c r="U308" i="6"/>
  <c r="L308" i="6" s="1"/>
  <c r="U20" i="6"/>
  <c r="L20" i="6" s="1"/>
  <c r="U96" i="6"/>
  <c r="L96" i="6" s="1"/>
  <c r="U185" i="6"/>
  <c r="L185" i="6" s="1"/>
  <c r="U270" i="6"/>
  <c r="L270" i="6" s="1"/>
  <c r="U27" i="6"/>
  <c r="L27" i="6" s="1"/>
  <c r="U47" i="6"/>
  <c r="L47" i="6" s="1"/>
  <c r="U242" i="6"/>
  <c r="L242" i="6" s="1"/>
  <c r="U352" i="6"/>
  <c r="L352" i="6" s="1"/>
  <c r="U16" i="6"/>
  <c r="L16" i="6" s="1"/>
  <c r="U367" i="6"/>
  <c r="L367" i="6" s="1"/>
  <c r="U172" i="6"/>
  <c r="L172" i="6" s="1"/>
  <c r="U155" i="6"/>
  <c r="L155" i="6" s="1"/>
  <c r="U293" i="6"/>
  <c r="L293" i="6" s="1"/>
  <c r="U303" i="6"/>
  <c r="L303" i="6" s="1"/>
  <c r="U273" i="6"/>
  <c r="L273" i="6" s="1"/>
  <c r="U77" i="6"/>
  <c r="L77" i="6" s="1"/>
  <c r="U250" i="6"/>
  <c r="L250" i="6" s="1"/>
  <c r="U275" i="6"/>
  <c r="L275" i="6" s="1"/>
  <c r="U88" i="6"/>
  <c r="L88" i="6" s="1"/>
  <c r="U247" i="6"/>
  <c r="L247" i="6" s="1"/>
  <c r="U218" i="6"/>
  <c r="L218" i="6" s="1"/>
  <c r="U344" i="6"/>
  <c r="L344" i="6" s="1"/>
  <c r="U166" i="6"/>
  <c r="L166" i="6" s="1"/>
  <c r="U63" i="6"/>
  <c r="L63" i="6" s="1"/>
  <c r="U251" i="6"/>
  <c r="L251" i="6" s="1"/>
  <c r="U183" i="6"/>
  <c r="L183" i="6" s="1"/>
  <c r="U89" i="6"/>
  <c r="L89" i="6" s="1"/>
  <c r="U408" i="6"/>
  <c r="L408" i="6" s="1"/>
  <c r="U399" i="6"/>
  <c r="L399" i="6" s="1"/>
  <c r="U259" i="6"/>
  <c r="L259" i="6" s="1"/>
  <c r="U212" i="6"/>
  <c r="L212" i="6" s="1"/>
  <c r="U42" i="6"/>
  <c r="L42" i="6" s="1"/>
  <c r="U378" i="6"/>
  <c r="L378" i="6" s="1"/>
  <c r="U321" i="6"/>
  <c r="L321" i="6" s="1"/>
  <c r="U174" i="6"/>
  <c r="L174" i="6" s="1"/>
  <c r="U207" i="6"/>
  <c r="L207" i="6" s="1"/>
  <c r="U34" i="6"/>
  <c r="L34" i="6" s="1"/>
  <c r="U39" i="6"/>
  <c r="L39" i="6" s="1"/>
  <c r="U21" i="6"/>
  <c r="L21" i="6" s="1"/>
  <c r="U248" i="6"/>
  <c r="L248" i="6" s="1"/>
  <c r="U62" i="6"/>
  <c r="L62" i="6" s="1"/>
  <c r="U310" i="6"/>
  <c r="L310" i="6" s="1"/>
  <c r="U266" i="6"/>
  <c r="L266" i="6" s="1"/>
  <c r="U65" i="6"/>
  <c r="L65" i="6" s="1"/>
  <c r="U289" i="6"/>
  <c r="L289" i="6" s="1"/>
  <c r="U30" i="6"/>
  <c r="L30" i="6" s="1"/>
  <c r="U398" i="6"/>
  <c r="L398" i="6" s="1"/>
  <c r="U152" i="6"/>
  <c r="L152" i="6" s="1"/>
  <c r="U78" i="6"/>
  <c r="L78" i="6" s="1"/>
  <c r="U138" i="6"/>
  <c r="L138" i="6" s="1"/>
  <c r="U110" i="6"/>
  <c r="L110" i="6" s="1"/>
  <c r="U320" i="6"/>
  <c r="L320" i="6" s="1"/>
  <c r="U292" i="6"/>
  <c r="L292" i="6" s="1"/>
  <c r="U385" i="6"/>
  <c r="L385" i="6" s="1"/>
  <c r="U221" i="6"/>
  <c r="L221" i="6" s="1"/>
  <c r="U52" i="6"/>
  <c r="L52" i="6" s="1"/>
  <c r="U49" i="6"/>
  <c r="L49" i="6" s="1"/>
  <c r="U350" i="6"/>
  <c r="L350" i="6" s="1"/>
  <c r="U160" i="6"/>
  <c r="L160" i="6" s="1"/>
  <c r="U105" i="6"/>
  <c r="L105" i="6" s="1"/>
  <c r="U407" i="6"/>
  <c r="L407" i="6" s="1"/>
  <c r="U232" i="6"/>
  <c r="L232" i="6" s="1"/>
  <c r="U67" i="6"/>
  <c r="L67" i="6" s="1"/>
  <c r="U291" i="6"/>
  <c r="L291" i="6" s="1"/>
  <c r="U213" i="6"/>
  <c r="L213" i="6" s="1"/>
  <c r="U201" i="6"/>
  <c r="L201" i="6" s="1"/>
  <c r="U157" i="6"/>
  <c r="L157" i="6" s="1"/>
  <c r="U211" i="6"/>
  <c r="L211" i="6" s="1"/>
  <c r="U187" i="6"/>
  <c r="L187" i="6" s="1"/>
  <c r="U48" i="6"/>
  <c r="L48" i="6" s="1"/>
  <c r="U330" i="6"/>
  <c r="L330" i="6" s="1"/>
  <c r="U135" i="6"/>
  <c r="L135" i="6" s="1"/>
  <c r="U150" i="6"/>
  <c r="L150" i="6" s="1"/>
  <c r="U102" i="6"/>
  <c r="L102" i="6" s="1"/>
  <c r="U4" i="6"/>
  <c r="L4" i="6" s="1"/>
  <c r="U328" i="6"/>
  <c r="L328" i="6" s="1"/>
  <c r="U164" i="6"/>
  <c r="L164" i="6" s="1"/>
  <c r="U394" i="6"/>
  <c r="L394" i="6" s="1"/>
  <c r="U190" i="6"/>
  <c r="L190" i="6" s="1"/>
  <c r="U195" i="6"/>
  <c r="L195" i="6" s="1"/>
  <c r="U97" i="6"/>
  <c r="L97" i="6" s="1"/>
  <c r="U364" i="6"/>
  <c r="L364" i="6" s="1"/>
  <c r="U307" i="6"/>
  <c r="L307" i="6" s="1"/>
  <c r="U162" i="6"/>
  <c r="L162" i="6" s="1"/>
  <c r="U193" i="6"/>
  <c r="L193" i="6" s="1"/>
  <c r="U151" i="6"/>
  <c r="L151" i="6" s="1"/>
  <c r="U404" i="6"/>
  <c r="L404" i="6" s="1"/>
  <c r="U338" i="6"/>
  <c r="L338" i="6" s="1"/>
  <c r="U31" i="6"/>
  <c r="L31" i="6" s="1"/>
  <c r="U265" i="6"/>
  <c r="L265" i="6" s="1"/>
  <c r="U98" i="6"/>
  <c r="L98" i="6" s="1"/>
  <c r="U57" i="6"/>
  <c r="L57" i="6" s="1"/>
  <c r="U391" i="6"/>
  <c r="L391" i="6" s="1"/>
  <c r="U189" i="6"/>
  <c r="L189" i="6" s="1"/>
  <c r="U94" i="6"/>
  <c r="L94" i="6" s="1"/>
  <c r="U405" i="6"/>
  <c r="L405" i="6" s="1"/>
  <c r="U175" i="6"/>
  <c r="L175" i="6" s="1"/>
  <c r="U384" i="6"/>
  <c r="L384" i="6" s="1"/>
  <c r="U58" i="6"/>
  <c r="L58" i="6" s="1"/>
  <c r="U260" i="6"/>
  <c r="L260" i="6" s="1"/>
  <c r="U192" i="6"/>
  <c r="L192" i="6" s="1"/>
  <c r="U380" i="6"/>
  <c r="L380" i="6" s="1"/>
  <c r="U371" i="6"/>
  <c r="L371" i="6" s="1"/>
  <c r="U333" i="6"/>
  <c r="L333" i="6" s="1"/>
  <c r="U143" i="6"/>
  <c r="L143" i="6" s="1"/>
  <c r="U79" i="6"/>
  <c r="L79" i="6" s="1"/>
  <c r="U376" i="6"/>
  <c r="L376" i="6" s="1"/>
  <c r="U319" i="6"/>
  <c r="L319" i="6" s="1"/>
  <c r="U141" i="6"/>
  <c r="L141" i="6" s="1"/>
  <c r="U8" i="6"/>
  <c r="L8" i="6" s="1"/>
  <c r="U41" i="6"/>
  <c r="L41" i="6" s="1"/>
  <c r="U393" i="6"/>
  <c r="L393" i="6" s="1"/>
  <c r="U249" i="6"/>
  <c r="L249" i="6" s="1"/>
  <c r="U104" i="6"/>
  <c r="L104" i="6" s="1"/>
  <c r="U379" i="6"/>
  <c r="L379" i="6" s="1"/>
  <c r="U196" i="6"/>
  <c r="L196" i="6" s="1"/>
  <c r="U177" i="6"/>
  <c r="L177" i="6" s="1"/>
  <c r="U5" i="6"/>
  <c r="L5" i="6" s="1"/>
  <c r="U182" i="6"/>
  <c r="L182" i="6" s="1"/>
  <c r="U123" i="6"/>
  <c r="L123" i="6" s="1"/>
  <c r="U115" i="6"/>
  <c r="L115" i="6" s="1"/>
  <c r="U368" i="6"/>
  <c r="L368" i="6" s="1"/>
  <c r="U294" i="6"/>
  <c r="L294" i="6" s="1"/>
  <c r="U120" i="6"/>
  <c r="L120" i="6" s="1"/>
  <c r="U113" i="6"/>
  <c r="L113" i="6" s="1"/>
  <c r="U197" i="6"/>
  <c r="L197" i="6" s="1"/>
  <c r="U373" i="6"/>
  <c r="L373" i="6" s="1"/>
  <c r="U71" i="6"/>
  <c r="L71" i="6" s="1"/>
  <c r="U214" i="6"/>
  <c r="L214" i="6" s="1"/>
  <c r="U366" i="6"/>
  <c r="L366" i="6" s="1"/>
  <c r="U176" i="6"/>
  <c r="L176" i="6" s="1"/>
  <c r="U181" i="6"/>
  <c r="L181" i="6" s="1"/>
  <c r="U61" i="6"/>
  <c r="L61" i="6" s="1"/>
  <c r="U288" i="6"/>
  <c r="L288" i="6" s="1"/>
  <c r="U171" i="6"/>
  <c r="L171" i="6" s="1"/>
  <c r="U69" i="6"/>
  <c r="L69" i="6" s="1"/>
  <c r="U359" i="6"/>
  <c r="L359" i="6" s="1"/>
  <c r="U276" i="6"/>
  <c r="L276" i="6" s="1"/>
  <c r="U215" i="6"/>
  <c r="L215" i="6" s="1"/>
  <c r="U136" i="6"/>
  <c r="L136" i="6" s="1"/>
  <c r="U134" i="6"/>
  <c r="L134" i="6" s="1"/>
  <c r="U360" i="6"/>
  <c r="L360" i="6" s="1"/>
  <c r="U184" i="6"/>
  <c r="L184" i="6" s="1"/>
  <c r="U140" i="6"/>
  <c r="L140" i="6" s="1"/>
  <c r="U377" i="6"/>
  <c r="L377" i="6" s="1"/>
  <c r="U353" i="6"/>
  <c r="L353" i="6" s="1"/>
  <c r="U254" i="6"/>
  <c r="L254" i="6" s="1"/>
  <c r="U114" i="6"/>
  <c r="L114" i="6" s="1"/>
  <c r="U50" i="6"/>
  <c r="L50" i="6" s="1"/>
  <c r="U262" i="6"/>
  <c r="L262" i="6" s="1"/>
  <c r="U272" i="6"/>
  <c r="L272" i="6" s="1"/>
  <c r="U354" i="6"/>
  <c r="L354" i="6" s="1"/>
  <c r="U76" i="6"/>
  <c r="L76" i="6" s="1"/>
  <c r="U121" i="6"/>
  <c r="L121" i="6" s="1"/>
  <c r="U316" i="6"/>
  <c r="L316" i="6" s="1"/>
  <c r="U128" i="6"/>
  <c r="L128" i="6" s="1"/>
  <c r="U347" i="6"/>
  <c r="L347" i="6" s="1"/>
  <c r="U305" i="6"/>
  <c r="L305" i="6" s="1"/>
  <c r="U235" i="6"/>
  <c r="L235" i="6" s="1"/>
  <c r="U26" i="6"/>
  <c r="L26" i="6" s="1"/>
  <c r="U402" i="6"/>
  <c r="L402" i="6" s="1"/>
  <c r="U381" i="6"/>
  <c r="L381" i="6" s="1"/>
  <c r="U234" i="6"/>
  <c r="L234" i="6" s="1"/>
  <c r="U13" i="6"/>
  <c r="L13" i="6" s="1"/>
  <c r="U80" i="6"/>
  <c r="L80" i="6" s="1"/>
  <c r="U15" i="6"/>
  <c r="L15" i="6" s="1"/>
  <c r="U358" i="6"/>
  <c r="L358" i="6" s="1"/>
  <c r="U168" i="6"/>
  <c r="L168" i="6" s="1"/>
  <c r="U70" i="6"/>
  <c r="L70" i="6" s="1"/>
  <c r="U75" i="6"/>
  <c r="L75" i="6" s="1"/>
  <c r="U339" i="6"/>
  <c r="L339" i="6" s="1"/>
  <c r="U227" i="6"/>
  <c r="L227" i="6" s="1"/>
  <c r="U95" i="6"/>
  <c r="L95" i="6" s="1"/>
  <c r="U257" i="6"/>
  <c r="L257" i="6" s="1"/>
  <c r="U337" i="6"/>
  <c r="L337" i="6" s="1"/>
  <c r="U68" i="6"/>
  <c r="L68" i="6" s="1"/>
  <c r="U149" i="6"/>
  <c r="L149" i="6" s="1"/>
  <c r="E130" i="2"/>
  <c r="E154" i="2"/>
  <c r="E127" i="2"/>
  <c r="E161" i="2"/>
  <c r="E156" i="2"/>
  <c r="E144" i="2"/>
  <c r="E138" i="2"/>
  <c r="E153" i="2"/>
  <c r="E120" i="2"/>
  <c r="E145" i="2"/>
  <c r="E129" i="2"/>
  <c r="E111" i="2"/>
  <c r="E157" i="2"/>
  <c r="E123" i="2"/>
  <c r="E149" i="2"/>
  <c r="E136" i="2"/>
  <c r="E132" i="2"/>
  <c r="E112" i="2"/>
  <c r="E155" i="2"/>
  <c r="E143" i="2"/>
  <c r="E115" i="2"/>
  <c r="E109" i="2"/>
  <c r="E133" i="2"/>
  <c r="E108" i="2"/>
  <c r="E124" i="2"/>
  <c r="E118" i="2"/>
  <c r="E162" i="2"/>
  <c r="E146" i="2"/>
  <c r="E148" i="2"/>
  <c r="E113" i="2"/>
  <c r="E114" i="2"/>
  <c r="E160" i="2"/>
  <c r="E134" i="2"/>
  <c r="E147" i="2"/>
  <c r="E110" i="2"/>
  <c r="E159" i="2"/>
  <c r="E150" i="2"/>
  <c r="E151" i="2"/>
  <c r="E122" i="2"/>
  <c r="E152" i="2"/>
  <c r="E119" i="2"/>
  <c r="E116" i="2"/>
  <c r="E158" i="2"/>
  <c r="E142" i="2"/>
  <c r="E121" i="2"/>
  <c r="E128" i="2"/>
  <c r="E137" i="2"/>
  <c r="E126" i="2"/>
  <c r="E117" i="2"/>
  <c r="E141" i="2"/>
  <c r="E139" i="2"/>
  <c r="E125" i="2"/>
  <c r="E131" i="2"/>
  <c r="E140" i="2"/>
  <c r="E135" i="2"/>
  <c r="E32" i="2"/>
  <c r="E48" i="2"/>
  <c r="E27" i="2"/>
  <c r="E39" i="2"/>
  <c r="E61" i="2"/>
  <c r="E57" i="2"/>
  <c r="E34" i="2"/>
  <c r="E29" i="2"/>
  <c r="E55" i="2"/>
  <c r="E53" i="2"/>
  <c r="E60" i="2"/>
  <c r="E42" i="2"/>
  <c r="E59" i="2"/>
  <c r="E26" i="2"/>
  <c r="E66" i="2"/>
  <c r="E58" i="2"/>
  <c r="E64" i="2"/>
  <c r="E25" i="2"/>
  <c r="E70" i="2"/>
  <c r="E73" i="2"/>
  <c r="E36" i="2"/>
  <c r="E35" i="2"/>
  <c r="E47" i="2"/>
  <c r="E71" i="2"/>
  <c r="E31" i="2"/>
  <c r="E37" i="2"/>
  <c r="E63" i="2"/>
  <c r="E52" i="2"/>
  <c r="E65" i="2"/>
  <c r="E67" i="2"/>
  <c r="E30" i="2"/>
  <c r="E40" i="2"/>
  <c r="E28" i="2"/>
  <c r="E45" i="2"/>
  <c r="E41" i="2"/>
  <c r="E74" i="2"/>
  <c r="E49" i="2"/>
  <c r="E56" i="2"/>
  <c r="E43" i="2"/>
  <c r="E72" i="2"/>
  <c r="E44" i="2"/>
  <c r="E54" i="2"/>
  <c r="E68" i="2"/>
  <c r="E69" i="2"/>
  <c r="E62" i="2"/>
  <c r="E51" i="2"/>
  <c r="E50" i="2"/>
  <c r="E46" i="2"/>
  <c r="E38" i="2"/>
  <c r="E33" i="2"/>
  <c r="S302" i="2" l="1"/>
  <c r="S163" i="2"/>
  <c r="S153" i="2"/>
  <c r="S155" i="2"/>
  <c r="S152" i="2"/>
  <c r="R186" i="2"/>
  <c r="R277" i="2"/>
  <c r="R218" i="2"/>
  <c r="S144" i="2"/>
  <c r="R211" i="2"/>
  <c r="S159" i="2"/>
  <c r="S149" i="2"/>
  <c r="Q392" i="2"/>
  <c r="M312" i="2"/>
  <c r="M302" i="2"/>
  <c r="M303" i="2"/>
  <c r="M301" i="2"/>
  <c r="M308" i="2"/>
  <c r="M307" i="2"/>
  <c r="M311" i="2"/>
  <c r="M306" i="2"/>
  <c r="M305" i="2"/>
  <c r="M304" i="2"/>
  <c r="M309" i="2"/>
  <c r="M310" i="2"/>
  <c r="M132" i="2"/>
  <c r="M135" i="2"/>
  <c r="M138" i="2"/>
  <c r="M155" i="2"/>
  <c r="M147" i="2"/>
  <c r="M159" i="2"/>
  <c r="M125" i="2"/>
  <c r="M131" i="2"/>
  <c r="M140" i="2"/>
  <c r="M144" i="2"/>
  <c r="M113" i="2"/>
  <c r="M130" i="2"/>
  <c r="M162" i="2"/>
  <c r="M153" i="2"/>
  <c r="M109" i="2"/>
  <c r="M124" i="2"/>
  <c r="M128" i="2"/>
  <c r="M151" i="2"/>
  <c r="M137" i="2"/>
  <c r="M126" i="2"/>
  <c r="M158" i="2"/>
  <c r="M121" i="2"/>
  <c r="M108" i="2"/>
  <c r="M122" i="2"/>
  <c r="M157" i="2"/>
  <c r="M111" i="2"/>
  <c r="M142" i="2"/>
  <c r="M136" i="2"/>
  <c r="M118" i="2"/>
  <c r="M112" i="2"/>
  <c r="M161" i="2"/>
  <c r="M120" i="2"/>
  <c r="M116" i="2"/>
  <c r="M114" i="2"/>
  <c r="M133" i="2"/>
  <c r="M156" i="2"/>
  <c r="M139" i="2"/>
  <c r="M146" i="2"/>
  <c r="M123" i="2"/>
  <c r="M148" i="2"/>
  <c r="M127" i="2"/>
  <c r="M117" i="2"/>
  <c r="M134" i="2"/>
  <c r="M129" i="2"/>
  <c r="M141" i="2"/>
  <c r="M110" i="2"/>
  <c r="M154" i="2"/>
  <c r="M149" i="2"/>
  <c r="M152" i="2"/>
  <c r="M143" i="2"/>
  <c r="M119" i="2"/>
  <c r="M145" i="2"/>
  <c r="M115" i="2"/>
  <c r="M160" i="2"/>
  <c r="M150" i="2"/>
  <c r="M62" i="2"/>
  <c r="M41" i="2"/>
  <c r="M68" i="2"/>
  <c r="M61" i="2"/>
  <c r="M45" i="2"/>
  <c r="M28" i="2"/>
  <c r="M72" i="2"/>
  <c r="M71" i="2"/>
  <c r="M58" i="2"/>
  <c r="M48" i="2"/>
  <c r="M29" i="2"/>
  <c r="M49" i="2"/>
  <c r="M47" i="2"/>
  <c r="M66" i="2"/>
  <c r="M32" i="2"/>
  <c r="M59" i="2"/>
  <c r="M69" i="2"/>
  <c r="M31" i="2"/>
  <c r="M26" i="2"/>
  <c r="M44" i="2"/>
  <c r="M54" i="2"/>
  <c r="M56" i="2"/>
  <c r="M64" i="2"/>
  <c r="M51" i="2"/>
  <c r="M34" i="2"/>
  <c r="M38" i="2"/>
  <c r="M67" i="2"/>
  <c r="M42" i="2"/>
  <c r="M53" i="2"/>
  <c r="M33" i="2"/>
  <c r="M70" i="2"/>
  <c r="M52" i="2"/>
  <c r="M63" i="2"/>
  <c r="M73" i="2"/>
  <c r="M36" i="2"/>
  <c r="M30" i="2"/>
  <c r="M27" i="2"/>
  <c r="M60" i="2"/>
  <c r="M37" i="2"/>
  <c r="M50" i="2"/>
  <c r="M74" i="2"/>
  <c r="M46" i="2"/>
  <c r="M55" i="2"/>
  <c r="M35" i="2"/>
  <c r="M57" i="2"/>
  <c r="M25" i="2"/>
  <c r="M40" i="2"/>
  <c r="M65" i="2"/>
  <c r="M39" i="2"/>
  <c r="M334" i="2"/>
  <c r="M319" i="2"/>
  <c r="M316" i="2"/>
  <c r="M326" i="2"/>
  <c r="M317" i="2"/>
  <c r="M323" i="2"/>
  <c r="M333" i="2"/>
  <c r="M328" i="2"/>
  <c r="M318" i="2"/>
  <c r="M330" i="2"/>
  <c r="M324" i="2"/>
  <c r="M322" i="2"/>
  <c r="M315" i="2"/>
  <c r="M336" i="2"/>
  <c r="M335" i="2"/>
  <c r="M321" i="2"/>
  <c r="M329" i="2"/>
  <c r="M331" i="2"/>
  <c r="M337" i="2"/>
  <c r="M320" i="2"/>
  <c r="M327" i="2"/>
  <c r="M332" i="2"/>
  <c r="M325" i="2"/>
  <c r="M190" i="2"/>
  <c r="P22" i="28" s="1"/>
  <c r="M225" i="2"/>
  <c r="P29" i="28" s="1"/>
  <c r="M217" i="2"/>
  <c r="P28" i="28" s="1"/>
  <c r="M184" i="2"/>
  <c r="P18" i="28" s="1"/>
  <c r="M186" i="2"/>
  <c r="M198" i="2"/>
  <c r="M204" i="2"/>
  <c r="M196" i="2"/>
  <c r="M224" i="2"/>
  <c r="M182" i="2"/>
  <c r="P16" i="28" s="1"/>
  <c r="M189" i="2"/>
  <c r="P21" i="28" s="1"/>
  <c r="M180" i="2"/>
  <c r="P14" i="28" s="1"/>
  <c r="M211" i="2"/>
  <c r="M206" i="2"/>
  <c r="M183" i="2"/>
  <c r="P17" i="28" s="1"/>
  <c r="M171" i="2"/>
  <c r="M176" i="2"/>
  <c r="M168" i="2"/>
  <c r="M197" i="2"/>
  <c r="M191" i="2"/>
  <c r="P23" i="28" s="1"/>
  <c r="M172" i="2"/>
  <c r="M215" i="2"/>
  <c r="M166" i="2"/>
  <c r="M193" i="2"/>
  <c r="M178" i="2"/>
  <c r="P13" i="28" s="1"/>
  <c r="M167" i="2"/>
  <c r="M194" i="2"/>
  <c r="M220" i="2"/>
  <c r="M170" i="2"/>
  <c r="M192" i="2"/>
  <c r="P24" i="28" s="1"/>
  <c r="M219" i="2"/>
  <c r="M218" i="2"/>
  <c r="M210" i="2"/>
  <c r="M177" i="2"/>
  <c r="M181" i="2"/>
  <c r="P15" i="28" s="1"/>
  <c r="M222" i="2"/>
  <c r="M216" i="2"/>
  <c r="M223" i="2"/>
  <c r="M212" i="2"/>
  <c r="M199" i="2"/>
  <c r="M209" i="2"/>
  <c r="M173" i="2"/>
  <c r="M203" i="2"/>
  <c r="P27" i="28" s="1"/>
  <c r="M165" i="2"/>
  <c r="M169" i="2"/>
  <c r="M202" i="2"/>
  <c r="M213" i="2"/>
  <c r="M175" i="2"/>
  <c r="M195" i="2"/>
  <c r="M205" i="2"/>
  <c r="M174" i="2"/>
  <c r="M188" i="2"/>
  <c r="M187" i="2"/>
  <c r="P20" i="28" s="1"/>
  <c r="M221" i="2"/>
  <c r="M179" i="2"/>
  <c r="M208" i="2"/>
  <c r="M87" i="2"/>
  <c r="M99" i="2"/>
  <c r="M84" i="2"/>
  <c r="M97" i="2"/>
  <c r="M104" i="2"/>
  <c r="M81" i="2"/>
  <c r="M82" i="2"/>
  <c r="M94" i="2"/>
  <c r="M86" i="2"/>
  <c r="M102" i="2"/>
  <c r="M79" i="2"/>
  <c r="M93" i="2"/>
  <c r="M88" i="2"/>
  <c r="M78" i="2"/>
  <c r="M91" i="2"/>
  <c r="M80" i="2"/>
  <c r="M90" i="2"/>
  <c r="M96" i="2"/>
  <c r="M103" i="2"/>
  <c r="M85" i="2"/>
  <c r="M77" i="2"/>
  <c r="M89" i="2"/>
  <c r="M101" i="2"/>
  <c r="M83" i="2"/>
  <c r="M100" i="2"/>
  <c r="M95" i="2"/>
  <c r="M105" i="2"/>
  <c r="M92" i="2"/>
  <c r="M98" i="2"/>
  <c r="M410" i="2"/>
  <c r="M384" i="2"/>
  <c r="M418" i="2"/>
  <c r="M366" i="2"/>
  <c r="M408" i="2"/>
  <c r="M392" i="2"/>
  <c r="M363" i="2"/>
  <c r="M403" i="2"/>
  <c r="M402" i="2"/>
  <c r="M409" i="2"/>
  <c r="M420" i="2"/>
  <c r="M360" i="2"/>
  <c r="M356" i="2"/>
  <c r="M389" i="2"/>
  <c r="M359" i="2"/>
  <c r="M421" i="2"/>
  <c r="M414" i="2"/>
  <c r="M374" i="2"/>
  <c r="M394" i="2"/>
  <c r="M377" i="2"/>
  <c r="M412" i="2"/>
  <c r="M380" i="2"/>
  <c r="M364" i="2"/>
  <c r="M345" i="2"/>
  <c r="M353" i="2"/>
  <c r="M407" i="2"/>
  <c r="M372" i="2"/>
  <c r="M367" i="2"/>
  <c r="M382" i="2"/>
  <c r="M399" i="2"/>
  <c r="M401" i="2"/>
  <c r="M416" i="2"/>
  <c r="M352" i="2"/>
  <c r="M413" i="2"/>
  <c r="M398" i="2"/>
  <c r="M386" i="2"/>
  <c r="M369" i="2"/>
  <c r="M378" i="2"/>
  <c r="M355" i="2"/>
  <c r="M348" i="2"/>
  <c r="M405" i="2"/>
  <c r="M388" i="2"/>
  <c r="M373" i="2"/>
  <c r="M415" i="2"/>
  <c r="M396" i="2"/>
  <c r="M342" i="2"/>
  <c r="M383" i="2"/>
  <c r="M362" i="2"/>
  <c r="M349" i="2"/>
  <c r="M391" i="2"/>
  <c r="M385" i="2"/>
  <c r="M350" i="2"/>
  <c r="M379" i="2"/>
  <c r="M417" i="2"/>
  <c r="M346" i="2"/>
  <c r="M371" i="2"/>
  <c r="M365" i="2"/>
  <c r="M419" i="2"/>
  <c r="M400" i="2"/>
  <c r="M404" i="2"/>
  <c r="M368" i="2"/>
  <c r="M358" i="2"/>
  <c r="M357" i="2"/>
  <c r="M397" i="2"/>
  <c r="M361" i="2"/>
  <c r="M387" i="2"/>
  <c r="M354" i="2"/>
  <c r="M393" i="2"/>
  <c r="M344" i="2"/>
  <c r="M395" i="2"/>
  <c r="M343" i="2"/>
  <c r="M406" i="2"/>
  <c r="M390" i="2"/>
  <c r="M340" i="2"/>
  <c r="M411" i="2"/>
  <c r="M370" i="2"/>
  <c r="M341" i="2"/>
  <c r="M351" i="2"/>
  <c r="M381" i="2"/>
  <c r="M347" i="2"/>
  <c r="T289" i="2"/>
  <c r="M295" i="2" s="1"/>
  <c r="P72" i="28" s="1"/>
  <c r="M263" i="2"/>
  <c r="P40" i="28" s="1"/>
  <c r="M286" i="2"/>
  <c r="P63" i="28" s="1"/>
  <c r="M259" i="2"/>
  <c r="P36" i="28" s="1"/>
  <c r="M285" i="2"/>
  <c r="P62" i="28" s="1"/>
  <c r="M270" i="2"/>
  <c r="P47" i="28" s="1"/>
  <c r="M281" i="2"/>
  <c r="P58" i="28" s="1"/>
  <c r="M260" i="2"/>
  <c r="P37" i="28" s="1"/>
  <c r="T288" i="2"/>
  <c r="M292" i="2"/>
  <c r="P69" i="28" s="1"/>
  <c r="M264" i="2"/>
  <c r="P41" i="28" s="1"/>
  <c r="M280" i="2"/>
  <c r="P57" i="28" s="1"/>
  <c r="M262" i="2"/>
  <c r="P39" i="28" s="1"/>
  <c r="M278" i="2"/>
  <c r="P55" i="28" s="1"/>
  <c r="M294" i="2"/>
  <c r="P71" i="28" s="1"/>
  <c r="M256" i="2"/>
  <c r="P33" i="28" s="1"/>
  <c r="M258" i="2"/>
  <c r="P35" i="28" s="1"/>
  <c r="M290" i="2"/>
  <c r="P67" i="28" s="1"/>
  <c r="M274" i="2"/>
  <c r="P51" i="28" s="1"/>
  <c r="M277" i="2"/>
  <c r="P54" i="28" s="1"/>
  <c r="M265" i="2"/>
  <c r="P42" i="28" s="1"/>
  <c r="M282" i="2"/>
  <c r="P59" i="28" s="1"/>
  <c r="M293" i="2"/>
  <c r="P70" i="28" s="1"/>
  <c r="M266" i="2"/>
  <c r="P43" i="28" s="1"/>
  <c r="M284" i="2"/>
  <c r="P61" i="28" s="1"/>
  <c r="M261" i="2"/>
  <c r="P38" i="28" s="1"/>
  <c r="M297" i="2"/>
  <c r="P74" i="28" s="1"/>
  <c r="M296" i="2"/>
  <c r="P73" i="28" s="1"/>
  <c r="T287" i="2"/>
  <c r="M276" i="2"/>
  <c r="P53" i="28" s="1"/>
  <c r="M257" i="2"/>
  <c r="P34" i="28" s="1"/>
  <c r="M283" i="2"/>
  <c r="P60" i="28" s="1"/>
  <c r="M269" i="2"/>
  <c r="P46" i="28" s="1"/>
  <c r="M291" i="2"/>
  <c r="P68" i="28" s="1"/>
  <c r="M288" i="2"/>
  <c r="P65" i="28" s="1"/>
  <c r="M298" i="2"/>
  <c r="P75" i="28" s="1"/>
  <c r="M275" i="2"/>
  <c r="P52" i="28" s="1"/>
  <c r="M279" i="2"/>
  <c r="P56" i="28" s="1"/>
  <c r="M267" i="2"/>
  <c r="P44" i="28" s="1"/>
  <c r="M273" i="2"/>
  <c r="P50" i="28" s="1"/>
  <c r="M271" i="2"/>
  <c r="P48" i="28" s="1"/>
  <c r="AC234" i="2"/>
  <c r="M236" i="2"/>
  <c r="M241" i="2"/>
  <c r="M240" i="2"/>
  <c r="M251" i="2"/>
  <c r="M243" i="2"/>
  <c r="M246" i="2"/>
  <c r="M247" i="2"/>
  <c r="M235" i="2"/>
  <c r="M230" i="2"/>
  <c r="M229" i="2"/>
  <c r="M242" i="2"/>
  <c r="M231" i="2"/>
  <c r="M239" i="2"/>
  <c r="M238" i="2"/>
  <c r="M249" i="2"/>
  <c r="AC238" i="2"/>
  <c r="AC82" i="6"/>
  <c r="AC119" i="6"/>
  <c r="AC186" i="6"/>
  <c r="AC152" i="6"/>
  <c r="AC91" i="6"/>
  <c r="AC162" i="6"/>
  <c r="AC104" i="6"/>
  <c r="AC18" i="6"/>
  <c r="AC123" i="6"/>
  <c r="AC212" i="6"/>
  <c r="AC64" i="6"/>
  <c r="AC400" i="6"/>
  <c r="AC300" i="6"/>
  <c r="AC339" i="6"/>
  <c r="AC235" i="6"/>
  <c r="AC344" i="6"/>
  <c r="AC399" i="6"/>
  <c r="AC100" i="6"/>
  <c r="AC203" i="6"/>
  <c r="AC178" i="6"/>
  <c r="AC253" i="6"/>
  <c r="AC174" i="6"/>
  <c r="AC386" i="6"/>
  <c r="AC222" i="6"/>
  <c r="AC10" i="6"/>
  <c r="AC31" i="6"/>
  <c r="AC302" i="6"/>
  <c r="AC147" i="6"/>
  <c r="AC63" i="6"/>
  <c r="AC98" i="6"/>
  <c r="AC322" i="6"/>
  <c r="AC27" i="6"/>
  <c r="AC224" i="6"/>
  <c r="AC267" i="6"/>
  <c r="AC341" i="6"/>
  <c r="AC305" i="6"/>
  <c r="AC67" i="6"/>
  <c r="AC338" i="6"/>
  <c r="AC367" i="6"/>
  <c r="AC65" i="6"/>
  <c r="AC171" i="6"/>
  <c r="AC143" i="6"/>
  <c r="AC261" i="6"/>
  <c r="AC6" i="6"/>
  <c r="AC395" i="6"/>
  <c r="AC226" i="6"/>
  <c r="AC166" i="6"/>
  <c r="AC277" i="6"/>
  <c r="AC280" i="6"/>
  <c r="AC50" i="6"/>
  <c r="AC70" i="6"/>
  <c r="AC272" i="6"/>
  <c r="AC264" i="6"/>
  <c r="AC335" i="6"/>
  <c r="AC72" i="6"/>
  <c r="AC176" i="6"/>
  <c r="AC189" i="6"/>
  <c r="AC75" i="6"/>
  <c r="AC59" i="6"/>
  <c r="AC287" i="6"/>
  <c r="AC161" i="6"/>
  <c r="AC112" i="6"/>
  <c r="AC374" i="6"/>
  <c r="AC231" i="6"/>
  <c r="AC110" i="6"/>
  <c r="AC347" i="6"/>
  <c r="AC38" i="6"/>
  <c r="AC102" i="6"/>
  <c r="AC240" i="6"/>
  <c r="AC160" i="6"/>
  <c r="AC187" i="6"/>
  <c r="AC175" i="6"/>
  <c r="AC117" i="6"/>
  <c r="AC257" i="6"/>
  <c r="AC150" i="6"/>
  <c r="AC336" i="6"/>
  <c r="AC314" i="6"/>
  <c r="AC29" i="6"/>
  <c r="AC373" i="6"/>
  <c r="AC8" i="6"/>
  <c r="AC406" i="6"/>
  <c r="AC214" i="6"/>
  <c r="AC389" i="6"/>
  <c r="AC20" i="6"/>
  <c r="AC73" i="6"/>
  <c r="AC58" i="6"/>
  <c r="AC311" i="6"/>
  <c r="AC136" i="6"/>
  <c r="AC103" i="6"/>
  <c r="AC241" i="6"/>
  <c r="AC393" i="6"/>
  <c r="AC380" i="6"/>
  <c r="AC372" i="6"/>
  <c r="AC137" i="6"/>
  <c r="AC41" i="6"/>
  <c r="AC340" i="6"/>
  <c r="AC196" i="6"/>
  <c r="AC383" i="6"/>
  <c r="AC19" i="6"/>
  <c r="AC355" i="6"/>
  <c r="AC256" i="6"/>
  <c r="AC215" i="6"/>
  <c r="AC3" i="6"/>
  <c r="AC4" i="6"/>
  <c r="AC230" i="6"/>
  <c r="AC121" i="6"/>
  <c r="AC216" i="6"/>
  <c r="AC333" i="6"/>
  <c r="AC148" i="6"/>
  <c r="AC168" i="6"/>
  <c r="AC24" i="6"/>
  <c r="AC388" i="6"/>
  <c r="AC142" i="6"/>
  <c r="AC88" i="6"/>
  <c r="AC135" i="6"/>
  <c r="AC213" i="6"/>
  <c r="AC130" i="6"/>
  <c r="AC262" i="6"/>
  <c r="AC321" i="6"/>
  <c r="AC252" i="6"/>
  <c r="AC172" i="6"/>
  <c r="AC244" i="6"/>
  <c r="AC320" i="6"/>
  <c r="X195" i="2"/>
  <c r="AC249" i="6"/>
  <c r="AC165" i="6"/>
  <c r="AC49" i="6"/>
  <c r="AC246" i="6"/>
  <c r="AC14" i="6"/>
  <c r="AC108" i="6"/>
  <c r="AC78" i="6"/>
  <c r="AC32" i="6"/>
  <c r="AC349" i="6"/>
  <c r="AC377" i="6"/>
  <c r="AC285" i="6"/>
  <c r="AC127" i="6"/>
  <c r="AC211" i="6"/>
  <c r="AC353" i="6"/>
  <c r="AC51" i="6"/>
  <c r="AC107" i="6"/>
  <c r="AC304" i="6"/>
  <c r="AC180" i="6"/>
  <c r="AC371" i="6"/>
  <c r="AC26" i="6"/>
  <c r="AC194" i="6"/>
  <c r="AC218" i="6"/>
  <c r="AC66" i="6"/>
  <c r="AC181" i="6"/>
  <c r="AC43" i="6"/>
  <c r="AC46" i="6"/>
  <c r="AC200" i="6"/>
  <c r="AC177" i="6"/>
  <c r="AC77" i="6"/>
  <c r="AC296" i="6"/>
  <c r="AC125" i="6"/>
  <c r="AC342" i="6"/>
  <c r="AC76" i="6"/>
  <c r="AC359" i="6"/>
  <c r="AC92" i="6"/>
  <c r="AC34" i="6"/>
  <c r="AC263" i="6"/>
  <c r="AC111" i="6"/>
  <c r="AC116" i="6"/>
  <c r="AC385" i="6"/>
  <c r="AC60" i="6"/>
  <c r="AC140" i="6"/>
  <c r="AC17" i="6"/>
  <c r="AC381" i="6"/>
  <c r="AC155" i="6"/>
  <c r="AC292" i="6"/>
  <c r="AC84" i="6"/>
  <c r="AC193" i="6"/>
  <c r="AC354" i="6"/>
  <c r="AC28" i="6"/>
  <c r="AC394" i="6"/>
  <c r="AC191" i="6"/>
  <c r="AC56" i="6"/>
  <c r="AC114" i="6"/>
  <c r="AC278" i="6"/>
  <c r="AC392" i="6"/>
  <c r="AC239" i="6"/>
  <c r="AC169" i="6"/>
  <c r="AC271" i="6"/>
  <c r="AC195" i="6"/>
  <c r="AC309" i="6"/>
  <c r="AC301" i="6"/>
  <c r="AC93" i="6"/>
  <c r="AC132" i="6"/>
  <c r="AC254" i="6"/>
  <c r="AC48" i="6"/>
  <c r="AC45" i="6"/>
  <c r="AC295" i="6"/>
  <c r="AC329" i="6"/>
  <c r="AC232" i="6"/>
  <c r="AC182" i="6"/>
  <c r="AC163" i="6"/>
  <c r="AC39" i="6"/>
  <c r="AC122" i="6"/>
  <c r="AC348" i="6"/>
  <c r="AC310" i="6"/>
  <c r="AC405" i="6"/>
  <c r="AC318" i="6"/>
  <c r="AC13" i="6"/>
  <c r="AC97" i="6"/>
  <c r="AC170" i="6"/>
  <c r="AC326" i="6"/>
  <c r="AC268" i="6"/>
  <c r="AC109" i="6"/>
  <c r="AC36" i="6"/>
  <c r="AC274" i="6"/>
  <c r="AC219" i="6"/>
  <c r="AC113" i="6"/>
  <c r="AC30" i="6"/>
  <c r="AC247" i="6"/>
  <c r="AC69" i="6"/>
  <c r="AC387" i="6"/>
  <c r="AC259" i="6"/>
  <c r="AC294" i="6"/>
  <c r="AC129" i="6"/>
  <c r="AC9" i="6"/>
  <c r="AC376" i="6"/>
  <c r="AC286" i="6"/>
  <c r="AC228" i="6"/>
  <c r="AC131" i="6"/>
  <c r="AC229" i="6"/>
  <c r="AC364" i="6"/>
  <c r="AC138" i="6"/>
  <c r="AC90" i="6"/>
  <c r="AC220" i="6"/>
  <c r="AC83" i="6"/>
  <c r="AC370" i="6"/>
  <c r="AC167" i="6"/>
  <c r="AC346" i="6"/>
  <c r="AC80" i="6"/>
  <c r="AC396" i="6"/>
  <c r="AC154" i="6"/>
  <c r="AC42" i="6"/>
  <c r="AC227" i="6"/>
  <c r="AC317" i="6"/>
  <c r="AC223" i="6"/>
  <c r="AC331" i="6"/>
  <c r="AC378" i="6"/>
  <c r="AC275" i="6"/>
  <c r="AC128" i="6"/>
  <c r="AC313" i="6"/>
  <c r="AC365" i="6"/>
  <c r="AC273" i="6"/>
  <c r="AC57" i="6"/>
  <c r="AC115" i="6"/>
  <c r="AC352" i="6"/>
  <c r="AC94" i="6"/>
  <c r="AC391" i="6"/>
  <c r="AC12" i="6"/>
  <c r="AC105" i="6"/>
  <c r="AC293" i="6"/>
  <c r="AC319" i="6"/>
  <c r="AC358" i="6"/>
  <c r="AC242" i="6"/>
  <c r="AC250" i="6"/>
  <c r="AC288" i="6"/>
  <c r="AC369" i="6"/>
  <c r="AC37" i="6"/>
  <c r="AC401" i="6"/>
  <c r="AC5" i="6"/>
  <c r="AC201" i="6"/>
  <c r="AC35" i="6"/>
  <c r="AC345" i="6"/>
  <c r="AC279" i="6"/>
  <c r="AC407" i="6"/>
  <c r="AC188" i="6"/>
  <c r="AC403" i="6"/>
  <c r="AC276" i="6"/>
  <c r="AC251" i="6"/>
  <c r="AC52" i="6"/>
  <c r="AC33" i="6"/>
  <c r="AC260" i="6"/>
  <c r="AC71" i="6"/>
  <c r="AC225" i="6"/>
  <c r="AC156" i="6"/>
  <c r="AC360" i="6"/>
  <c r="AC158" i="6"/>
  <c r="AC266" i="6"/>
  <c r="AC402" i="6"/>
  <c r="AC173" i="6"/>
  <c r="AC306" i="6"/>
  <c r="AC332" i="6"/>
  <c r="AC217" i="6"/>
  <c r="AC375" i="6"/>
  <c r="AC120" i="6"/>
  <c r="AC179" i="6"/>
  <c r="AC328" i="6"/>
  <c r="AC269" i="6"/>
  <c r="AC245" i="6"/>
  <c r="AC16" i="6"/>
  <c r="AC81" i="6"/>
  <c r="AC206" i="6"/>
  <c r="AC25" i="6"/>
  <c r="AC198" i="6"/>
  <c r="AC382" i="6"/>
  <c r="AC337" i="6"/>
  <c r="AC234" i="6"/>
  <c r="AC95" i="6"/>
  <c r="AC289" i="6"/>
  <c r="AC118" i="6"/>
  <c r="AC356" i="6"/>
  <c r="AC68" i="6"/>
  <c r="AC384" i="6"/>
  <c r="AC281" i="6"/>
  <c r="AC366" i="6"/>
  <c r="AC357" i="6"/>
  <c r="AC96" i="6"/>
  <c r="AC315" i="6"/>
  <c r="AC350" i="6"/>
  <c r="AC351" i="6"/>
  <c r="AC327" i="6"/>
  <c r="AC255" i="6"/>
  <c r="AC124" i="6"/>
  <c r="AC291" i="6"/>
  <c r="AC312" i="6"/>
  <c r="AC74" i="6"/>
  <c r="AC157" i="6"/>
  <c r="AC47" i="6"/>
  <c r="AC343" i="6"/>
  <c r="AC307" i="6"/>
  <c r="AC197" i="6"/>
  <c r="AC221" i="6"/>
  <c r="AC22" i="6"/>
  <c r="AC99" i="6"/>
  <c r="AC151" i="6"/>
  <c r="AC404" i="6"/>
  <c r="AC290" i="6"/>
  <c r="AC192" i="6"/>
  <c r="AC199" i="6"/>
  <c r="AC207" i="6"/>
  <c r="AC7" i="6"/>
  <c r="AC368" i="6"/>
  <c r="AC134" i="6"/>
  <c r="AC164" i="6"/>
  <c r="AC190" i="6"/>
  <c r="AC204" i="6"/>
  <c r="AC308" i="6"/>
  <c r="AC61" i="6"/>
  <c r="AC23" i="6"/>
  <c r="AC139" i="6"/>
  <c r="AC44" i="6"/>
  <c r="AC202" i="6"/>
  <c r="AC21" i="6"/>
  <c r="AC185" i="6"/>
  <c r="AC233" i="6"/>
  <c r="AC265" i="6"/>
  <c r="AC89" i="6"/>
  <c r="AC15" i="6"/>
  <c r="AC205" i="6"/>
  <c r="AC398" i="6"/>
  <c r="AC11" i="6"/>
  <c r="AC101" i="6"/>
  <c r="AC106" i="6"/>
  <c r="AC126" i="6"/>
  <c r="AC40" i="6"/>
  <c r="AC258" i="6"/>
  <c r="AC270" i="6"/>
  <c r="AC243" i="6"/>
  <c r="AC183" i="6"/>
  <c r="AC316" i="6"/>
  <c r="AC141" i="6"/>
  <c r="AC397" i="6"/>
  <c r="AC379" i="6"/>
  <c r="AC334" i="6"/>
  <c r="AC248" i="6"/>
  <c r="AC408" i="6"/>
  <c r="AC149" i="6"/>
  <c r="AC159" i="6"/>
  <c r="AC184" i="6"/>
  <c r="AC330" i="6"/>
  <c r="AC79" i="6"/>
  <c r="AC62" i="6"/>
  <c r="AC303" i="6"/>
  <c r="AC390" i="6"/>
  <c r="AC153" i="6"/>
  <c r="T274" i="2"/>
  <c r="T275" i="2"/>
  <c r="T279" i="2"/>
  <c r="T186" i="2"/>
  <c r="V186" i="2" s="1"/>
  <c r="L185" i="2" s="1"/>
  <c r="O19" i="28" s="1"/>
  <c r="T273" i="2"/>
  <c r="T272" i="2"/>
  <c r="X208" i="2"/>
  <c r="T218" i="2"/>
  <c r="T277" i="2"/>
  <c r="R265" i="2" s="1"/>
  <c r="Q265" i="2" s="1"/>
  <c r="P265" i="2" s="1"/>
  <c r="U153" i="2"/>
  <c r="U151" i="2"/>
  <c r="U152" i="2"/>
  <c r="U163" i="2"/>
  <c r="R41" i="2" s="1"/>
  <c r="U155" i="2"/>
  <c r="U150" i="2"/>
  <c r="U156" i="2"/>
  <c r="U161" i="2"/>
  <c r="U162" i="2"/>
  <c r="T211" i="2"/>
  <c r="U143" i="2"/>
  <c r="S392" i="2"/>
  <c r="U141" i="2"/>
  <c r="U144" i="2"/>
  <c r="R248" i="2" s="1"/>
  <c r="S372" i="2"/>
  <c r="U147" i="2"/>
  <c r="U158" i="2"/>
  <c r="T214" i="2"/>
  <c r="U159" i="2"/>
  <c r="U148" i="2"/>
  <c r="U146" i="2"/>
  <c r="U149" i="2"/>
  <c r="U284" i="2"/>
  <c r="S286" i="2" s="1"/>
  <c r="L268" i="2" s="1"/>
  <c r="O45" i="28" s="1"/>
  <c r="U285" i="2"/>
  <c r="S162" i="2"/>
  <c r="S150" i="2"/>
  <c r="S161" i="2"/>
  <c r="S157" i="2"/>
  <c r="R37" i="2" s="1"/>
  <c r="T37" i="2" s="1"/>
  <c r="S151" i="2"/>
  <c r="S156" i="2"/>
  <c r="R275" i="2"/>
  <c r="R279" i="2"/>
  <c r="R273" i="2"/>
  <c r="R278" i="2"/>
  <c r="R267" i="2" s="1"/>
  <c r="Q267" i="2" s="1"/>
  <c r="P267" i="2" s="1"/>
  <c r="R274" i="2"/>
  <c r="V208" i="2"/>
  <c r="R272" i="2"/>
  <c r="R257" i="2" s="1"/>
  <c r="Q332" i="2"/>
  <c r="U332" i="2" s="1"/>
  <c r="S158" i="2"/>
  <c r="S143" i="2"/>
  <c r="Q399" i="2"/>
  <c r="T398" i="2" s="1"/>
  <c r="S146" i="2"/>
  <c r="R214" i="2"/>
  <c r="Q372" i="2"/>
  <c r="S147" i="2"/>
  <c r="S148" i="2"/>
  <c r="S141" i="2"/>
  <c r="Q378" i="2"/>
  <c r="T377" i="2" s="1"/>
  <c r="S160" i="2"/>
  <c r="R40" i="2" s="1"/>
  <c r="T40" i="2" s="1"/>
  <c r="Q380" i="2"/>
  <c r="T379" i="2" s="1"/>
  <c r="L246" i="2"/>
  <c r="L238" i="2"/>
  <c r="L239" i="2"/>
  <c r="L243" i="2"/>
  <c r="L242" i="2"/>
  <c r="L235" i="2"/>
  <c r="AB234" i="2"/>
  <c r="L236" i="2"/>
  <c r="L251" i="2"/>
  <c r="L230" i="2"/>
  <c r="L231" i="2"/>
  <c r="L241" i="2"/>
  <c r="L229" i="2"/>
  <c r="L247" i="2"/>
  <c r="L240" i="2"/>
  <c r="AB238" i="2"/>
  <c r="L249" i="2"/>
  <c r="L301" i="2"/>
  <c r="L311" i="2"/>
  <c r="L305" i="2"/>
  <c r="L309" i="2"/>
  <c r="L303" i="2"/>
  <c r="L302" i="2"/>
  <c r="L307" i="2"/>
  <c r="L304" i="2"/>
  <c r="L306" i="2"/>
  <c r="L312" i="2"/>
  <c r="L310" i="2"/>
  <c r="L308" i="2"/>
  <c r="L290" i="2"/>
  <c r="O67" i="28" s="1"/>
  <c r="L285" i="2"/>
  <c r="O62" i="28" s="1"/>
  <c r="L281" i="2"/>
  <c r="O58" i="28" s="1"/>
  <c r="L256" i="2"/>
  <c r="O33" i="28" s="1"/>
  <c r="L284" i="2"/>
  <c r="O61" i="28" s="1"/>
  <c r="L261" i="2"/>
  <c r="O38" i="28" s="1"/>
  <c r="L274" i="2"/>
  <c r="O51" i="28" s="1"/>
  <c r="L267" i="2"/>
  <c r="O44" i="28" s="1"/>
  <c r="L264" i="2"/>
  <c r="O41" i="28" s="1"/>
  <c r="L269" i="2"/>
  <c r="O46" i="28" s="1"/>
  <c r="L296" i="2"/>
  <c r="O73" i="28" s="1"/>
  <c r="L257" i="2"/>
  <c r="O34" i="28" s="1"/>
  <c r="L271" i="2"/>
  <c r="O48" i="28" s="1"/>
  <c r="L266" i="2"/>
  <c r="O43" i="28" s="1"/>
  <c r="L277" i="2"/>
  <c r="O54" i="28" s="1"/>
  <c r="L273" i="2"/>
  <c r="O50" i="28" s="1"/>
  <c r="L263" i="2"/>
  <c r="O40" i="28" s="1"/>
  <c r="L294" i="2"/>
  <c r="O71" i="28" s="1"/>
  <c r="L265" i="2"/>
  <c r="O42" i="28" s="1"/>
  <c r="L275" i="2"/>
  <c r="O52" i="28" s="1"/>
  <c r="L278" i="2"/>
  <c r="O55" i="28" s="1"/>
  <c r="L260" i="2"/>
  <c r="O37" i="28" s="1"/>
  <c r="L258" i="2"/>
  <c r="O35" i="28" s="1"/>
  <c r="L280" i="2"/>
  <c r="O57" i="28" s="1"/>
  <c r="L288" i="2"/>
  <c r="O65" i="28" s="1"/>
  <c r="L282" i="2"/>
  <c r="O59" i="28" s="1"/>
  <c r="L279" i="2"/>
  <c r="O56" i="28" s="1"/>
  <c r="L286" i="2"/>
  <c r="O63" i="28" s="1"/>
  <c r="L298" i="2"/>
  <c r="O75" i="28" s="1"/>
  <c r="L259" i="2"/>
  <c r="O36" i="28" s="1"/>
  <c r="S289" i="2"/>
  <c r="L295" i="2" s="1"/>
  <c r="O72" i="28" s="1"/>
  <c r="S287" i="2"/>
  <c r="L283" i="2"/>
  <c r="O60" i="28" s="1"/>
  <c r="L292" i="2"/>
  <c r="O69" i="28" s="1"/>
  <c r="L270" i="2"/>
  <c r="O47" i="28" s="1"/>
  <c r="S288" i="2"/>
  <c r="L293" i="2"/>
  <c r="O70" i="28" s="1"/>
  <c r="L297" i="2"/>
  <c r="O74" i="28" s="1"/>
  <c r="L262" i="2"/>
  <c r="O39" i="28" s="1"/>
  <c r="L276" i="2"/>
  <c r="O53" i="28" s="1"/>
  <c r="L291" i="2"/>
  <c r="O68" i="28" s="1"/>
  <c r="L354" i="2"/>
  <c r="L401" i="2"/>
  <c r="L350" i="2"/>
  <c r="L418" i="2"/>
  <c r="L351" i="2"/>
  <c r="L392" i="2"/>
  <c r="L346" i="2"/>
  <c r="L404" i="2"/>
  <c r="L384" i="2"/>
  <c r="L390" i="2"/>
  <c r="L402" i="2"/>
  <c r="L344" i="2"/>
  <c r="L421" i="2"/>
  <c r="L361" i="2"/>
  <c r="L394" i="2"/>
  <c r="L355" i="2"/>
  <c r="L341" i="2"/>
  <c r="L416" i="2"/>
  <c r="L386" i="2"/>
  <c r="L391" i="2"/>
  <c r="L389" i="2"/>
  <c r="L417" i="2"/>
  <c r="L419" i="2"/>
  <c r="L366" i="2"/>
  <c r="L345" i="2"/>
  <c r="L397" i="2"/>
  <c r="L352" i="2"/>
  <c r="L362" i="2"/>
  <c r="L409" i="2"/>
  <c r="L412" i="2"/>
  <c r="L374" i="2"/>
  <c r="L396" i="2"/>
  <c r="L387" i="2"/>
  <c r="L353" i="2"/>
  <c r="L393" i="2"/>
  <c r="L420" i="2"/>
  <c r="L413" i="2"/>
  <c r="L357" i="2"/>
  <c r="L367" i="2"/>
  <c r="L365" i="2"/>
  <c r="L377" i="2"/>
  <c r="L347" i="2"/>
  <c r="L368" i="2"/>
  <c r="L411" i="2"/>
  <c r="L408" i="2"/>
  <c r="L363" i="2"/>
  <c r="L356" i="2"/>
  <c r="L398" i="2"/>
  <c r="L364" i="2"/>
  <c r="L383" i="2"/>
  <c r="L359" i="2"/>
  <c r="L378" i="2"/>
  <c r="L400" i="2"/>
  <c r="L388" i="2"/>
  <c r="L380" i="2"/>
  <c r="L358" i="2"/>
  <c r="L385" i="2"/>
  <c r="L399" i="2"/>
  <c r="L369" i="2"/>
  <c r="L382" i="2"/>
  <c r="L406" i="2"/>
  <c r="L414" i="2"/>
  <c r="L410" i="2"/>
  <c r="L342" i="2"/>
  <c r="L349" i="2"/>
  <c r="L403" i="2"/>
  <c r="L415" i="2"/>
  <c r="L370" i="2"/>
  <c r="L360" i="2"/>
  <c r="L379" i="2"/>
  <c r="L407" i="2"/>
  <c r="L371" i="2"/>
  <c r="L340" i="2"/>
  <c r="L405" i="2"/>
  <c r="L373" i="2"/>
  <c r="L343" i="2"/>
  <c r="L381" i="2"/>
  <c r="L372" i="2"/>
  <c r="L348" i="2"/>
  <c r="L395" i="2"/>
  <c r="L90" i="2"/>
  <c r="L96" i="2"/>
  <c r="L103" i="2"/>
  <c r="L84" i="2"/>
  <c r="L91" i="2"/>
  <c r="L88" i="2"/>
  <c r="L105" i="2"/>
  <c r="L85" i="2"/>
  <c r="L83" i="2"/>
  <c r="L92" i="2"/>
  <c r="L95" i="2"/>
  <c r="L87" i="2"/>
  <c r="L94" i="2"/>
  <c r="L78" i="2"/>
  <c r="L80" i="2"/>
  <c r="L98" i="2"/>
  <c r="L101" i="2"/>
  <c r="L93" i="2"/>
  <c r="L81" i="2"/>
  <c r="L86" i="2"/>
  <c r="L77" i="2"/>
  <c r="L99" i="2"/>
  <c r="L82" i="2"/>
  <c r="L104" i="2"/>
  <c r="L100" i="2"/>
  <c r="L97" i="2"/>
  <c r="L102" i="2"/>
  <c r="L89" i="2"/>
  <c r="L79" i="2"/>
  <c r="L194" i="2"/>
  <c r="L181" i="2"/>
  <c r="O15" i="28" s="1"/>
  <c r="L209" i="2"/>
  <c r="L168" i="2"/>
  <c r="L204" i="2"/>
  <c r="L169" i="2"/>
  <c r="L187" i="2"/>
  <c r="O20" i="28" s="1"/>
  <c r="L195" i="2"/>
  <c r="L208" i="2"/>
  <c r="L178" i="2"/>
  <c r="O13" i="28" s="1"/>
  <c r="L222" i="2"/>
  <c r="L183" i="2"/>
  <c r="O17" i="28" s="1"/>
  <c r="L205" i="2"/>
  <c r="L217" i="2"/>
  <c r="O28" i="28" s="1"/>
  <c r="L196" i="2"/>
  <c r="L188" i="2"/>
  <c r="L166" i="2"/>
  <c r="L171" i="2"/>
  <c r="L167" i="2"/>
  <c r="L175" i="2"/>
  <c r="L210" i="2"/>
  <c r="L193" i="2"/>
  <c r="L180" i="2"/>
  <c r="O14" i="28" s="1"/>
  <c r="L218" i="2"/>
  <c r="L173" i="2"/>
  <c r="L221" i="2"/>
  <c r="L198" i="2"/>
  <c r="L224" i="2"/>
  <c r="L186" i="2"/>
  <c r="L219" i="2"/>
  <c r="L211" i="2"/>
  <c r="L165" i="2"/>
  <c r="L190" i="2"/>
  <c r="O22" i="28" s="1"/>
  <c r="L179" i="2"/>
  <c r="L174" i="2"/>
  <c r="L191" i="2"/>
  <c r="O23" i="28" s="1"/>
  <c r="L192" i="2"/>
  <c r="O24" i="28" s="1"/>
  <c r="L216" i="2"/>
  <c r="L199" i="2"/>
  <c r="L177" i="2"/>
  <c r="L202" i="2"/>
  <c r="L206" i="2"/>
  <c r="L189" i="2"/>
  <c r="O21" i="28" s="1"/>
  <c r="L215" i="2"/>
  <c r="L213" i="2"/>
  <c r="L223" i="2"/>
  <c r="L182" i="2"/>
  <c r="O16" i="28" s="1"/>
  <c r="L172" i="2"/>
  <c r="L203" i="2"/>
  <c r="O27" i="28" s="1"/>
  <c r="L225" i="2"/>
  <c r="O29" i="28" s="1"/>
  <c r="L170" i="2"/>
  <c r="L197" i="2"/>
  <c r="L176" i="2"/>
  <c r="L220" i="2"/>
  <c r="L212" i="2"/>
  <c r="L184" i="2"/>
  <c r="O18" i="28" s="1"/>
  <c r="L316" i="2"/>
  <c r="L331" i="2"/>
  <c r="L324" i="2"/>
  <c r="L322" i="2"/>
  <c r="L328" i="2"/>
  <c r="L319" i="2"/>
  <c r="L335" i="2"/>
  <c r="L327" i="2"/>
  <c r="L334" i="2"/>
  <c r="L336" i="2"/>
  <c r="L337" i="2"/>
  <c r="L318" i="2"/>
  <c r="L325" i="2"/>
  <c r="L329" i="2"/>
  <c r="L317" i="2"/>
  <c r="L320" i="2"/>
  <c r="L315" i="2"/>
  <c r="L326" i="2"/>
  <c r="L323" i="2"/>
  <c r="L330" i="2"/>
  <c r="L333" i="2"/>
  <c r="L321" i="2"/>
  <c r="L332" i="2"/>
  <c r="L55" i="2"/>
  <c r="L39" i="2"/>
  <c r="L69" i="2"/>
  <c r="L54" i="2"/>
  <c r="L25" i="2"/>
  <c r="L66" i="2"/>
  <c r="L42" i="2"/>
  <c r="L34" i="2"/>
  <c r="L59" i="2"/>
  <c r="L62" i="2"/>
  <c r="L57" i="2"/>
  <c r="L47" i="2"/>
  <c r="L35" i="2"/>
  <c r="L65" i="2"/>
  <c r="L40" i="2"/>
  <c r="L67" i="2"/>
  <c r="L74" i="2"/>
  <c r="L151" i="2" s="1"/>
  <c r="L31" i="2"/>
  <c r="L56" i="2"/>
  <c r="L70" i="2"/>
  <c r="L48" i="2"/>
  <c r="L28" i="2"/>
  <c r="L44" i="2"/>
  <c r="L53" i="2"/>
  <c r="L51" i="2"/>
  <c r="L32" i="2"/>
  <c r="L26" i="2"/>
  <c r="L37" i="2"/>
  <c r="L50" i="2"/>
  <c r="L52" i="2"/>
  <c r="L30" i="2"/>
  <c r="L73" i="2"/>
  <c r="L41" i="2"/>
  <c r="L29" i="2"/>
  <c r="L27" i="2"/>
  <c r="L46" i="2"/>
  <c r="L72" i="2"/>
  <c r="L68" i="2"/>
  <c r="L71" i="2"/>
  <c r="L45" i="2"/>
  <c r="L58" i="2"/>
  <c r="L38" i="2"/>
  <c r="L63" i="2"/>
  <c r="L61" i="2"/>
  <c r="L36" i="2"/>
  <c r="L64" i="2"/>
  <c r="L49" i="2"/>
  <c r="L33" i="2"/>
  <c r="L60" i="2"/>
  <c r="L115" i="2"/>
  <c r="L126" i="2"/>
  <c r="L123" i="2"/>
  <c r="L155" i="2"/>
  <c r="L135" i="2"/>
  <c r="L116" i="2"/>
  <c r="L147" i="2"/>
  <c r="L159" i="2"/>
  <c r="L152" i="2"/>
  <c r="L129" i="2"/>
  <c r="L153" i="2"/>
  <c r="L142" i="2"/>
  <c r="L150" i="2"/>
  <c r="L128" i="2"/>
  <c r="L139" i="2"/>
  <c r="L112" i="2"/>
  <c r="L143" i="2"/>
  <c r="L125" i="2"/>
  <c r="L111" i="2"/>
  <c r="L131" i="2"/>
  <c r="L161" i="2"/>
  <c r="L119" i="2"/>
  <c r="L118" i="2"/>
  <c r="L136" i="2"/>
  <c r="L156" i="2"/>
  <c r="L138" i="2"/>
  <c r="L133" i="2"/>
  <c r="L113" i="2"/>
  <c r="L109" i="2"/>
  <c r="L141" i="2"/>
  <c r="L149" i="2"/>
  <c r="L117" i="2"/>
  <c r="L124" i="2"/>
  <c r="L108" i="2"/>
  <c r="L154" i="2"/>
  <c r="L144" i="2"/>
  <c r="L110" i="2"/>
  <c r="L148" i="2"/>
  <c r="L160" i="2"/>
  <c r="L134" i="2"/>
  <c r="L145" i="2"/>
  <c r="L114" i="2"/>
  <c r="L158" i="2"/>
  <c r="L146" i="2"/>
  <c r="L130" i="2"/>
  <c r="L157" i="2"/>
  <c r="L132" i="2"/>
  <c r="L162" i="2"/>
  <c r="L137" i="2"/>
  <c r="L140" i="2"/>
  <c r="L127" i="2"/>
  <c r="L120" i="2"/>
  <c r="L121" i="2"/>
  <c r="L122" i="2"/>
  <c r="AB280" i="6"/>
  <c r="AB366" i="6"/>
  <c r="AB217" i="6"/>
  <c r="AB310" i="6"/>
  <c r="AB164" i="6"/>
  <c r="AB13" i="6"/>
  <c r="AB383" i="6"/>
  <c r="AB203" i="6"/>
  <c r="AB392" i="6"/>
  <c r="AB292" i="6"/>
  <c r="AB117" i="6"/>
  <c r="AB285" i="6"/>
  <c r="AB139" i="6"/>
  <c r="AB35" i="6"/>
  <c r="AB356" i="6"/>
  <c r="AB179" i="6"/>
  <c r="AB281" i="6"/>
  <c r="AB229" i="6"/>
  <c r="AB22" i="6"/>
  <c r="AB8" i="6"/>
  <c r="AB80" i="6"/>
  <c r="AB67" i="6"/>
  <c r="AB116" i="6"/>
  <c r="AB288" i="6"/>
  <c r="AB320" i="6"/>
  <c r="AB347" i="6"/>
  <c r="AB198" i="6"/>
  <c r="AB291" i="6"/>
  <c r="AB148" i="6"/>
  <c r="AB29" i="6"/>
  <c r="AB367" i="6"/>
  <c r="AB187" i="6"/>
  <c r="AB376" i="6"/>
  <c r="AB259" i="6"/>
  <c r="AB226" i="6"/>
  <c r="AB266" i="6"/>
  <c r="AB122" i="6"/>
  <c r="AB51" i="6"/>
  <c r="AB340" i="6"/>
  <c r="AB163" i="6"/>
  <c r="AB168" i="6"/>
  <c r="AB342" i="6"/>
  <c r="AB368" i="6"/>
  <c r="AB38" i="6"/>
  <c r="AB24" i="6"/>
  <c r="AB64" i="6"/>
  <c r="AB37" i="6"/>
  <c r="AB193" i="6"/>
  <c r="AB172" i="6"/>
  <c r="AB79" i="6"/>
  <c r="AB330" i="6"/>
  <c r="AB57" i="6"/>
  <c r="AB214" i="6"/>
  <c r="AB36" i="6"/>
  <c r="AB248" i="6"/>
  <c r="AB279" i="6"/>
  <c r="AB311" i="6"/>
  <c r="AB302" i="6"/>
  <c r="AB331" i="6"/>
  <c r="AB182" i="6"/>
  <c r="AB272" i="6"/>
  <c r="AB128" i="6"/>
  <c r="AB45" i="6"/>
  <c r="AB348" i="6"/>
  <c r="AB171" i="6"/>
  <c r="AB357" i="6"/>
  <c r="AB211" i="6"/>
  <c r="AB105" i="6"/>
  <c r="AB250" i="6"/>
  <c r="AB106" i="6"/>
  <c r="AB321" i="6"/>
  <c r="AB147" i="6"/>
  <c r="AB227" i="6"/>
  <c r="AB223" i="6"/>
  <c r="AB295" i="6"/>
  <c r="AB91" i="6"/>
  <c r="AB40" i="6"/>
  <c r="AB10" i="6"/>
  <c r="AB94" i="6"/>
  <c r="AB142" i="6"/>
  <c r="AB253" i="6"/>
  <c r="AB301" i="6"/>
  <c r="AB267" i="6"/>
  <c r="AB174" i="6"/>
  <c r="AB244" i="6"/>
  <c r="AB303" i="6"/>
  <c r="AB408" i="6"/>
  <c r="AB107" i="6"/>
  <c r="AB312" i="6"/>
  <c r="AB166" i="6"/>
  <c r="AB256" i="6"/>
  <c r="AB112" i="6"/>
  <c r="AB92" i="6"/>
  <c r="AB332" i="6"/>
  <c r="AB155" i="6"/>
  <c r="AB341" i="6"/>
  <c r="AB192" i="6"/>
  <c r="AB75" i="6"/>
  <c r="AB231" i="6"/>
  <c r="AB261" i="6"/>
  <c r="AB402" i="6"/>
  <c r="AB305" i="6"/>
  <c r="AB127" i="6"/>
  <c r="AB177" i="6"/>
  <c r="AB156" i="6"/>
  <c r="AB405" i="6"/>
  <c r="AB353" i="6"/>
  <c r="AB103" i="6"/>
  <c r="AB26" i="6"/>
  <c r="AB78" i="6"/>
  <c r="AB257" i="6"/>
  <c r="AB181" i="6"/>
  <c r="AB63" i="6"/>
  <c r="AB375" i="6"/>
  <c r="AB184" i="6"/>
  <c r="AB293" i="6"/>
  <c r="AB150" i="6"/>
  <c r="AB240" i="6"/>
  <c r="AB241" i="6"/>
  <c r="AB313" i="6"/>
  <c r="AB136" i="6"/>
  <c r="AB322" i="6"/>
  <c r="AB176" i="6"/>
  <c r="AB59" i="6"/>
  <c r="AB395" i="6"/>
  <c r="AB218" i="6"/>
  <c r="AB386" i="6"/>
  <c r="AB286" i="6"/>
  <c r="AB111" i="6"/>
  <c r="AB129" i="6"/>
  <c r="AB255" i="6"/>
  <c r="AB338" i="6"/>
  <c r="AB393" i="6"/>
  <c r="AB349" i="6"/>
  <c r="AB42" i="6"/>
  <c r="AB62" i="6"/>
  <c r="AB65" i="6"/>
  <c r="AB140" i="6"/>
  <c r="AB274" i="6"/>
  <c r="AB130" i="6"/>
  <c r="AB401" i="6"/>
  <c r="AB224" i="6"/>
  <c r="AB394" i="6"/>
  <c r="AB294" i="6"/>
  <c r="AB119" i="6"/>
  <c r="AB306" i="6"/>
  <c r="AB160" i="6"/>
  <c r="AB17" i="6"/>
  <c r="AB379" i="6"/>
  <c r="AB199" i="6"/>
  <c r="AB370" i="6"/>
  <c r="AB221" i="6"/>
  <c r="AB228" i="6"/>
  <c r="AB277" i="6"/>
  <c r="AB175" i="6"/>
  <c r="AB219" i="6"/>
  <c r="AB326" i="6"/>
  <c r="AB276" i="6"/>
  <c r="AB98" i="6"/>
  <c r="AB12" i="6"/>
  <c r="AB41" i="6"/>
  <c r="AB251" i="6"/>
  <c r="AB180" i="6"/>
  <c r="AB19" i="6"/>
  <c r="AB99" i="6"/>
  <c r="AB258" i="6"/>
  <c r="AB114" i="6"/>
  <c r="AB385" i="6"/>
  <c r="AB205" i="6"/>
  <c r="AB378" i="6"/>
  <c r="AB230" i="6"/>
  <c r="AB234" i="6"/>
  <c r="AB287" i="6"/>
  <c r="AB141" i="6"/>
  <c r="AB33" i="6"/>
  <c r="AB360" i="6"/>
  <c r="AB183" i="6"/>
  <c r="AB351" i="6"/>
  <c r="AB202" i="6"/>
  <c r="AB88" i="6"/>
  <c r="AB9" i="6"/>
  <c r="AB125" i="6"/>
  <c r="AB152" i="6"/>
  <c r="AB204" i="6"/>
  <c r="AB389" i="6"/>
  <c r="AB404" i="6"/>
  <c r="AB28" i="6"/>
  <c r="AB271" i="6"/>
  <c r="AB5" i="6"/>
  <c r="AB82" i="6"/>
  <c r="AB399" i="6"/>
  <c r="AB354" i="6"/>
  <c r="AB358" i="6"/>
  <c r="AB242" i="6"/>
  <c r="AB273" i="6"/>
  <c r="AB369" i="6"/>
  <c r="AB189" i="6"/>
  <c r="AB359" i="6"/>
  <c r="AB213" i="6"/>
  <c r="AB100" i="6"/>
  <c r="AB268" i="6"/>
  <c r="AB124" i="6"/>
  <c r="AB49" i="6"/>
  <c r="Q49" i="6" s="1"/>
  <c r="AB344" i="6"/>
  <c r="AB167" i="6"/>
  <c r="AB335" i="6"/>
  <c r="AB186" i="6"/>
  <c r="AB69" i="6"/>
  <c r="AB239" i="6"/>
  <c r="AB3" i="6"/>
  <c r="AB275" i="6"/>
  <c r="AB137" i="6"/>
  <c r="AB319" i="6"/>
  <c r="AB337" i="6"/>
  <c r="AB44" i="6"/>
  <c r="AB76" i="6"/>
  <c r="AB43" i="6"/>
  <c r="AB222" i="6"/>
  <c r="AB195" i="6"/>
  <c r="AB403" i="6"/>
  <c r="AB243" i="6"/>
  <c r="AB350" i="6"/>
  <c r="AB173" i="6"/>
  <c r="AB343" i="6"/>
  <c r="AB194" i="6"/>
  <c r="AB77" i="6"/>
  <c r="AB252" i="6"/>
  <c r="AB108" i="6"/>
  <c r="AB328" i="6"/>
  <c r="AB151" i="6"/>
  <c r="AB316" i="6"/>
  <c r="AB170" i="6"/>
  <c r="AB7" i="6"/>
  <c r="AB96" i="6"/>
  <c r="AB11" i="6"/>
  <c r="AB165" i="6"/>
  <c r="AB216" i="6"/>
  <c r="AB200" i="6"/>
  <c r="AB264" i="6"/>
  <c r="AB93" i="6"/>
  <c r="AB60" i="6"/>
  <c r="AB101" i="6"/>
  <c r="W195" i="2"/>
  <c r="AB387" i="6"/>
  <c r="AB207" i="6"/>
  <c r="AB334" i="6"/>
  <c r="AB157" i="6"/>
  <c r="AB327" i="6"/>
  <c r="AB178" i="6"/>
  <c r="AB61" i="6"/>
  <c r="AB233" i="6"/>
  <c r="AB232" i="6"/>
  <c r="AB406" i="6"/>
  <c r="AB309" i="6"/>
  <c r="AB131" i="6"/>
  <c r="AB300" i="6"/>
  <c r="AB154" i="6"/>
  <c r="AB23" i="6"/>
  <c r="AB72" i="6"/>
  <c r="AB90" i="6"/>
  <c r="AB123" i="6"/>
  <c r="AB161" i="6"/>
  <c r="AB132" i="6"/>
  <c r="AB377" i="6"/>
  <c r="AB14" i="6"/>
  <c r="AB74" i="6"/>
  <c r="AB27" i="6"/>
  <c r="AB329" i="6"/>
  <c r="AB158" i="6"/>
  <c r="AB66" i="6"/>
  <c r="AB371" i="6"/>
  <c r="AB191" i="6"/>
  <c r="AB315" i="6"/>
  <c r="AB138" i="6"/>
  <c r="AB308" i="6"/>
  <c r="AB162" i="6"/>
  <c r="AB15" i="6"/>
  <c r="AB397" i="6"/>
  <c r="AB220" i="6"/>
  <c r="AB390" i="6"/>
  <c r="AB290" i="6"/>
  <c r="AB115" i="6"/>
  <c r="AB278" i="6"/>
  <c r="AB135" i="6"/>
  <c r="AB39" i="6"/>
  <c r="AB56" i="6"/>
  <c r="AB89" i="6"/>
  <c r="AB83" i="6"/>
  <c r="AB113" i="6"/>
  <c r="AB212" i="6"/>
  <c r="AB307" i="6"/>
  <c r="AB400" i="6"/>
  <c r="AB30" i="6"/>
  <c r="AB58" i="6"/>
  <c r="AB398" i="6"/>
  <c r="AB345" i="6"/>
  <c r="AB196" i="6"/>
  <c r="AB235" i="6"/>
  <c r="AB153" i="6"/>
  <c r="AB391" i="6"/>
  <c r="AB372" i="6"/>
  <c r="AB149" i="6"/>
  <c r="AB382" i="6"/>
  <c r="AB134" i="6"/>
  <c r="AB6" i="6"/>
  <c r="AB352" i="6"/>
  <c r="AB396" i="6"/>
  <c r="AB296" i="6"/>
  <c r="AB121" i="6"/>
  <c r="AB289" i="6"/>
  <c r="AB143" i="6"/>
  <c r="AB31" i="6"/>
  <c r="AB381" i="6"/>
  <c r="AB201" i="6"/>
  <c r="AB374" i="6"/>
  <c r="AB225" i="6"/>
  <c r="AB263" i="6"/>
  <c r="AB262" i="6"/>
  <c r="AB118" i="6"/>
  <c r="AB102" i="6"/>
  <c r="AB18" i="6"/>
  <c r="AB70" i="6"/>
  <c r="AB21" i="6"/>
  <c r="AB81" i="6"/>
  <c r="AB159" i="6"/>
  <c r="AB188" i="6"/>
  <c r="AB333" i="6"/>
  <c r="AB46" i="6"/>
  <c r="AB16" i="6"/>
  <c r="AB336" i="6"/>
  <c r="AB380" i="6"/>
  <c r="AB265" i="6"/>
  <c r="AB269" i="6"/>
  <c r="AB270" i="6"/>
  <c r="AB126" i="6"/>
  <c r="AB47" i="6"/>
  <c r="AB365" i="6"/>
  <c r="AB185" i="6"/>
  <c r="AB355" i="6"/>
  <c r="AB206" i="6"/>
  <c r="AB95" i="6"/>
  <c r="AB246" i="6"/>
  <c r="AB247" i="6"/>
  <c r="AB384" i="6"/>
  <c r="AB34" i="6"/>
  <c r="AB4" i="6"/>
  <c r="AB97" i="6"/>
  <c r="AB25" i="6"/>
  <c r="AB109" i="6"/>
  <c r="AB120" i="6"/>
  <c r="AB260" i="6"/>
  <c r="AB388" i="6"/>
  <c r="AB32" i="6"/>
  <c r="AB317" i="6"/>
  <c r="AB364" i="6"/>
  <c r="AB215" i="6"/>
  <c r="AB245" i="6"/>
  <c r="AB254" i="6"/>
  <c r="AB110" i="6"/>
  <c r="AB346" i="6"/>
  <c r="AB169" i="6"/>
  <c r="AB339" i="6"/>
  <c r="AB190" i="6"/>
  <c r="AB73" i="6"/>
  <c r="AB407" i="6"/>
  <c r="AB249" i="6"/>
  <c r="AB314" i="6"/>
  <c r="AB50" i="6"/>
  <c r="AB20" i="6"/>
  <c r="AB84" i="6"/>
  <c r="AB104" i="6"/>
  <c r="AB71" i="6"/>
  <c r="AB197" i="6"/>
  <c r="AB373" i="6"/>
  <c r="AB318" i="6"/>
  <c r="AB48" i="6"/>
  <c r="AB68" i="6"/>
  <c r="AB304" i="6"/>
  <c r="AB52" i="6"/>
  <c r="P302" i="2"/>
  <c r="Q302" i="2"/>
  <c r="J99" i="2"/>
  <c r="J92" i="2"/>
  <c r="J89" i="2"/>
  <c r="J84" i="2"/>
  <c r="J103" i="2"/>
  <c r="J85" i="2"/>
  <c r="J93" i="2"/>
  <c r="J87" i="2"/>
  <c r="J105" i="2"/>
  <c r="J81" i="2"/>
  <c r="J104" i="2"/>
  <c r="J79" i="2"/>
  <c r="J102" i="2"/>
  <c r="J86" i="2"/>
  <c r="J88" i="2"/>
  <c r="J80" i="2"/>
  <c r="J78" i="2"/>
  <c r="J91" i="2"/>
  <c r="J101" i="2"/>
  <c r="J90" i="2"/>
  <c r="J83" i="2"/>
  <c r="J100" i="2"/>
  <c r="J96" i="2"/>
  <c r="J95" i="2"/>
  <c r="J97" i="2"/>
  <c r="J94" i="2"/>
  <c r="J77" i="2"/>
  <c r="J98" i="2"/>
  <c r="J82" i="2"/>
  <c r="J306" i="2"/>
  <c r="J308" i="2"/>
  <c r="J310" i="2"/>
  <c r="J302" i="2"/>
  <c r="J304" i="2"/>
  <c r="J305" i="2"/>
  <c r="J307" i="2"/>
  <c r="J309" i="2"/>
  <c r="J312" i="2"/>
  <c r="J301" i="2"/>
  <c r="J303" i="2"/>
  <c r="J311" i="2"/>
  <c r="J389" i="2"/>
  <c r="J412" i="2"/>
  <c r="J406" i="2"/>
  <c r="J378" i="2"/>
  <c r="J402" i="2"/>
  <c r="J380" i="2"/>
  <c r="J400" i="2"/>
  <c r="J395" i="2"/>
  <c r="J351" i="2"/>
  <c r="J354" i="2"/>
  <c r="J345" i="2"/>
  <c r="J392" i="2"/>
  <c r="J419" i="2"/>
  <c r="J356" i="2"/>
  <c r="J410" i="2"/>
  <c r="J393" i="2"/>
  <c r="J411" i="2"/>
  <c r="J390" i="2"/>
  <c r="J391" i="2"/>
  <c r="J415" i="2"/>
  <c r="J363" i="2"/>
  <c r="J367" i="2"/>
  <c r="J377" i="2"/>
  <c r="J381" i="2"/>
  <c r="J355" i="2"/>
  <c r="J408" i="2"/>
  <c r="J383" i="2"/>
  <c r="J420" i="2"/>
  <c r="J372" i="2"/>
  <c r="J388" i="2"/>
  <c r="J358" i="2"/>
  <c r="J344" i="2"/>
  <c r="J405" i="2"/>
  <c r="J371" i="2"/>
  <c r="J417" i="2"/>
  <c r="J362" i="2"/>
  <c r="J398" i="2"/>
  <c r="J346" i="2"/>
  <c r="J342" i="2"/>
  <c r="J353" i="2"/>
  <c r="J386" i="2"/>
  <c r="J373" i="2"/>
  <c r="J416" i="2"/>
  <c r="J359" i="2"/>
  <c r="J349" i="2"/>
  <c r="J397" i="2"/>
  <c r="J407" i="2"/>
  <c r="J341" i="2"/>
  <c r="J360" i="2"/>
  <c r="J409" i="2"/>
  <c r="J384" i="2"/>
  <c r="J403" i="2"/>
  <c r="J365" i="2"/>
  <c r="J385" i="2"/>
  <c r="J343" i="2"/>
  <c r="J399" i="2"/>
  <c r="J382" i="2"/>
  <c r="J347" i="2"/>
  <c r="J357" i="2"/>
  <c r="J421" i="2"/>
  <c r="J370" i="2"/>
  <c r="J387" i="2"/>
  <c r="J413" i="2"/>
  <c r="J366" i="2"/>
  <c r="J348" i="2"/>
  <c r="J396" i="2"/>
  <c r="J414" i="2"/>
  <c r="J350" i="2"/>
  <c r="J374" i="2"/>
  <c r="J379" i="2"/>
  <c r="J340" i="2"/>
  <c r="J368" i="2"/>
  <c r="J361" i="2"/>
  <c r="J394" i="2"/>
  <c r="J352" i="2"/>
  <c r="J418" i="2"/>
  <c r="J369" i="2"/>
  <c r="J364" i="2"/>
  <c r="J404" i="2"/>
  <c r="J401" i="2"/>
  <c r="J142" i="2"/>
  <c r="J130" i="2"/>
  <c r="J154" i="2"/>
  <c r="J150" i="2"/>
  <c r="J115" i="2"/>
  <c r="J131" i="2"/>
  <c r="J111" i="2"/>
  <c r="J138" i="2"/>
  <c r="J152" i="2"/>
  <c r="J145" i="2"/>
  <c r="J146" i="2"/>
  <c r="J109" i="2"/>
  <c r="J148" i="2"/>
  <c r="J123" i="2"/>
  <c r="J126" i="2"/>
  <c r="J153" i="2"/>
  <c r="J157" i="2"/>
  <c r="J118" i="2"/>
  <c r="J160" i="2"/>
  <c r="J119" i="2"/>
  <c r="J151" i="2"/>
  <c r="J127" i="2"/>
  <c r="J158" i="2"/>
  <c r="J135" i="2"/>
  <c r="J122" i="2"/>
  <c r="J149" i="2"/>
  <c r="J129" i="2"/>
  <c r="J162" i="2"/>
  <c r="J161" i="2"/>
  <c r="J133" i="2"/>
  <c r="J112" i="2"/>
  <c r="J141" i="2"/>
  <c r="J128" i="2"/>
  <c r="J116" i="2"/>
  <c r="J113" i="2"/>
  <c r="J140" i="2"/>
  <c r="J120" i="2"/>
  <c r="J139" i="2"/>
  <c r="J124" i="2"/>
  <c r="J117" i="2"/>
  <c r="J155" i="2"/>
  <c r="J108" i="2"/>
  <c r="J132" i="2"/>
  <c r="J137" i="2"/>
  <c r="J143" i="2"/>
  <c r="J147" i="2"/>
  <c r="J136" i="2"/>
  <c r="J156" i="2"/>
  <c r="J144" i="2"/>
  <c r="J159" i="2"/>
  <c r="J110" i="2"/>
  <c r="J121" i="2"/>
  <c r="J125" i="2"/>
  <c r="J114" i="2"/>
  <c r="J134" i="2"/>
  <c r="J284" i="2"/>
  <c r="M61" i="28" s="1"/>
  <c r="J291" i="2"/>
  <c r="M68" i="28" s="1"/>
  <c r="J294" i="2"/>
  <c r="M71" i="28" s="1"/>
  <c r="J267" i="2"/>
  <c r="M44" i="28" s="1"/>
  <c r="J298" i="2"/>
  <c r="M75" i="28" s="1"/>
  <c r="J297" i="2"/>
  <c r="M74" i="28" s="1"/>
  <c r="J271" i="2"/>
  <c r="M48" i="28" s="1"/>
  <c r="J283" i="2"/>
  <c r="M60" i="28" s="1"/>
  <c r="J259" i="2"/>
  <c r="M36" i="28" s="1"/>
  <c r="J269" i="2"/>
  <c r="M46" i="28" s="1"/>
  <c r="J261" i="2"/>
  <c r="M38" i="28" s="1"/>
  <c r="Q289" i="2"/>
  <c r="J295" i="2" s="1"/>
  <c r="M72" i="28" s="1"/>
  <c r="J280" i="2"/>
  <c r="M57" i="28" s="1"/>
  <c r="J262" i="2"/>
  <c r="M39" i="28" s="1"/>
  <c r="J281" i="2"/>
  <c r="M58" i="28" s="1"/>
  <c r="J258" i="2"/>
  <c r="M35" i="28" s="1"/>
  <c r="J277" i="2"/>
  <c r="M54" i="28" s="1"/>
  <c r="J279" i="2"/>
  <c r="M56" i="28" s="1"/>
  <c r="J290" i="2"/>
  <c r="M67" i="28" s="1"/>
  <c r="J263" i="2"/>
  <c r="M40" i="28" s="1"/>
  <c r="J264" i="2"/>
  <c r="M41" i="28" s="1"/>
  <c r="Q288" i="2"/>
  <c r="J282" i="2"/>
  <c r="M59" i="28" s="1"/>
  <c r="J270" i="2"/>
  <c r="M47" i="28" s="1"/>
  <c r="Q287" i="2"/>
  <c r="J256" i="2"/>
  <c r="M33" i="28" s="1"/>
  <c r="J266" i="2"/>
  <c r="M43" i="28" s="1"/>
  <c r="J285" i="2"/>
  <c r="M62" i="28" s="1"/>
  <c r="J288" i="2"/>
  <c r="M65" i="28" s="1"/>
  <c r="J265" i="2"/>
  <c r="M42" i="28" s="1"/>
  <c r="J296" i="2"/>
  <c r="M73" i="28" s="1"/>
  <c r="J273" i="2"/>
  <c r="M50" i="28" s="1"/>
  <c r="J293" i="2"/>
  <c r="M70" i="28" s="1"/>
  <c r="J275" i="2"/>
  <c r="M52" i="28" s="1"/>
  <c r="J257" i="2"/>
  <c r="M34" i="28" s="1"/>
  <c r="J286" i="2"/>
  <c r="M63" i="28" s="1"/>
  <c r="J278" i="2"/>
  <c r="M55" i="28" s="1"/>
  <c r="J276" i="2"/>
  <c r="M53" i="28" s="1"/>
  <c r="J260" i="2"/>
  <c r="M37" i="28" s="1"/>
  <c r="J292" i="2"/>
  <c r="M69" i="28" s="1"/>
  <c r="J274" i="2"/>
  <c r="M51" i="28" s="1"/>
  <c r="J33" i="2"/>
  <c r="J45" i="2"/>
  <c r="J39" i="2"/>
  <c r="J58" i="2"/>
  <c r="J31" i="2"/>
  <c r="J56" i="2"/>
  <c r="J25" i="2"/>
  <c r="J51" i="2"/>
  <c r="J44" i="2"/>
  <c r="J32" i="2"/>
  <c r="J73" i="2"/>
  <c r="J49" i="2"/>
  <c r="J52" i="2"/>
  <c r="J41" i="2"/>
  <c r="J68" i="2"/>
  <c r="J74" i="2"/>
  <c r="J71" i="2"/>
  <c r="J27" i="2"/>
  <c r="J65" i="2"/>
  <c r="J57" i="2"/>
  <c r="J70" i="2"/>
  <c r="J50" i="2"/>
  <c r="J53" i="2"/>
  <c r="J63" i="2"/>
  <c r="J55" i="2"/>
  <c r="J38" i="2"/>
  <c r="J62" i="2"/>
  <c r="J42" i="2"/>
  <c r="J66" i="2"/>
  <c r="J64" i="2"/>
  <c r="J47" i="2"/>
  <c r="J37" i="2"/>
  <c r="J46" i="2"/>
  <c r="J59" i="2"/>
  <c r="J28" i="2"/>
  <c r="J35" i="2"/>
  <c r="J69" i="2"/>
  <c r="J67" i="2"/>
  <c r="J54" i="2"/>
  <c r="J48" i="2"/>
  <c r="J30" i="2"/>
  <c r="J40" i="2"/>
  <c r="J26" i="2"/>
  <c r="J36" i="2"/>
  <c r="J34" i="2"/>
  <c r="J61" i="2"/>
  <c r="J29" i="2"/>
  <c r="J72" i="2"/>
  <c r="J60" i="2"/>
  <c r="Z238" i="2"/>
  <c r="J241" i="2"/>
  <c r="J239" i="2"/>
  <c r="J242" i="2"/>
  <c r="Z234" i="2"/>
  <c r="J231" i="2"/>
  <c r="J229" i="2"/>
  <c r="J236" i="2"/>
  <c r="J247" i="2"/>
  <c r="J238" i="2"/>
  <c r="J251" i="2"/>
  <c r="J243" i="2"/>
  <c r="J246" i="2"/>
  <c r="J230" i="2"/>
  <c r="J235" i="2"/>
  <c r="J249" i="2"/>
  <c r="J240" i="2"/>
  <c r="J323" i="2"/>
  <c r="J333" i="2"/>
  <c r="J318" i="2"/>
  <c r="J336" i="2"/>
  <c r="J331" i="2"/>
  <c r="J322" i="2"/>
  <c r="J324" i="2"/>
  <c r="J329" i="2"/>
  <c r="J319" i="2"/>
  <c r="J335" i="2"/>
  <c r="J325" i="2"/>
  <c r="J317" i="2"/>
  <c r="J315" i="2"/>
  <c r="J337" i="2"/>
  <c r="J320" i="2"/>
  <c r="J330" i="2"/>
  <c r="J321" i="2"/>
  <c r="J328" i="2"/>
  <c r="J327" i="2"/>
  <c r="J316" i="2"/>
  <c r="J326" i="2"/>
  <c r="J332" i="2"/>
  <c r="J334" i="2"/>
  <c r="J192" i="2"/>
  <c r="M24" i="28" s="1"/>
  <c r="J219" i="2"/>
  <c r="J172" i="2"/>
  <c r="J223" i="2"/>
  <c r="J175" i="2"/>
  <c r="J183" i="2"/>
  <c r="M17" i="28" s="1"/>
  <c r="J178" i="2"/>
  <c r="M13" i="28" s="1"/>
  <c r="J196" i="2"/>
  <c r="J182" i="2"/>
  <c r="M16" i="28" s="1"/>
  <c r="J197" i="2"/>
  <c r="J187" i="2"/>
  <c r="M20" i="28" s="1"/>
  <c r="J216" i="2"/>
  <c r="J224" i="2"/>
  <c r="J195" i="2"/>
  <c r="J203" i="2"/>
  <c r="M27" i="28" s="1"/>
  <c r="J165" i="2"/>
  <c r="J180" i="2"/>
  <c r="M14" i="28" s="1"/>
  <c r="J199" i="2"/>
  <c r="J167" i="2"/>
  <c r="J177" i="2"/>
  <c r="J198" i="2"/>
  <c r="J209" i="2"/>
  <c r="J174" i="2"/>
  <c r="J184" i="2"/>
  <c r="M18" i="28" s="1"/>
  <c r="J193" i="2"/>
  <c r="J179" i="2"/>
  <c r="J205" i="2"/>
  <c r="J173" i="2"/>
  <c r="J191" i="2"/>
  <c r="M23" i="28" s="1"/>
  <c r="J194" i="2"/>
  <c r="J225" i="2"/>
  <c r="M29" i="28" s="1"/>
  <c r="J176" i="2"/>
  <c r="J221" i="2"/>
  <c r="J208" i="2"/>
  <c r="J213" i="2"/>
  <c r="J181" i="2"/>
  <c r="M15" i="28" s="1"/>
  <c r="J217" i="2"/>
  <c r="M28" i="28" s="1"/>
  <c r="J202" i="2"/>
  <c r="J168" i="2"/>
  <c r="J210" i="2"/>
  <c r="J171" i="2"/>
  <c r="J188" i="2"/>
  <c r="J212" i="2"/>
  <c r="J206" i="2"/>
  <c r="J220" i="2"/>
  <c r="J222" i="2"/>
  <c r="J189" i="2"/>
  <c r="M21" i="28" s="1"/>
  <c r="J169" i="2"/>
  <c r="J190" i="2"/>
  <c r="M22" i="28" s="1"/>
  <c r="J186" i="2"/>
  <c r="J204" i="2"/>
  <c r="J215" i="2"/>
  <c r="J170" i="2"/>
  <c r="J218" i="2"/>
  <c r="J166" i="2"/>
  <c r="J211" i="2"/>
  <c r="Z280" i="6"/>
  <c r="U195" i="2"/>
  <c r="Z351" i="6"/>
  <c r="Z219" i="6"/>
  <c r="Z109" i="6"/>
  <c r="Z349" i="6"/>
  <c r="Z217" i="6"/>
  <c r="Z366" i="6"/>
  <c r="Z262" i="6"/>
  <c r="Z79" i="6"/>
  <c r="Z380" i="6"/>
  <c r="Z105" i="6"/>
  <c r="Z77" i="6"/>
  <c r="Z378" i="6"/>
  <c r="Z103" i="6"/>
  <c r="Z75" i="6"/>
  <c r="Z408" i="6"/>
  <c r="Z255" i="6"/>
  <c r="Z122" i="6"/>
  <c r="Z269" i="6"/>
  <c r="Z184" i="6"/>
  <c r="Z126" i="6"/>
  <c r="Z318" i="6"/>
  <c r="Z388" i="6"/>
  <c r="Z353" i="6"/>
  <c r="P161" i="6"/>
  <c r="Q195" i="6"/>
  <c r="Q184" i="6"/>
  <c r="P164" i="6"/>
  <c r="Q164" i="6"/>
  <c r="P151" i="6"/>
  <c r="P302" i="6"/>
  <c r="Z335" i="6"/>
  <c r="Z200" i="6"/>
  <c r="Z138" i="6"/>
  <c r="Z333" i="6"/>
  <c r="Z258" i="6"/>
  <c r="Z347" i="6"/>
  <c r="Z215" i="6"/>
  <c r="Z63" i="6"/>
  <c r="Z364" i="6"/>
  <c r="Z256" i="6"/>
  <c r="Z61" i="6"/>
  <c r="Z359" i="6"/>
  <c r="Z250" i="6"/>
  <c r="Z59" i="6"/>
  <c r="Z392" i="6"/>
  <c r="Z239" i="6"/>
  <c r="Z128" i="6"/>
  <c r="Z406" i="6"/>
  <c r="Z253" i="6"/>
  <c r="Z100" i="6"/>
  <c r="Q182" i="6"/>
  <c r="Z264" i="6"/>
  <c r="Z375" i="6"/>
  <c r="P375" i="6" s="1"/>
  <c r="Z340" i="6"/>
  <c r="Z316" i="6"/>
  <c r="Z229" i="6"/>
  <c r="Z178" i="6"/>
  <c r="Z314" i="6"/>
  <c r="Z226" i="6"/>
  <c r="Z331" i="6"/>
  <c r="Z276" i="6"/>
  <c r="Z90" i="6"/>
  <c r="Z345" i="6"/>
  <c r="Z213" i="6"/>
  <c r="Z196" i="6"/>
  <c r="Z343" i="6"/>
  <c r="P343" i="6" s="1"/>
  <c r="Z211" i="6"/>
  <c r="Z180" i="6"/>
  <c r="Z376" i="6"/>
  <c r="P376" i="6" s="1"/>
  <c r="Z101" i="6"/>
  <c r="Z73" i="6"/>
  <c r="Z390" i="6"/>
  <c r="Z234" i="6"/>
  <c r="Z115" i="6"/>
  <c r="Z302" i="6"/>
  <c r="Z27" i="6"/>
  <c r="Z232" i="6"/>
  <c r="Z221" i="6"/>
  <c r="Z300" i="6"/>
  <c r="Z231" i="6"/>
  <c r="Z4" i="6"/>
  <c r="Z295" i="6"/>
  <c r="P295" i="6" s="1"/>
  <c r="Z207" i="6"/>
  <c r="Z312" i="6"/>
  <c r="Z252" i="6"/>
  <c r="Z121" i="6"/>
  <c r="Z329" i="6"/>
  <c r="Z244" i="6"/>
  <c r="Z118" i="6"/>
  <c r="Z327" i="6"/>
  <c r="Z227" i="6"/>
  <c r="Z106" i="6"/>
  <c r="Z357" i="6"/>
  <c r="Z225" i="6"/>
  <c r="Z57" i="6"/>
  <c r="Z374" i="6"/>
  <c r="Z99" i="6"/>
  <c r="Z71" i="6"/>
  <c r="Z286" i="6"/>
  <c r="Z22" i="6"/>
  <c r="Z179" i="6"/>
  <c r="Z132" i="6"/>
  <c r="Z405" i="6"/>
  <c r="Z212" i="6"/>
  <c r="Z20" i="6"/>
  <c r="Z403" i="6"/>
  <c r="P403" i="6" s="1"/>
  <c r="Z191" i="6"/>
  <c r="Z293" i="6"/>
  <c r="Z224" i="6"/>
  <c r="Z160" i="6"/>
  <c r="Z310" i="6"/>
  <c r="Z246" i="6"/>
  <c r="Z147" i="6"/>
  <c r="Z308" i="6"/>
  <c r="P308" i="6" s="1"/>
  <c r="Z272" i="6"/>
  <c r="Z141" i="6"/>
  <c r="Z341" i="6"/>
  <c r="P341" i="6" s="1"/>
  <c r="Z206" i="6"/>
  <c r="Z167" i="6"/>
  <c r="Z355" i="6"/>
  <c r="Z223" i="6"/>
  <c r="Z168" i="6"/>
  <c r="Z266" i="6"/>
  <c r="Z404" i="6"/>
  <c r="Z88" i="6"/>
  <c r="Z65" i="6"/>
  <c r="P147" i="6"/>
  <c r="P195" i="6"/>
  <c r="Q198" i="6"/>
  <c r="Q163" i="6"/>
  <c r="Q269" i="6"/>
  <c r="P200" i="6"/>
  <c r="Q159" i="6"/>
  <c r="Z389" i="6"/>
  <c r="Z193" i="6"/>
  <c r="Z36" i="6"/>
  <c r="Z387" i="6"/>
  <c r="Z175" i="6"/>
  <c r="Z401" i="6"/>
  <c r="Z205" i="6"/>
  <c r="Z8" i="6"/>
  <c r="Z291" i="6"/>
  <c r="P291" i="6" s="1"/>
  <c r="Z222" i="6"/>
  <c r="Z10" i="6"/>
  <c r="Z289" i="6"/>
  <c r="Z220" i="6"/>
  <c r="Z12" i="6"/>
  <c r="Z322" i="6"/>
  <c r="Z270" i="6"/>
  <c r="Z92" i="6"/>
  <c r="Z339" i="6"/>
  <c r="Z204" i="6"/>
  <c r="Z157" i="6"/>
  <c r="Z43" i="6"/>
  <c r="Z391" i="6"/>
  <c r="Z163" i="6"/>
  <c r="Z6" i="6"/>
  <c r="Q201" i="6"/>
  <c r="P204" i="6"/>
  <c r="P196" i="6"/>
  <c r="P157" i="6"/>
  <c r="P202" i="6"/>
  <c r="Q197" i="6"/>
  <c r="P170" i="6"/>
  <c r="Z373" i="6"/>
  <c r="Z177" i="6"/>
  <c r="Z52" i="6"/>
  <c r="Z371" i="6"/>
  <c r="Z98" i="6"/>
  <c r="Z385" i="6"/>
  <c r="Z189" i="6"/>
  <c r="Z24" i="6"/>
  <c r="Z399" i="6"/>
  <c r="Z203" i="6"/>
  <c r="Z26" i="6"/>
  <c r="Z397" i="6"/>
  <c r="Z201" i="6"/>
  <c r="Z28" i="6"/>
  <c r="Z306" i="6"/>
  <c r="Z240" i="6"/>
  <c r="Z127" i="6"/>
  <c r="Z320" i="6"/>
  <c r="Z235" i="6"/>
  <c r="Z274" i="6"/>
  <c r="Z154" i="6"/>
  <c r="Z251" i="6"/>
  <c r="Z94" i="6"/>
  <c r="Z114" i="6"/>
  <c r="Q147" i="6"/>
  <c r="Q169" i="6"/>
  <c r="Q160" i="6"/>
  <c r="P162" i="6"/>
  <c r="Q150" i="6"/>
  <c r="P187" i="6"/>
  <c r="P153" i="6"/>
  <c r="Z354" i="6"/>
  <c r="Z113" i="6"/>
  <c r="Z117" i="6"/>
  <c r="Z352" i="6"/>
  <c r="Z116" i="6"/>
  <c r="Z369" i="6"/>
  <c r="Z173" i="6"/>
  <c r="Z40" i="6"/>
  <c r="Z383" i="6"/>
  <c r="Z187" i="6"/>
  <c r="Z42" i="6"/>
  <c r="Q42" i="6" s="1"/>
  <c r="Z381" i="6"/>
  <c r="Z185" i="6"/>
  <c r="Z44" i="6"/>
  <c r="Z287" i="6"/>
  <c r="Z218" i="6"/>
  <c r="Z14" i="6"/>
  <c r="Z304" i="6"/>
  <c r="Z278" i="6"/>
  <c r="Z124" i="6"/>
  <c r="Z34" i="6"/>
  <c r="Z195" i="6"/>
  <c r="Z64" i="6"/>
  <c r="Z165" i="6"/>
  <c r="Q157" i="6"/>
  <c r="Q189" i="6"/>
  <c r="P155" i="6"/>
  <c r="P169" i="6"/>
  <c r="P184" i="6"/>
  <c r="Q205" i="6"/>
  <c r="P180" i="6"/>
  <c r="Z338" i="6"/>
  <c r="Z119" i="6"/>
  <c r="Z156" i="6"/>
  <c r="Z336" i="6"/>
  <c r="Z15" i="6"/>
  <c r="Z350" i="6"/>
  <c r="Z3" i="6"/>
  <c r="Z192" i="6"/>
  <c r="Z367" i="6"/>
  <c r="Z260" i="6"/>
  <c r="P260" i="6" s="1"/>
  <c r="Z176" i="6"/>
  <c r="Z365" i="6"/>
  <c r="Z254" i="6"/>
  <c r="Z153" i="6"/>
  <c r="Z395" i="6"/>
  <c r="Z199" i="6"/>
  <c r="Z30" i="6"/>
  <c r="Z285" i="6"/>
  <c r="Z216" i="6"/>
  <c r="Z16" i="6"/>
  <c r="Z84" i="6"/>
  <c r="Z198" i="6"/>
  <c r="Z372" i="6"/>
  <c r="Z337" i="6"/>
  <c r="P337" i="6" s="1"/>
  <c r="Z319" i="6"/>
  <c r="Z13" i="6"/>
  <c r="Z82" i="6"/>
  <c r="Z317" i="6"/>
  <c r="Z31" i="6"/>
  <c r="Z334" i="6"/>
  <c r="Z110" i="6"/>
  <c r="Z111" i="6"/>
  <c r="Z348" i="6"/>
  <c r="Z186" i="6"/>
  <c r="Z166" i="6"/>
  <c r="Z346" i="6"/>
  <c r="Z155" i="6"/>
  <c r="Z108" i="6"/>
  <c r="Z379" i="6"/>
  <c r="Z183" i="6"/>
  <c r="Z46" i="6"/>
  <c r="Z393" i="6"/>
  <c r="Z197" i="6"/>
  <c r="Z32" i="6"/>
  <c r="Z407" i="6"/>
  <c r="Z194" i="6"/>
  <c r="Z356" i="6"/>
  <c r="Z321" i="6"/>
  <c r="Z303" i="6"/>
  <c r="Z29" i="6"/>
  <c r="Z66" i="6"/>
  <c r="Z301" i="6"/>
  <c r="Z47" i="6"/>
  <c r="Z315" i="6"/>
  <c r="Z17" i="6"/>
  <c r="Z137" i="6"/>
  <c r="Z332" i="6"/>
  <c r="Z107" i="6"/>
  <c r="Z123" i="6"/>
  <c r="Z330" i="6"/>
  <c r="Z5" i="6"/>
  <c r="Z120" i="6"/>
  <c r="Z360" i="6"/>
  <c r="Z228" i="6"/>
  <c r="Z150" i="6"/>
  <c r="Z377" i="6"/>
  <c r="Z181" i="6"/>
  <c r="Z48" i="6"/>
  <c r="Z267" i="6"/>
  <c r="Z50" i="6"/>
  <c r="Z97" i="6"/>
  <c r="Z202" i="6"/>
  <c r="Z281" i="6"/>
  <c r="Z45" i="6"/>
  <c r="Z172" i="6"/>
  <c r="Z279" i="6"/>
  <c r="Z158" i="6"/>
  <c r="Z296" i="6"/>
  <c r="Z33" i="6"/>
  <c r="Z78" i="6"/>
  <c r="Z313" i="6"/>
  <c r="Z19" i="6"/>
  <c r="Z76" i="6"/>
  <c r="Z311" i="6"/>
  <c r="Z21" i="6"/>
  <c r="Z74" i="6"/>
  <c r="Z344" i="6"/>
  <c r="Z152" i="6"/>
  <c r="Z190" i="6"/>
  <c r="Z358" i="6"/>
  <c r="Z248" i="6"/>
  <c r="Z134" i="6"/>
  <c r="Z214" i="6"/>
  <c r="Z68" i="6"/>
  <c r="Z171" i="6"/>
  <c r="Z11" i="6"/>
  <c r="Z265" i="6"/>
  <c r="Z161" i="6"/>
  <c r="Q188" i="6"/>
  <c r="Z263" i="6"/>
  <c r="Z164" i="6"/>
  <c r="Z277" i="6"/>
  <c r="Z49" i="6"/>
  <c r="Z62" i="6"/>
  <c r="Z294" i="6"/>
  <c r="Z35" i="6"/>
  <c r="Z60" i="6"/>
  <c r="Z292" i="6"/>
  <c r="Z37" i="6"/>
  <c r="Z58" i="6"/>
  <c r="Z328" i="6"/>
  <c r="Z7" i="6"/>
  <c r="Z96" i="6"/>
  <c r="Z342" i="6"/>
  <c r="Z136" i="6"/>
  <c r="Z174" i="6"/>
  <c r="Z169" i="6"/>
  <c r="Z305" i="6"/>
  <c r="Z69" i="6"/>
  <c r="Z112" i="6"/>
  <c r="P175" i="6"/>
  <c r="Q162" i="6"/>
  <c r="Q156" i="6"/>
  <c r="Q203" i="6"/>
  <c r="Q187" i="6"/>
  <c r="P167" i="6"/>
  <c r="P150" i="6"/>
  <c r="Z402" i="6"/>
  <c r="Z249" i="6"/>
  <c r="Z182" i="6"/>
  <c r="Z400" i="6"/>
  <c r="Z247" i="6"/>
  <c r="Z81" i="6"/>
  <c r="Z261" i="6"/>
  <c r="P261" i="6" s="1"/>
  <c r="Z162" i="6"/>
  <c r="Z275" i="6"/>
  <c r="Z51" i="6"/>
  <c r="Z149" i="6"/>
  <c r="Z273" i="6"/>
  <c r="Z170" i="6"/>
  <c r="Z143" i="6"/>
  <c r="Z309" i="6"/>
  <c r="Z23" i="6"/>
  <c r="Z72" i="6"/>
  <c r="Z326" i="6"/>
  <c r="Z9" i="6"/>
  <c r="Z89" i="6"/>
  <c r="Z135" i="6"/>
  <c r="Z102" i="6"/>
  <c r="Z104" i="6"/>
  <c r="Z18" i="6"/>
  <c r="R2" i="2"/>
  <c r="Q173" i="6"/>
  <c r="P205" i="6"/>
  <c r="P177" i="6"/>
  <c r="Q170" i="6"/>
  <c r="Q179" i="6"/>
  <c r="P186" i="6"/>
  <c r="Z386" i="6"/>
  <c r="Z230" i="6"/>
  <c r="Z83" i="6"/>
  <c r="Z384" i="6"/>
  <c r="Z268" i="6"/>
  <c r="Z398" i="6"/>
  <c r="Z245" i="6"/>
  <c r="Z142" i="6"/>
  <c r="P193" i="6"/>
  <c r="Z259" i="6"/>
  <c r="Z139" i="6"/>
  <c r="P174" i="6"/>
  <c r="Z257" i="6"/>
  <c r="Z125" i="6"/>
  <c r="Z290" i="6"/>
  <c r="Z39" i="6"/>
  <c r="Z56" i="6"/>
  <c r="Z307" i="6"/>
  <c r="Z25" i="6"/>
  <c r="Z70" i="6"/>
  <c r="Z38" i="6"/>
  <c r="Z140" i="6"/>
  <c r="Z130" i="6"/>
  <c r="Z159" i="6"/>
  <c r="P207" i="6"/>
  <c r="Q166" i="6"/>
  <c r="P171" i="6"/>
  <c r="Q186" i="6"/>
  <c r="P203" i="6"/>
  <c r="P159" i="6"/>
  <c r="P156" i="6"/>
  <c r="Q152" i="6"/>
  <c r="Z370" i="6"/>
  <c r="Z95" i="6"/>
  <c r="Z67" i="6"/>
  <c r="Z368" i="6"/>
  <c r="Z93" i="6"/>
  <c r="Z382" i="6"/>
  <c r="Z233" i="6"/>
  <c r="Z151" i="6"/>
  <c r="Z396" i="6"/>
  <c r="Z243" i="6"/>
  <c r="Z148" i="6"/>
  <c r="Z394" i="6"/>
  <c r="Z241" i="6"/>
  <c r="Z131" i="6"/>
  <c r="Q183" i="6"/>
  <c r="Z271" i="6"/>
  <c r="Z242" i="6"/>
  <c r="Z129" i="6"/>
  <c r="Z288" i="6"/>
  <c r="Z41" i="6"/>
  <c r="Q41" i="6" s="1"/>
  <c r="Z91" i="6"/>
  <c r="Z80" i="6"/>
  <c r="P191" i="6"/>
  <c r="Z188" i="6"/>
  <c r="P192" i="6"/>
  <c r="Q200" i="6"/>
  <c r="P168" i="6"/>
  <c r="Q196" i="6"/>
  <c r="P181" i="6"/>
  <c r="P173" i="6"/>
  <c r="Q178" i="6"/>
  <c r="P158" i="6"/>
  <c r="P198" i="6"/>
  <c r="Q171" i="6"/>
  <c r="P154" i="6"/>
  <c r="Q180" i="6"/>
  <c r="P206" i="6"/>
  <c r="P160" i="6"/>
  <c r="Q149" i="6"/>
  <c r="Q194" i="6"/>
  <c r="Q202" i="6"/>
  <c r="P176" i="6"/>
  <c r="P185" i="6"/>
  <c r="Q185" i="6"/>
  <c r="Q148" i="6"/>
  <c r="P194" i="6"/>
  <c r="P190" i="6"/>
  <c r="P301" i="6"/>
  <c r="Q161" i="6"/>
  <c r="P179" i="6"/>
  <c r="Q154" i="6"/>
  <c r="P172" i="6"/>
  <c r="P149" i="6"/>
  <c r="Q158" i="6"/>
  <c r="Q153" i="6"/>
  <c r="Q192" i="6"/>
  <c r="P199" i="6"/>
  <c r="P148" i="6"/>
  <c r="Q181" i="6"/>
  <c r="Q172" i="6"/>
  <c r="Q175" i="6"/>
  <c r="Q206" i="6"/>
  <c r="P165" i="6"/>
  <c r="Q204" i="6"/>
  <c r="P152" i="6"/>
  <c r="Q168" i="6"/>
  <c r="P166" i="6"/>
  <c r="P178" i="6"/>
  <c r="P163" i="6"/>
  <c r="P189" i="6"/>
  <c r="Q207" i="6"/>
  <c r="Q2" i="2"/>
  <c r="Q199" i="6"/>
  <c r="Q151" i="6"/>
  <c r="Q167" i="6"/>
  <c r="Q176" i="6"/>
  <c r="Q177" i="6"/>
  <c r="P201" i="6"/>
  <c r="Q155" i="6"/>
  <c r="P197" i="6"/>
  <c r="H328" i="2"/>
  <c r="H330" i="2"/>
  <c r="H320" i="2"/>
  <c r="H324" i="2"/>
  <c r="H331" i="2"/>
  <c r="H336" i="2"/>
  <c r="H315" i="2"/>
  <c r="H321" i="2"/>
  <c r="H325" i="2"/>
  <c r="H316" i="2"/>
  <c r="H327" i="2"/>
  <c r="H334" i="2"/>
  <c r="H319" i="2"/>
  <c r="H332" i="2"/>
  <c r="H326" i="2"/>
  <c r="H318" i="2"/>
  <c r="H329" i="2"/>
  <c r="H333" i="2"/>
  <c r="H317" i="2"/>
  <c r="H335" i="2"/>
  <c r="H322" i="2"/>
  <c r="H337" i="2"/>
  <c r="H323" i="2"/>
  <c r="H130" i="2"/>
  <c r="H150" i="2"/>
  <c r="H119" i="2"/>
  <c r="H148" i="2"/>
  <c r="H142" i="2"/>
  <c r="H139" i="2"/>
  <c r="H122" i="2"/>
  <c r="H127" i="2"/>
  <c r="H162" i="2"/>
  <c r="H131" i="2"/>
  <c r="H138" i="2"/>
  <c r="H113" i="2"/>
  <c r="H112" i="2"/>
  <c r="H149" i="2"/>
  <c r="H121" i="2"/>
  <c r="H116" i="2"/>
  <c r="H114" i="2"/>
  <c r="H146" i="2"/>
  <c r="H153" i="2"/>
  <c r="H126" i="2"/>
  <c r="H159" i="2"/>
  <c r="H161" i="2"/>
  <c r="H135" i="2"/>
  <c r="H157" i="2"/>
  <c r="H129" i="2"/>
  <c r="H160" i="2"/>
  <c r="H137" i="2"/>
  <c r="H117" i="2"/>
  <c r="H152" i="2"/>
  <c r="H128" i="2"/>
  <c r="H109" i="2"/>
  <c r="H133" i="2"/>
  <c r="H118" i="2"/>
  <c r="H143" i="2"/>
  <c r="H124" i="2"/>
  <c r="H151" i="2"/>
  <c r="H111" i="2"/>
  <c r="H155" i="2"/>
  <c r="H110" i="2"/>
  <c r="H125" i="2"/>
  <c r="H120" i="2"/>
  <c r="H140" i="2"/>
  <c r="H134" i="2"/>
  <c r="H115" i="2"/>
  <c r="H132" i="2"/>
  <c r="H123" i="2"/>
  <c r="H144" i="2"/>
  <c r="H145" i="2"/>
  <c r="H147" i="2"/>
  <c r="H154" i="2"/>
  <c r="H108" i="2"/>
  <c r="H158" i="2"/>
  <c r="H141" i="2"/>
  <c r="H156" i="2"/>
  <c r="H136" i="2"/>
  <c r="H179" i="2"/>
  <c r="H220" i="2"/>
  <c r="H212" i="2"/>
  <c r="H194" i="2"/>
  <c r="H215" i="2"/>
  <c r="H167" i="2"/>
  <c r="H211" i="2"/>
  <c r="H178" i="2"/>
  <c r="K13" i="28" s="1"/>
  <c r="H186" i="2"/>
  <c r="H218" i="2"/>
  <c r="H185" i="2"/>
  <c r="K19" i="28" s="1"/>
  <c r="H192" i="2"/>
  <c r="K24" i="28" s="1"/>
  <c r="H177" i="2"/>
  <c r="H168" i="2"/>
  <c r="H169" i="2"/>
  <c r="H224" i="2"/>
  <c r="H209" i="2"/>
  <c r="H205" i="2"/>
  <c r="H208" i="2"/>
  <c r="H225" i="2"/>
  <c r="K29" i="28" s="1"/>
  <c r="H199" i="2"/>
  <c r="H172" i="2"/>
  <c r="H216" i="2"/>
  <c r="H189" i="2"/>
  <c r="K21" i="28" s="1"/>
  <c r="H180" i="2"/>
  <c r="K14" i="28" s="1"/>
  <c r="H170" i="2"/>
  <c r="H191" i="2"/>
  <c r="K23" i="28" s="1"/>
  <c r="H184" i="2"/>
  <c r="K18" i="28" s="1"/>
  <c r="H183" i="2"/>
  <c r="K17" i="28" s="1"/>
  <c r="H210" i="2"/>
  <c r="H214" i="2"/>
  <c r="H197" i="2"/>
  <c r="H187" i="2"/>
  <c r="K20" i="28" s="1"/>
  <c r="H181" i="2"/>
  <c r="K15" i="28" s="1"/>
  <c r="H206" i="2"/>
  <c r="H190" i="2"/>
  <c r="K22" i="28" s="1"/>
  <c r="H174" i="2"/>
  <c r="H223" i="2"/>
  <c r="H175" i="2"/>
  <c r="H188" i="2"/>
  <c r="H219" i="2"/>
  <c r="H203" i="2"/>
  <c r="K27" i="28" s="1"/>
  <c r="H221" i="2"/>
  <c r="H222" i="2"/>
  <c r="H202" i="2"/>
  <c r="H193" i="2"/>
  <c r="H165" i="2"/>
  <c r="H182" i="2"/>
  <c r="K16" i="28" s="1"/>
  <c r="H171" i="2"/>
  <c r="H195" i="2"/>
  <c r="H213" i="2"/>
  <c r="H166" i="2"/>
  <c r="H198" i="2"/>
  <c r="H196" i="2"/>
  <c r="H204" i="2"/>
  <c r="H173" i="2"/>
  <c r="H176" i="2"/>
  <c r="H217" i="2"/>
  <c r="K28" i="28" s="1"/>
  <c r="T208" i="2"/>
  <c r="H207" i="2"/>
  <c r="H80" i="2"/>
  <c r="H105" i="2"/>
  <c r="H85" i="2"/>
  <c r="H102" i="2"/>
  <c r="H81" i="2"/>
  <c r="H91" i="2"/>
  <c r="H86" i="2"/>
  <c r="H78" i="2"/>
  <c r="H79" i="2"/>
  <c r="H103" i="2"/>
  <c r="H88" i="2"/>
  <c r="H83" i="2"/>
  <c r="H98" i="2"/>
  <c r="H90" i="2"/>
  <c r="H92" i="2"/>
  <c r="H84" i="2"/>
  <c r="H94" i="2"/>
  <c r="H99" i="2"/>
  <c r="H101" i="2"/>
  <c r="H89" i="2"/>
  <c r="H104" i="2"/>
  <c r="H93" i="2"/>
  <c r="H100" i="2"/>
  <c r="H95" i="2"/>
  <c r="H97" i="2"/>
  <c r="H96" i="2"/>
  <c r="H77" i="2"/>
  <c r="H82" i="2"/>
  <c r="H87" i="2"/>
  <c r="H69" i="2"/>
  <c r="H74" i="2"/>
  <c r="H42" i="2"/>
  <c r="H54" i="2"/>
  <c r="H25" i="2"/>
  <c r="H37" i="2"/>
  <c r="H63" i="2"/>
  <c r="H33" i="2"/>
  <c r="H65" i="2"/>
  <c r="H71" i="2"/>
  <c r="H72" i="2"/>
  <c r="H49" i="2"/>
  <c r="H51" i="2"/>
  <c r="H32" i="2"/>
  <c r="H56" i="2"/>
  <c r="H27" i="2"/>
  <c r="H43" i="2"/>
  <c r="H35" i="2"/>
  <c r="H73" i="2"/>
  <c r="H64" i="2"/>
  <c r="H40" i="2"/>
  <c r="H68" i="2"/>
  <c r="H55" i="2"/>
  <c r="H61" i="2"/>
  <c r="H26" i="2"/>
  <c r="H67" i="2"/>
  <c r="H31" i="2"/>
  <c r="H34" i="2"/>
  <c r="H66" i="2"/>
  <c r="H44" i="2"/>
  <c r="H60" i="2"/>
  <c r="H28" i="2"/>
  <c r="H58" i="2"/>
  <c r="H41" i="2"/>
  <c r="H70" i="2"/>
  <c r="H52" i="2"/>
  <c r="H30" i="2"/>
  <c r="H45" i="2"/>
  <c r="H47" i="2"/>
  <c r="H36" i="2"/>
  <c r="H29" i="2"/>
  <c r="H39" i="2"/>
  <c r="H46" i="2"/>
  <c r="H48" i="2"/>
  <c r="H38" i="2"/>
  <c r="H50" i="2"/>
  <c r="H53" i="2"/>
  <c r="H59" i="2"/>
  <c r="H57" i="2"/>
  <c r="H62" i="2"/>
  <c r="H238" i="2"/>
  <c r="H236" i="2"/>
  <c r="H252" i="2"/>
  <c r="H251" i="2"/>
  <c r="X234" i="2"/>
  <c r="H233" i="2"/>
  <c r="X238" i="2"/>
  <c r="H243" i="2"/>
  <c r="H242" i="2"/>
  <c r="H232" i="2"/>
  <c r="H244" i="2"/>
  <c r="H237" i="2"/>
  <c r="H234" i="2"/>
  <c r="H250" i="2"/>
  <c r="H241" i="2"/>
  <c r="H230" i="2"/>
  <c r="H228" i="2"/>
  <c r="H245" i="2"/>
  <c r="H248" i="2"/>
  <c r="H229" i="2"/>
  <c r="H240" i="2"/>
  <c r="H246" i="2"/>
  <c r="H239" i="2"/>
  <c r="H235" i="2"/>
  <c r="H231" i="2"/>
  <c r="H247" i="2"/>
  <c r="H249" i="2"/>
  <c r="H310" i="2"/>
  <c r="H307" i="2"/>
  <c r="H312" i="2"/>
  <c r="H304" i="2"/>
  <c r="H306" i="2"/>
  <c r="H308" i="2"/>
  <c r="H311" i="2"/>
  <c r="H303" i="2"/>
  <c r="H301" i="2"/>
  <c r="H302" i="2"/>
  <c r="H305" i="2"/>
  <c r="H309" i="2"/>
  <c r="H354" i="2"/>
  <c r="H350" i="2"/>
  <c r="H415" i="2"/>
  <c r="H343" i="2"/>
  <c r="H367" i="2"/>
  <c r="H410" i="2"/>
  <c r="H372" i="2"/>
  <c r="H373" i="2"/>
  <c r="H378" i="2"/>
  <c r="H395" i="2"/>
  <c r="H412" i="2"/>
  <c r="H418" i="2"/>
  <c r="H359" i="2"/>
  <c r="H361" i="2"/>
  <c r="H379" i="2"/>
  <c r="H356" i="2"/>
  <c r="H385" i="2"/>
  <c r="H370" i="2"/>
  <c r="H383" i="2"/>
  <c r="H408" i="2"/>
  <c r="H351" i="2"/>
  <c r="H413" i="2"/>
  <c r="H384" i="2"/>
  <c r="H421" i="2"/>
  <c r="H387" i="2"/>
  <c r="H414" i="2"/>
  <c r="H393" i="2"/>
  <c r="H404" i="2"/>
  <c r="H382" i="2"/>
  <c r="H349" i="2"/>
  <c r="H368" i="2"/>
  <c r="H407" i="2"/>
  <c r="H396" i="2"/>
  <c r="H381" i="2"/>
  <c r="H358" i="2"/>
  <c r="H416" i="2"/>
  <c r="H341" i="2"/>
  <c r="H397" i="2"/>
  <c r="H391" i="2"/>
  <c r="H392" i="2"/>
  <c r="H360" i="2"/>
  <c r="H402" i="2"/>
  <c r="H386" i="2"/>
  <c r="H346" i="2"/>
  <c r="H388" i="2"/>
  <c r="H417" i="2"/>
  <c r="H403" i="2"/>
  <c r="H401" i="2"/>
  <c r="H365" i="2"/>
  <c r="H366" i="2"/>
  <c r="H405" i="2"/>
  <c r="H374" i="2"/>
  <c r="H352" i="2"/>
  <c r="H377" i="2"/>
  <c r="H340" i="2"/>
  <c r="H389" i="2"/>
  <c r="H406" i="2"/>
  <c r="H369" i="2"/>
  <c r="H345" i="2"/>
  <c r="H344" i="2"/>
  <c r="H409" i="2"/>
  <c r="H355" i="2"/>
  <c r="H362" i="2"/>
  <c r="H411" i="2"/>
  <c r="H380" i="2"/>
  <c r="H342" i="2"/>
  <c r="H347" i="2"/>
  <c r="H353" i="2"/>
  <c r="H420" i="2"/>
  <c r="H399" i="2"/>
  <c r="H394" i="2"/>
  <c r="H348" i="2"/>
  <c r="H400" i="2"/>
  <c r="H398" i="2"/>
  <c r="H419" i="2"/>
  <c r="H363" i="2"/>
  <c r="H390" i="2"/>
  <c r="H357" i="2"/>
  <c r="H371" i="2"/>
  <c r="H364" i="2"/>
  <c r="X113" i="6"/>
  <c r="O113" i="6" s="1"/>
  <c r="X139" i="6"/>
  <c r="O139" i="6" s="1"/>
  <c r="X62" i="6"/>
  <c r="O62" i="6" s="1"/>
  <c r="X334" i="6"/>
  <c r="O334" i="6" s="1"/>
  <c r="X172" i="6"/>
  <c r="O172" i="6" s="1"/>
  <c r="X278" i="6"/>
  <c r="O278" i="6" s="1"/>
  <c r="X253" i="6"/>
  <c r="O253" i="6" s="1"/>
  <c r="X52" i="6"/>
  <c r="O52" i="6" s="1"/>
  <c r="O380" i="6"/>
  <c r="X226" i="6"/>
  <c r="O226" i="6" s="1"/>
  <c r="X229" i="6"/>
  <c r="O229" i="6" s="1"/>
  <c r="X112" i="6"/>
  <c r="O112" i="6" s="1"/>
  <c r="X42" i="6"/>
  <c r="O42" i="6" s="1"/>
  <c r="X288" i="6"/>
  <c r="O288" i="6" s="1"/>
  <c r="X59" i="6"/>
  <c r="O59" i="6" s="1"/>
  <c r="X21" i="6"/>
  <c r="O21" i="6" s="1"/>
  <c r="T195" i="2"/>
  <c r="T197" i="2" s="1"/>
  <c r="X90" i="6"/>
  <c r="O90" i="6" s="1"/>
  <c r="X92" i="6"/>
  <c r="O92" i="6" s="1"/>
  <c r="X94" i="6"/>
  <c r="O94" i="6" s="1"/>
  <c r="X151" i="6"/>
  <c r="O151" i="6" s="1"/>
  <c r="X308" i="6"/>
  <c r="O308" i="6" s="1"/>
  <c r="X269" i="6"/>
  <c r="O269" i="6" s="1"/>
  <c r="X255" i="6"/>
  <c r="O255" i="6" s="1"/>
  <c r="X106" i="6"/>
  <c r="O106" i="6" s="1"/>
  <c r="X354" i="6"/>
  <c r="O354" i="6" s="1"/>
  <c r="X289" i="6"/>
  <c r="O289" i="6" s="1"/>
  <c r="X240" i="6"/>
  <c r="O240" i="6" s="1"/>
  <c r="X108" i="6"/>
  <c r="O108" i="6" s="1"/>
  <c r="X268" i="6"/>
  <c r="O268" i="6" s="1"/>
  <c r="X47" i="6"/>
  <c r="O47" i="6" s="1"/>
  <c r="X313" i="6"/>
  <c r="O313" i="6" s="1"/>
  <c r="X220" i="6"/>
  <c r="O220" i="6" s="1"/>
  <c r="X310" i="6"/>
  <c r="O310" i="6" s="1"/>
  <c r="X400" i="6"/>
  <c r="O400" i="6" s="1"/>
  <c r="X29" i="6"/>
  <c r="O29" i="6" s="1"/>
  <c r="X252" i="6"/>
  <c r="O252" i="6" s="1"/>
  <c r="X96" i="6"/>
  <c r="O96" i="6" s="1"/>
  <c r="X173" i="6"/>
  <c r="O173" i="6" s="1"/>
  <c r="X109" i="6"/>
  <c r="O109" i="6" s="1"/>
  <c r="X234" i="6"/>
  <c r="O234" i="6" s="1"/>
  <c r="X130" i="6"/>
  <c r="O130" i="6" s="1"/>
  <c r="X69" i="6"/>
  <c r="O69" i="6" s="1"/>
  <c r="X342" i="6"/>
  <c r="O342" i="6" s="1"/>
  <c r="X185" i="6"/>
  <c r="O185" i="6" s="1"/>
  <c r="X265" i="6"/>
  <c r="O265" i="6" s="1"/>
  <c r="X233" i="6"/>
  <c r="O233" i="6" s="1"/>
  <c r="X326" i="6"/>
  <c r="O326" i="6" s="1"/>
  <c r="X222" i="6"/>
  <c r="O222" i="6" s="1"/>
  <c r="X169" i="6"/>
  <c r="O169" i="6" s="1"/>
  <c r="X336" i="6"/>
  <c r="O336" i="6" s="1"/>
  <c r="X315" i="6"/>
  <c r="O315" i="6" s="1"/>
  <c r="X273" i="6"/>
  <c r="O273" i="6" s="1"/>
  <c r="X136" i="6"/>
  <c r="O136" i="6" s="1"/>
  <c r="X3" i="6"/>
  <c r="O3" i="6" s="1"/>
  <c r="X223" i="6"/>
  <c r="O223" i="6" s="1"/>
  <c r="X149" i="6"/>
  <c r="O149" i="6" s="1"/>
  <c r="X33" i="6"/>
  <c r="O33" i="6" s="1"/>
  <c r="X189" i="6"/>
  <c r="O189" i="6" s="1"/>
  <c r="X49" i="6"/>
  <c r="O49" i="6" s="1"/>
  <c r="X260" i="6"/>
  <c r="O260" i="6" s="1"/>
  <c r="X198" i="6"/>
  <c r="O198" i="6" s="1"/>
  <c r="X154" i="6"/>
  <c r="O154" i="6" s="1"/>
  <c r="X379" i="6"/>
  <c r="O379" i="6" s="1"/>
  <c r="X164" i="6"/>
  <c r="O164" i="6" s="1"/>
  <c r="X393" i="6"/>
  <c r="O393" i="6" s="1"/>
  <c r="X118" i="6"/>
  <c r="O118" i="6" s="1"/>
  <c r="X280" i="6"/>
  <c r="O280" i="6" s="1"/>
  <c r="X12" i="6"/>
  <c r="O12" i="6" s="1"/>
  <c r="X405" i="6"/>
  <c r="O405" i="6" s="1"/>
  <c r="X4" i="6"/>
  <c r="O4" i="6" s="1"/>
  <c r="X242" i="6"/>
  <c r="O242" i="6" s="1"/>
  <c r="X171" i="6"/>
  <c r="O171" i="6" s="1"/>
  <c r="X259" i="6"/>
  <c r="O259" i="6" s="1"/>
  <c r="X194" i="6"/>
  <c r="O194" i="6" s="1"/>
  <c r="X162" i="6"/>
  <c r="O162" i="6" s="1"/>
  <c r="X178" i="6"/>
  <c r="O178" i="6" s="1"/>
  <c r="X66" i="6"/>
  <c r="O66" i="6" s="1"/>
  <c r="X248" i="6"/>
  <c r="O248" i="6" s="1"/>
  <c r="X270" i="6"/>
  <c r="O270" i="6" s="1"/>
  <c r="X97" i="6"/>
  <c r="O97" i="6" s="1"/>
  <c r="X143" i="6"/>
  <c r="O143" i="6" s="1"/>
  <c r="X366" i="6"/>
  <c r="O366" i="6" s="1"/>
  <c r="X344" i="6"/>
  <c r="O344" i="6" s="1"/>
  <c r="X392" i="6"/>
  <c r="O392" i="6" s="1"/>
  <c r="X337" i="6"/>
  <c r="O337" i="6" s="1"/>
  <c r="X301" i="6"/>
  <c r="O301" i="6" s="1"/>
  <c r="X70" i="6"/>
  <c r="O70" i="6" s="1"/>
  <c r="X166" i="6"/>
  <c r="O166" i="6" s="1"/>
  <c r="X128" i="6"/>
  <c r="O128" i="6" s="1"/>
  <c r="X36" i="6"/>
  <c r="O36" i="6" s="1"/>
  <c r="X44" i="6"/>
  <c r="O44" i="6" s="1"/>
  <c r="X100" i="6"/>
  <c r="O100" i="6" s="1"/>
  <c r="X43" i="6"/>
  <c r="O43" i="6" s="1"/>
  <c r="X159" i="6"/>
  <c r="O159" i="6" s="1"/>
  <c r="X174" i="6"/>
  <c r="O174" i="6" s="1"/>
  <c r="X10" i="6"/>
  <c r="O10" i="6" s="1"/>
  <c r="X256" i="6"/>
  <c r="O256" i="6" s="1"/>
  <c r="X102" i="6"/>
  <c r="O102" i="6" s="1"/>
  <c r="X228" i="6"/>
  <c r="O228" i="6" s="1"/>
  <c r="X74" i="6"/>
  <c r="O74" i="6" s="1"/>
  <c r="X225" i="6"/>
  <c r="O225" i="6" s="1"/>
  <c r="X214" i="6"/>
  <c r="O214" i="6" s="1"/>
  <c r="X231" i="6"/>
  <c r="O231" i="6" s="1"/>
  <c r="X34" i="6"/>
  <c r="O34" i="6" s="1"/>
  <c r="X386" i="6"/>
  <c r="O386" i="6" s="1"/>
  <c r="X56" i="6"/>
  <c r="O56" i="6" s="1"/>
  <c r="X249" i="6"/>
  <c r="O249" i="6" s="1"/>
  <c r="X355" i="6"/>
  <c r="O355" i="6" s="1"/>
  <c r="X41" i="6"/>
  <c r="O41" i="6" s="1"/>
  <c r="X184" i="6"/>
  <c r="O184" i="6" s="1"/>
  <c r="X322" i="6"/>
  <c r="O322" i="6" s="1"/>
  <c r="X384" i="6"/>
  <c r="O384" i="6" s="1"/>
  <c r="X19" i="6"/>
  <c r="O19" i="6" s="1"/>
  <c r="X177" i="6"/>
  <c r="O177" i="6" s="1"/>
  <c r="X291" i="6"/>
  <c r="O291" i="6" s="1"/>
  <c r="X167" i="6"/>
  <c r="O167" i="6" s="1"/>
  <c r="X161" i="6"/>
  <c r="O161" i="6" s="1"/>
  <c r="X141" i="6"/>
  <c r="O141" i="6" s="1"/>
  <c r="X182" i="6"/>
  <c r="O182" i="6" s="1"/>
  <c r="X122" i="6"/>
  <c r="O122" i="6" s="1"/>
  <c r="X137" i="6"/>
  <c r="O137" i="6" s="1"/>
  <c r="X165" i="6"/>
  <c r="O165" i="6" s="1"/>
  <c r="X147" i="6"/>
  <c r="O147" i="6" s="1"/>
  <c r="X276" i="6"/>
  <c r="O276" i="6" s="1"/>
  <c r="X18" i="6"/>
  <c r="O18" i="6" s="1"/>
  <c r="X126" i="6"/>
  <c r="O126" i="6" s="1"/>
  <c r="X191" i="6"/>
  <c r="O191" i="6" s="1"/>
  <c r="X380" i="6"/>
  <c r="X203" i="6"/>
  <c r="O203" i="6" s="1"/>
  <c r="X35" i="6"/>
  <c r="O35" i="6" s="1"/>
  <c r="X341" i="6"/>
  <c r="O341" i="6" s="1"/>
  <c r="X293" i="6"/>
  <c r="O293" i="6" s="1"/>
  <c r="X7" i="6"/>
  <c r="O7" i="6" s="1"/>
  <c r="X181" i="6"/>
  <c r="O181" i="6" s="1"/>
  <c r="X285" i="6"/>
  <c r="O285" i="6" s="1"/>
  <c r="X61" i="6"/>
  <c r="O61" i="6" s="1"/>
  <c r="X84" i="6"/>
  <c r="O84" i="6" s="1"/>
  <c r="X347" i="6"/>
  <c r="O347" i="6" s="1"/>
  <c r="X168" i="6"/>
  <c r="O168" i="6" s="1"/>
  <c r="X303" i="6"/>
  <c r="O303" i="6" s="1"/>
  <c r="X390" i="6"/>
  <c r="O390" i="6" s="1"/>
  <c r="X104" i="6"/>
  <c r="O104" i="6" s="1"/>
  <c r="X16" i="6"/>
  <c r="O16" i="6" s="1"/>
  <c r="X57" i="6"/>
  <c r="O57" i="6" s="1"/>
  <c r="X15" i="6"/>
  <c r="O15" i="6" s="1"/>
  <c r="X376" i="6"/>
  <c r="O376" i="6" s="1"/>
  <c r="X216" i="6"/>
  <c r="O216" i="6" s="1"/>
  <c r="X32" i="6"/>
  <c r="O32" i="6" s="1"/>
  <c r="X160" i="6"/>
  <c r="O160" i="6" s="1"/>
  <c r="X254" i="6"/>
  <c r="O254" i="6" s="1"/>
  <c r="X227" i="6"/>
  <c r="O227" i="6" s="1"/>
  <c r="X83" i="6"/>
  <c r="O83" i="6" s="1"/>
  <c r="X103" i="6"/>
  <c r="O103" i="6" s="1"/>
  <c r="X343" i="6"/>
  <c r="O343" i="6" s="1"/>
  <c r="X155" i="6"/>
  <c r="O155" i="6" s="1"/>
  <c r="X150" i="6"/>
  <c r="O150" i="6" s="1"/>
  <c r="X375" i="6"/>
  <c r="O375" i="6" s="1"/>
  <c r="X218" i="6"/>
  <c r="O218" i="6" s="1"/>
  <c r="X80" i="6"/>
  <c r="O80" i="6" s="1"/>
  <c r="X401" i="6"/>
  <c r="O401" i="6" s="1"/>
  <c r="X311" i="6"/>
  <c r="O311" i="6" s="1"/>
  <c r="X224" i="6"/>
  <c r="O224" i="6" s="1"/>
  <c r="X207" i="6"/>
  <c r="O207" i="6" s="1"/>
  <c r="X356" i="6"/>
  <c r="O356" i="6" s="1"/>
  <c r="X373" i="6"/>
  <c r="O373" i="6" s="1"/>
  <c r="X134" i="6"/>
  <c r="O134" i="6" s="1"/>
  <c r="X77" i="6"/>
  <c r="O77" i="6" s="1"/>
  <c r="X6" i="6"/>
  <c r="O6" i="6" s="1"/>
  <c r="X266" i="6"/>
  <c r="O266" i="6" s="1"/>
  <c r="X138" i="6"/>
  <c r="O138" i="6" s="1"/>
  <c r="X235" i="6"/>
  <c r="O235" i="6" s="1"/>
  <c r="X353" i="6"/>
  <c r="O353" i="6" s="1"/>
  <c r="X9" i="6"/>
  <c r="O9" i="6" s="1"/>
  <c r="X153" i="6"/>
  <c r="O153" i="6" s="1"/>
  <c r="X78" i="6"/>
  <c r="O78" i="6" s="1"/>
  <c r="X371" i="6"/>
  <c r="O371" i="6" s="1"/>
  <c r="X75" i="6"/>
  <c r="O75" i="6" s="1"/>
  <c r="X27" i="6"/>
  <c r="O27" i="6" s="1"/>
  <c r="X111" i="6"/>
  <c r="O111" i="6" s="1"/>
  <c r="X319" i="6"/>
  <c r="O319" i="6" s="1"/>
  <c r="X302" i="6"/>
  <c r="O302" i="6" s="1"/>
  <c r="X175" i="6"/>
  <c r="O175" i="6" s="1"/>
  <c r="X221" i="6"/>
  <c r="O221" i="6" s="1"/>
  <c r="X17" i="6"/>
  <c r="O17" i="6" s="1"/>
  <c r="X340" i="6"/>
  <c r="O340" i="6" s="1"/>
  <c r="X286" i="6"/>
  <c r="O286" i="6" s="1"/>
  <c r="X372" i="6"/>
  <c r="O372" i="6" s="1"/>
  <c r="X95" i="6"/>
  <c r="O95" i="6" s="1"/>
  <c r="X28" i="6"/>
  <c r="O28" i="6" s="1"/>
  <c r="X381" i="6"/>
  <c r="X163" i="6"/>
  <c r="O163" i="6" s="1"/>
  <c r="X39" i="6"/>
  <c r="O39" i="6" s="1"/>
  <c r="X306" i="6"/>
  <c r="O306" i="6" s="1"/>
  <c r="X129" i="6"/>
  <c r="O129" i="6" s="1"/>
  <c r="X391" i="6"/>
  <c r="O391" i="6" s="1"/>
  <c r="X114" i="6"/>
  <c r="O114" i="6" s="1"/>
  <c r="X219" i="6"/>
  <c r="O219" i="6" s="1"/>
  <c r="X205" i="6"/>
  <c r="O205" i="6" s="1"/>
  <c r="X40" i="6"/>
  <c r="O40" i="6" s="1"/>
  <c r="X131" i="6"/>
  <c r="O131" i="6" s="1"/>
  <c r="X377" i="6"/>
  <c r="O377" i="6" s="1"/>
  <c r="X48" i="6"/>
  <c r="O48" i="6" s="1"/>
  <c r="X317" i="6"/>
  <c r="O317" i="6" s="1"/>
  <c r="X305" i="6"/>
  <c r="O305" i="6" s="1"/>
  <c r="X250" i="6"/>
  <c r="O250" i="6" s="1"/>
  <c r="X333" i="6"/>
  <c r="O333" i="6" s="1"/>
  <c r="X267" i="6"/>
  <c r="O267" i="6" s="1"/>
  <c r="X71" i="6"/>
  <c r="O71" i="6" s="1"/>
  <c r="X398" i="6"/>
  <c r="O398" i="6" s="1"/>
  <c r="X125" i="6"/>
  <c r="O125" i="6" s="1"/>
  <c r="X25" i="6"/>
  <c r="O25" i="6" s="1"/>
  <c r="X257" i="6"/>
  <c r="O257" i="6" s="1"/>
  <c r="X318" i="6"/>
  <c r="O318" i="6" s="1"/>
  <c r="X45" i="6"/>
  <c r="O45" i="6" s="1"/>
  <c r="X11" i="6"/>
  <c r="O11" i="6" s="1"/>
  <c r="X304" i="6"/>
  <c r="O304" i="6" s="1"/>
  <c r="X402" i="6"/>
  <c r="O402" i="6" s="1"/>
  <c r="X26" i="6"/>
  <c r="O26" i="6" s="1"/>
  <c r="X76" i="6"/>
  <c r="O76" i="6" s="1"/>
  <c r="X307" i="6"/>
  <c r="O307" i="6" s="1"/>
  <c r="X183" i="6"/>
  <c r="O183" i="6" s="1"/>
  <c r="X403" i="6"/>
  <c r="O403" i="6" s="1"/>
  <c r="X215" i="6"/>
  <c r="O215" i="6" s="1"/>
  <c r="X20" i="6"/>
  <c r="O20" i="6" s="1"/>
  <c r="X352" i="6"/>
  <c r="O352" i="6" s="1"/>
  <c r="X367" i="6"/>
  <c r="O367" i="6" s="1"/>
  <c r="X201" i="6"/>
  <c r="O201" i="6" s="1"/>
  <c r="X123" i="6"/>
  <c r="O123" i="6" s="1"/>
  <c r="X263" i="6"/>
  <c r="O263" i="6" s="1"/>
  <c r="X387" i="6"/>
  <c r="O387" i="6" s="1"/>
  <c r="X196" i="6"/>
  <c r="O196" i="6" s="1"/>
  <c r="X79" i="6"/>
  <c r="O79" i="6" s="1"/>
  <c r="X121" i="6"/>
  <c r="O121" i="6" s="1"/>
  <c r="X63" i="6"/>
  <c r="O63" i="6" s="1"/>
  <c r="X385" i="6"/>
  <c r="O385" i="6" s="1"/>
  <c r="X407" i="6"/>
  <c r="O407" i="6" s="1"/>
  <c r="X156" i="6"/>
  <c r="O156" i="6" s="1"/>
  <c r="X58" i="6"/>
  <c r="O58" i="6" s="1"/>
  <c r="X239" i="6"/>
  <c r="O239" i="6" s="1"/>
  <c r="X368" i="6"/>
  <c r="O368" i="6" s="1"/>
  <c r="X320" i="6"/>
  <c r="O320" i="6" s="1"/>
  <c r="X290" i="6"/>
  <c r="O290" i="6" s="1"/>
  <c r="X117" i="6"/>
  <c r="O117" i="6" s="1"/>
  <c r="X124" i="6"/>
  <c r="O124" i="6" s="1"/>
  <c r="X217" i="6"/>
  <c r="O217" i="6" s="1"/>
  <c r="X408" i="6"/>
  <c r="O408" i="6" s="1"/>
  <c r="X360" i="6"/>
  <c r="O360" i="6" s="1"/>
  <c r="X335" i="6"/>
  <c r="O335" i="6" s="1"/>
  <c r="X279" i="6"/>
  <c r="O279" i="6" s="1"/>
  <c r="X244" i="6"/>
  <c r="O244" i="6" s="1"/>
  <c r="X294" i="6"/>
  <c r="O294" i="6" s="1"/>
  <c r="X24" i="6"/>
  <c r="O24" i="6" s="1"/>
  <c r="X213" i="6"/>
  <c r="O213" i="6" s="1"/>
  <c r="X68" i="6"/>
  <c r="O68" i="6" s="1"/>
  <c r="X110" i="6"/>
  <c r="O110" i="6" s="1"/>
  <c r="X38" i="6"/>
  <c r="O38" i="6" s="1"/>
  <c r="X243" i="6"/>
  <c r="O243" i="6" s="1"/>
  <c r="X314" i="6"/>
  <c r="O314" i="6" s="1"/>
  <c r="X339" i="6"/>
  <c r="O339" i="6" s="1"/>
  <c r="X180" i="6"/>
  <c r="O180" i="6" s="1"/>
  <c r="X241" i="6"/>
  <c r="O241" i="6" s="1"/>
  <c r="X251" i="6"/>
  <c r="O251" i="6" s="1"/>
  <c r="X51" i="6"/>
  <c r="O51" i="6" s="1"/>
  <c r="X295" i="6"/>
  <c r="O295" i="6" s="1"/>
  <c r="X157" i="6"/>
  <c r="O157" i="6" s="1"/>
  <c r="X72" i="6"/>
  <c r="O72" i="6" s="1"/>
  <c r="X357" i="6"/>
  <c r="O357" i="6" s="1"/>
  <c r="X383" i="6"/>
  <c r="O383" i="6" s="1"/>
  <c r="X101" i="6"/>
  <c r="O101" i="6" s="1"/>
  <c r="X232" i="6"/>
  <c r="O232" i="6" s="1"/>
  <c r="X369" i="6"/>
  <c r="O369" i="6" s="1"/>
  <c r="X195" i="6"/>
  <c r="O195" i="6" s="1"/>
  <c r="X212" i="6"/>
  <c r="O212" i="6" s="1"/>
  <c r="X406" i="6"/>
  <c r="O406" i="6" s="1"/>
  <c r="X395" i="6"/>
  <c r="O395" i="6" s="1"/>
  <c r="X204" i="6"/>
  <c r="O204" i="6" s="1"/>
  <c r="X152" i="6"/>
  <c r="O152" i="6" s="1"/>
  <c r="X176" i="6"/>
  <c r="O176" i="6" s="1"/>
  <c r="X399" i="6"/>
  <c r="O399" i="6" s="1"/>
  <c r="X316" i="6"/>
  <c r="O316" i="6" s="1"/>
  <c r="X275" i="6"/>
  <c r="O275" i="6" s="1"/>
  <c r="X264" i="6"/>
  <c r="O264" i="6" s="1"/>
  <c r="X22" i="6"/>
  <c r="O22" i="6" s="1"/>
  <c r="X46" i="6"/>
  <c r="O46" i="6" s="1"/>
  <c r="X365" i="6"/>
  <c r="O365" i="6" s="1"/>
  <c r="X200" i="6"/>
  <c r="O200" i="6" s="1"/>
  <c r="X404" i="6"/>
  <c r="O404" i="6" s="1"/>
  <c r="X346" i="6"/>
  <c r="O346" i="6" s="1"/>
  <c r="X140" i="6"/>
  <c r="O140" i="6" s="1"/>
  <c r="X31" i="6"/>
  <c r="O31" i="6" s="1"/>
  <c r="X271" i="6"/>
  <c r="O271" i="6" s="1"/>
  <c r="X374" i="6"/>
  <c r="O374" i="6" s="1"/>
  <c r="X30" i="6"/>
  <c r="O30" i="6" s="1"/>
  <c r="X89" i="6"/>
  <c r="O89" i="6" s="1"/>
  <c r="X73" i="6"/>
  <c r="O73" i="6" s="1"/>
  <c r="X382" i="6"/>
  <c r="O382" i="6" s="1"/>
  <c r="X350" i="6"/>
  <c r="O350" i="6" s="1"/>
  <c r="X193" i="6"/>
  <c r="O193" i="6" s="1"/>
  <c r="X60" i="6"/>
  <c r="O60" i="6" s="1"/>
  <c r="X364" i="6"/>
  <c r="O364" i="6" s="1"/>
  <c r="X88" i="6"/>
  <c r="O88" i="6" s="1"/>
  <c r="X99" i="6"/>
  <c r="O99" i="6" s="1"/>
  <c r="X329" i="6"/>
  <c r="O329" i="6" s="1"/>
  <c r="X348" i="6"/>
  <c r="O348" i="6" s="1"/>
  <c r="X331" i="6"/>
  <c r="O331" i="6" s="1"/>
  <c r="X370" i="6"/>
  <c r="O370" i="6" s="1"/>
  <c r="X148" i="6"/>
  <c r="O148" i="6" s="1"/>
  <c r="X192" i="6"/>
  <c r="O192" i="6" s="1"/>
  <c r="X332" i="6"/>
  <c r="O332" i="6" s="1"/>
  <c r="X274" i="6"/>
  <c r="O274" i="6" s="1"/>
  <c r="X107" i="6"/>
  <c r="O107" i="6" s="1"/>
  <c r="X247" i="6"/>
  <c r="O247" i="6" s="1"/>
  <c r="X287" i="6"/>
  <c r="O287" i="6" s="1"/>
  <c r="X312" i="6"/>
  <c r="O312" i="6" s="1"/>
  <c r="X170" i="6"/>
  <c r="O170" i="6" s="1"/>
  <c r="X197" i="6"/>
  <c r="O197" i="6" s="1"/>
  <c r="X330" i="6"/>
  <c r="O330" i="6" s="1"/>
  <c r="X397" i="6"/>
  <c r="O397" i="6" s="1"/>
  <c r="X296" i="6"/>
  <c r="O296" i="6" s="1"/>
  <c r="X119" i="6"/>
  <c r="O119" i="6" s="1"/>
  <c r="X98" i="6"/>
  <c r="O98" i="6" s="1"/>
  <c r="X327" i="6"/>
  <c r="O327" i="6" s="1"/>
  <c r="X258" i="6"/>
  <c r="O258" i="6" s="1"/>
  <c r="X50" i="6"/>
  <c r="O50" i="6" s="1"/>
  <c r="X277" i="6"/>
  <c r="O277" i="6" s="1"/>
  <c r="X245" i="6"/>
  <c r="O245" i="6" s="1"/>
  <c r="X179" i="6"/>
  <c r="O179" i="6" s="1"/>
  <c r="X116" i="6"/>
  <c r="O116" i="6" s="1"/>
  <c r="X211" i="6"/>
  <c r="O211" i="6" s="1"/>
  <c r="X8" i="6"/>
  <c r="O8" i="6" s="1"/>
  <c r="X23" i="6"/>
  <c r="O23" i="6" s="1"/>
  <c r="X135" i="6"/>
  <c r="O135" i="6" s="1"/>
  <c r="X389" i="6"/>
  <c r="O389" i="6" s="1"/>
  <c r="O381" i="6"/>
  <c r="X281" i="6"/>
  <c r="O281" i="6" s="1"/>
  <c r="X292" i="6"/>
  <c r="O292" i="6" s="1"/>
  <c r="X115" i="6"/>
  <c r="O115" i="6" s="1"/>
  <c r="X300" i="6"/>
  <c r="O300" i="6" s="1"/>
  <c r="X396" i="6"/>
  <c r="O396" i="6" s="1"/>
  <c r="X388" i="6"/>
  <c r="O388" i="6" s="1"/>
  <c r="X321" i="6"/>
  <c r="O321" i="6" s="1"/>
  <c r="X91" i="6"/>
  <c r="O91" i="6" s="1"/>
  <c r="X394" i="6"/>
  <c r="O394" i="6" s="1"/>
  <c r="X81" i="6"/>
  <c r="O81" i="6" s="1"/>
  <c r="X261" i="6"/>
  <c r="O261" i="6" s="1"/>
  <c r="X358" i="6"/>
  <c r="O358" i="6" s="1"/>
  <c r="X187" i="6"/>
  <c r="O187" i="6" s="1"/>
  <c r="X13" i="6"/>
  <c r="O13" i="6" s="1"/>
  <c r="X120" i="6"/>
  <c r="O120" i="6" s="1"/>
  <c r="X142" i="6"/>
  <c r="O142" i="6" s="1"/>
  <c r="X190" i="6"/>
  <c r="O190" i="6" s="1"/>
  <c r="X272" i="6"/>
  <c r="O272" i="6" s="1"/>
  <c r="X132" i="6"/>
  <c r="O132" i="6" s="1"/>
  <c r="X14" i="6"/>
  <c r="O14" i="6" s="1"/>
  <c r="X93" i="6"/>
  <c r="O93" i="6" s="1"/>
  <c r="X378" i="6"/>
  <c r="O378" i="6" s="1"/>
  <c r="X188" i="6"/>
  <c r="O188" i="6" s="1"/>
  <c r="X202" i="6"/>
  <c r="O202" i="6" s="1"/>
  <c r="X246" i="6"/>
  <c r="O246" i="6" s="1"/>
  <c r="X127" i="6"/>
  <c r="O127" i="6" s="1"/>
  <c r="X359" i="6"/>
  <c r="O359" i="6" s="1"/>
  <c r="X230" i="6"/>
  <c r="O230" i="6" s="1"/>
  <c r="X186" i="6"/>
  <c r="O186" i="6" s="1"/>
  <c r="X5" i="6"/>
  <c r="O5" i="6" s="1"/>
  <c r="X351" i="6"/>
  <c r="O351" i="6" s="1"/>
  <c r="X338" i="6"/>
  <c r="O338" i="6" s="1"/>
  <c r="X328" i="6"/>
  <c r="O328" i="6" s="1"/>
  <c r="X309" i="6"/>
  <c r="O309" i="6" s="1"/>
  <c r="X349" i="6"/>
  <c r="O349" i="6" s="1"/>
  <c r="X262" i="6"/>
  <c r="O262" i="6" s="1"/>
  <c r="X82" i="6"/>
  <c r="O82" i="6" s="1"/>
  <c r="X206" i="6"/>
  <c r="O206" i="6" s="1"/>
  <c r="X67" i="6"/>
  <c r="O67" i="6" s="1"/>
  <c r="X345" i="6"/>
  <c r="O345" i="6" s="1"/>
  <c r="X105" i="6"/>
  <c r="O105" i="6" s="1"/>
  <c r="X37" i="6"/>
  <c r="O37" i="6" s="1"/>
  <c r="X158" i="6"/>
  <c r="O158" i="6" s="1"/>
  <c r="X65" i="6"/>
  <c r="O65" i="6" s="1"/>
  <c r="X64" i="6"/>
  <c r="O64" i="6" s="1"/>
  <c r="X199" i="6"/>
  <c r="O199" i="6" s="1"/>
  <c r="H289" i="2"/>
  <c r="K66" i="28" s="1"/>
  <c r="H265" i="2"/>
  <c r="K42" i="28" s="1"/>
  <c r="H298" i="2"/>
  <c r="K75" i="28" s="1"/>
  <c r="H257" i="2"/>
  <c r="K34" i="28" s="1"/>
  <c r="H291" i="2"/>
  <c r="K68" i="28" s="1"/>
  <c r="H297" i="2"/>
  <c r="K74" i="28" s="1"/>
  <c r="H295" i="2"/>
  <c r="K72" i="28" s="1"/>
  <c r="H258" i="2"/>
  <c r="K35" i="28" s="1"/>
  <c r="H279" i="2"/>
  <c r="K56" i="28" s="1"/>
  <c r="H260" i="2"/>
  <c r="K37" i="28" s="1"/>
  <c r="H261" i="2"/>
  <c r="K38" i="28" s="1"/>
  <c r="H269" i="2"/>
  <c r="K46" i="28" s="1"/>
  <c r="H268" i="2"/>
  <c r="K45" i="28" s="1"/>
  <c r="H293" i="2"/>
  <c r="K70" i="28" s="1"/>
  <c r="H274" i="2"/>
  <c r="K51" i="28" s="1"/>
  <c r="H259" i="2"/>
  <c r="K36" i="28" s="1"/>
  <c r="H272" i="2"/>
  <c r="K49" i="28" s="1"/>
  <c r="H280" i="2"/>
  <c r="K57" i="28" s="1"/>
  <c r="H263" i="2"/>
  <c r="K40" i="28" s="1"/>
  <c r="H275" i="2"/>
  <c r="K52" i="28" s="1"/>
  <c r="H284" i="2"/>
  <c r="K61" i="28" s="1"/>
  <c r="H283" i="2"/>
  <c r="K60" i="28" s="1"/>
  <c r="H288" i="2"/>
  <c r="K65" i="28" s="1"/>
  <c r="H273" i="2"/>
  <c r="K50" i="28" s="1"/>
  <c r="H281" i="2"/>
  <c r="K58" i="28" s="1"/>
  <c r="H278" i="2"/>
  <c r="K55" i="28" s="1"/>
  <c r="H292" i="2"/>
  <c r="K69" i="28" s="1"/>
  <c r="H271" i="2"/>
  <c r="K48" i="28" s="1"/>
  <c r="H282" i="2"/>
  <c r="K59" i="28" s="1"/>
  <c r="H266" i="2"/>
  <c r="K43" i="28" s="1"/>
  <c r="H286" i="2"/>
  <c r="K63" i="28" s="1"/>
  <c r="H256" i="2"/>
  <c r="K33" i="28" s="1"/>
  <c r="H276" i="2"/>
  <c r="K53" i="28" s="1"/>
  <c r="H277" i="2"/>
  <c r="K54" i="28" s="1"/>
  <c r="H262" i="2"/>
  <c r="K39" i="28" s="1"/>
  <c r="H287" i="2"/>
  <c r="K64" i="28" s="1"/>
  <c r="H294" i="2"/>
  <c r="K71" i="28" s="1"/>
  <c r="H285" i="2"/>
  <c r="K62" i="28" s="1"/>
  <c r="H296" i="2"/>
  <c r="K73" i="28" s="1"/>
  <c r="H270" i="2"/>
  <c r="K47" i="28" s="1"/>
  <c r="H264" i="2"/>
  <c r="K41" i="28" s="1"/>
  <c r="H290" i="2"/>
  <c r="K67" i="28" s="1"/>
  <c r="H267" i="2"/>
  <c r="K44" i="28" s="1"/>
  <c r="N143" i="6"/>
  <c r="N136" i="6"/>
  <c r="P307" i="6"/>
  <c r="N307" i="6"/>
  <c r="P303" i="6"/>
  <c r="N303" i="6"/>
  <c r="G197" i="2"/>
  <c r="I197" i="2"/>
  <c r="N134" i="6"/>
  <c r="N135" i="6"/>
  <c r="N137" i="6"/>
  <c r="N141" i="6"/>
  <c r="N138" i="6"/>
  <c r="N139" i="6"/>
  <c r="N140" i="6"/>
  <c r="N142" i="6"/>
  <c r="F243" i="2"/>
  <c r="F238" i="2"/>
  <c r="F242" i="2"/>
  <c r="F250" i="2"/>
  <c r="F232" i="2"/>
  <c r="F244" i="2"/>
  <c r="F229" i="2"/>
  <c r="F233" i="2"/>
  <c r="F230" i="2"/>
  <c r="F237" i="2"/>
  <c r="F247" i="2"/>
  <c r="F236" i="2"/>
  <c r="F248" i="2"/>
  <c r="F252" i="2"/>
  <c r="F241" i="2"/>
  <c r="F228" i="2"/>
  <c r="F246" i="2"/>
  <c r="F240" i="2"/>
  <c r="F251" i="2"/>
  <c r="F239" i="2"/>
  <c r="F235" i="2"/>
  <c r="F249" i="2"/>
  <c r="F231" i="2"/>
  <c r="F245" i="2"/>
  <c r="F234" i="2"/>
  <c r="F416" i="2"/>
  <c r="F362" i="2"/>
  <c r="F351" i="2"/>
  <c r="D351" i="2" s="1"/>
  <c r="F417" i="2"/>
  <c r="F363" i="2"/>
  <c r="F371" i="2"/>
  <c r="D371" i="2" s="1"/>
  <c r="F409" i="2"/>
  <c r="F401" i="2"/>
  <c r="F340" i="2"/>
  <c r="F367" i="2"/>
  <c r="F402" i="2"/>
  <c r="F347" i="2"/>
  <c r="F369" i="2"/>
  <c r="F378" i="2"/>
  <c r="F400" i="2"/>
  <c r="D400" i="2" s="1"/>
  <c r="F398" i="2"/>
  <c r="F410" i="2"/>
  <c r="F343" i="2"/>
  <c r="F405" i="2"/>
  <c r="F414" i="2"/>
  <c r="F384" i="2"/>
  <c r="F356" i="2"/>
  <c r="F346" i="2"/>
  <c r="F374" i="2"/>
  <c r="F386" i="2"/>
  <c r="F370" i="2"/>
  <c r="F395" i="2"/>
  <c r="F381" i="2"/>
  <c r="F354" i="2"/>
  <c r="F352" i="2"/>
  <c r="D352" i="2" s="1"/>
  <c r="F412" i="2"/>
  <c r="F342" i="2"/>
  <c r="F415" i="2"/>
  <c r="F361" i="2"/>
  <c r="F353" i="2"/>
  <c r="F387" i="2"/>
  <c r="F350" i="2"/>
  <c r="F403" i="2"/>
  <c r="F357" i="2"/>
  <c r="F349" i="2"/>
  <c r="F411" i="2"/>
  <c r="F418" i="2"/>
  <c r="F385" i="2"/>
  <c r="F420" i="2"/>
  <c r="F390" i="2"/>
  <c r="D390" i="2" s="1"/>
  <c r="F344" i="2"/>
  <c r="F368" i="2"/>
  <c r="F404" i="2"/>
  <c r="F393" i="2"/>
  <c r="F380" i="2"/>
  <c r="F419" i="2"/>
  <c r="F366" i="2"/>
  <c r="F388" i="2"/>
  <c r="F372" i="2"/>
  <c r="F413" i="2"/>
  <c r="F341" i="2"/>
  <c r="F407" i="2"/>
  <c r="F345" i="2"/>
  <c r="F360" i="2"/>
  <c r="F365" i="2"/>
  <c r="F391" i="2"/>
  <c r="F377" i="2"/>
  <c r="D377" i="2" s="1"/>
  <c r="F358" i="2"/>
  <c r="F348" i="2"/>
  <c r="F406" i="2"/>
  <c r="F399" i="2"/>
  <c r="F383" i="2"/>
  <c r="F421" i="2"/>
  <c r="F359" i="2"/>
  <c r="F392" i="2"/>
  <c r="D392" i="2" s="1"/>
  <c r="F373" i="2"/>
  <c r="F396" i="2"/>
  <c r="F355" i="2"/>
  <c r="F364" i="2"/>
  <c r="F397" i="2"/>
  <c r="F408" i="2"/>
  <c r="F382" i="2"/>
  <c r="F394" i="2"/>
  <c r="F379" i="2"/>
  <c r="D379" i="2" s="1"/>
  <c r="F389" i="2"/>
  <c r="F334" i="2"/>
  <c r="F325" i="2"/>
  <c r="F330" i="2"/>
  <c r="F315" i="2"/>
  <c r="F327" i="2"/>
  <c r="F333" i="2"/>
  <c r="F323" i="2"/>
  <c r="F322" i="2"/>
  <c r="F321" i="2"/>
  <c r="F332" i="2"/>
  <c r="F337" i="2"/>
  <c r="F336" i="2"/>
  <c r="F324" i="2"/>
  <c r="F318" i="2"/>
  <c r="F317" i="2"/>
  <c r="D317" i="2" s="1"/>
  <c r="G4" i="14" s="1"/>
  <c r="F320" i="2"/>
  <c r="F326" i="2"/>
  <c r="F319" i="2"/>
  <c r="F328" i="2"/>
  <c r="F316" i="2"/>
  <c r="F331" i="2"/>
  <c r="F329" i="2"/>
  <c r="F335" i="2"/>
  <c r="V328" i="6"/>
  <c r="M328" i="6" s="1"/>
  <c r="V113" i="6"/>
  <c r="M113" i="6" s="1"/>
  <c r="V381" i="6"/>
  <c r="V89" i="6"/>
  <c r="M89" i="6" s="1"/>
  <c r="V168" i="6"/>
  <c r="M168" i="6" s="1"/>
  <c r="V10" i="6"/>
  <c r="M10" i="6" s="1"/>
  <c r="V276" i="6"/>
  <c r="M276" i="6" s="1"/>
  <c r="V213" i="6"/>
  <c r="M213" i="6" s="1"/>
  <c r="V332" i="6"/>
  <c r="M332" i="6" s="1"/>
  <c r="V394" i="6"/>
  <c r="M394" i="6" s="1"/>
  <c r="V388" i="6"/>
  <c r="M388" i="6" s="1"/>
  <c r="V65" i="6"/>
  <c r="M65" i="6" s="1"/>
  <c r="V317" i="6"/>
  <c r="M317" i="6" s="1"/>
  <c r="V272" i="6"/>
  <c r="M272" i="6" s="1"/>
  <c r="V398" i="6"/>
  <c r="M398" i="6" s="1"/>
  <c r="V105" i="6"/>
  <c r="M105" i="6" s="1"/>
  <c r="V306" i="6"/>
  <c r="M306" i="6" s="1"/>
  <c r="V29" i="6"/>
  <c r="M29" i="6" s="1"/>
  <c r="V96" i="6"/>
  <c r="M96" i="6" s="1"/>
  <c r="V366" i="6"/>
  <c r="M366" i="6" s="1"/>
  <c r="V278" i="6"/>
  <c r="M278" i="6" s="1"/>
  <c r="V368" i="6"/>
  <c r="M368" i="6" s="1"/>
  <c r="V216" i="6"/>
  <c r="M216" i="6" s="1"/>
  <c r="V94" i="6"/>
  <c r="M94" i="6" s="1"/>
  <c r="V173" i="6"/>
  <c r="M173" i="6" s="1"/>
  <c r="V189" i="6"/>
  <c r="M189" i="6" s="1"/>
  <c r="V175" i="6"/>
  <c r="M175" i="6" s="1"/>
  <c r="V326" i="6"/>
  <c r="M326" i="6" s="1"/>
  <c r="V340" i="6"/>
  <c r="M340" i="6" s="1"/>
  <c r="V149" i="6"/>
  <c r="M149" i="6" s="1"/>
  <c r="V364" i="6"/>
  <c r="M364" i="6" s="1"/>
  <c r="G20" i="2"/>
  <c r="V23" i="6"/>
  <c r="M23" i="6" s="1"/>
  <c r="V192" i="6"/>
  <c r="M192" i="6" s="1"/>
  <c r="V386" i="6"/>
  <c r="M386" i="6" s="1"/>
  <c r="V197" i="6"/>
  <c r="M197" i="6" s="1"/>
  <c r="V252" i="6"/>
  <c r="M252" i="6" s="1"/>
  <c r="V335" i="6"/>
  <c r="M335" i="6" s="1"/>
  <c r="V256" i="6"/>
  <c r="M256" i="6" s="1"/>
  <c r="V142" i="6"/>
  <c r="M142" i="6" s="1"/>
  <c r="V70" i="6"/>
  <c r="M70" i="6" s="1"/>
  <c r="V344" i="6"/>
  <c r="M344" i="6" s="1"/>
  <c r="V139" i="6"/>
  <c r="M139" i="6" s="1"/>
  <c r="V204" i="6"/>
  <c r="M204" i="6" s="1"/>
  <c r="V178" i="6"/>
  <c r="M178" i="6" s="1"/>
  <c r="V365" i="6"/>
  <c r="M365" i="6" s="1"/>
  <c r="V69" i="6"/>
  <c r="M69" i="6" s="1"/>
  <c r="V51" i="6"/>
  <c r="M51" i="6" s="1"/>
  <c r="V393" i="6"/>
  <c r="M393" i="6" s="1"/>
  <c r="V341" i="6"/>
  <c r="M341" i="6" s="1"/>
  <c r="V233" i="6"/>
  <c r="M233" i="6" s="1"/>
  <c r="V52" i="6"/>
  <c r="M52" i="6" s="1"/>
  <c r="V187" i="6"/>
  <c r="M187" i="6" s="1"/>
  <c r="V226" i="6"/>
  <c r="M226" i="6" s="1"/>
  <c r="V166" i="6"/>
  <c r="M166" i="6" s="1"/>
  <c r="V77" i="6"/>
  <c r="M77" i="6" s="1"/>
  <c r="V93" i="6"/>
  <c r="M93" i="6" s="1"/>
  <c r="V391" i="6"/>
  <c r="M391" i="6" s="1"/>
  <c r="V293" i="6"/>
  <c r="M293" i="6" s="1"/>
  <c r="V124" i="6"/>
  <c r="M124" i="6" s="1"/>
  <c r="V392" i="6"/>
  <c r="M392" i="6" s="1"/>
  <c r="V217" i="6"/>
  <c r="M217" i="6" s="1"/>
  <c r="V154" i="6"/>
  <c r="M154" i="6" s="1"/>
  <c r="V156" i="6"/>
  <c r="M156" i="6" s="1"/>
  <c r="V321" i="6"/>
  <c r="M321" i="6" s="1"/>
  <c r="V103" i="6"/>
  <c r="M103" i="6" s="1"/>
  <c r="V118" i="6"/>
  <c r="M118" i="6" s="1"/>
  <c r="V339" i="6"/>
  <c r="M339" i="6" s="1"/>
  <c r="V129" i="6"/>
  <c r="M129" i="6" s="1"/>
  <c r="V60" i="6"/>
  <c r="M60" i="6" s="1"/>
  <c r="V49" i="6"/>
  <c r="M49" i="6" s="1"/>
  <c r="V258" i="6"/>
  <c r="M258" i="6" s="1"/>
  <c r="V122" i="6"/>
  <c r="M122" i="6" s="1"/>
  <c r="V196" i="6"/>
  <c r="M196" i="6" s="1"/>
  <c r="V244" i="6"/>
  <c r="M244" i="6" s="1"/>
  <c r="V50" i="6"/>
  <c r="M50" i="6" s="1"/>
  <c r="V267" i="6"/>
  <c r="M267" i="6" s="1"/>
  <c r="V206" i="6"/>
  <c r="M206" i="6" s="1"/>
  <c r="V377" i="6"/>
  <c r="M377" i="6" s="1"/>
  <c r="V214" i="6"/>
  <c r="M214" i="6" s="1"/>
  <c r="V215" i="6"/>
  <c r="M215" i="6" s="1"/>
  <c r="V153" i="6"/>
  <c r="M153" i="6" s="1"/>
  <c r="V205" i="6"/>
  <c r="M205" i="6" s="1"/>
  <c r="V342" i="6"/>
  <c r="M342" i="6" s="1"/>
  <c r="V45" i="6"/>
  <c r="M45" i="6" s="1"/>
  <c r="V191" i="6"/>
  <c r="M191" i="6" s="1"/>
  <c r="V163" i="6"/>
  <c r="M163" i="6" s="1"/>
  <c r="V30" i="6"/>
  <c r="M30" i="6" s="1"/>
  <c r="V11" i="6"/>
  <c r="M11" i="6" s="1"/>
  <c r="V230" i="6"/>
  <c r="M230" i="6" s="1"/>
  <c r="B21" i="2"/>
  <c r="I7" i="1" s="1"/>
  <c r="V262" i="6"/>
  <c r="M262" i="6" s="1"/>
  <c r="B20" i="2"/>
  <c r="G8" i="1" s="1"/>
  <c r="V374" i="6"/>
  <c r="M374" i="6" s="1"/>
  <c r="V352" i="6"/>
  <c r="M352" i="6" s="1"/>
  <c r="V195" i="6"/>
  <c r="M195" i="6" s="1"/>
  <c r="V265" i="6"/>
  <c r="M265" i="6" s="1"/>
  <c r="V200" i="6"/>
  <c r="M200" i="6" s="1"/>
  <c r="V318" i="6"/>
  <c r="M318" i="6" s="1"/>
  <c r="V64" i="6"/>
  <c r="M64" i="6" s="1"/>
  <c r="V25" i="6"/>
  <c r="M25" i="6" s="1"/>
  <c r="V194" i="6"/>
  <c r="M194" i="6" s="1"/>
  <c r="V399" i="6"/>
  <c r="M399" i="6" s="1"/>
  <c r="V117" i="6"/>
  <c r="M117" i="6" s="1"/>
  <c r="V111" i="6"/>
  <c r="M111" i="6" s="1"/>
  <c r="V4" i="6"/>
  <c r="M4" i="6" s="1"/>
  <c r="V327" i="6"/>
  <c r="M327" i="6" s="1"/>
  <c r="V380" i="6"/>
  <c r="V401" i="6"/>
  <c r="M401" i="6" s="1"/>
  <c r="V90" i="6"/>
  <c r="M90" i="6" s="1"/>
  <c r="V348" i="6"/>
  <c r="M348" i="6" s="1"/>
  <c r="V158" i="6"/>
  <c r="M158" i="6" s="1"/>
  <c r="V16" i="6"/>
  <c r="M16" i="6" s="1"/>
  <c r="V72" i="6"/>
  <c r="M72" i="6" s="1"/>
  <c r="V207" i="6"/>
  <c r="M207" i="6" s="1"/>
  <c r="V140" i="6"/>
  <c r="M140" i="6" s="1"/>
  <c r="V135" i="6"/>
  <c r="M135" i="6" s="1"/>
  <c r="E20" i="2"/>
  <c r="V250" i="6"/>
  <c r="M250" i="6" s="1"/>
  <c r="V311" i="6"/>
  <c r="M311" i="6" s="1"/>
  <c r="V345" i="6"/>
  <c r="M345" i="6" s="1"/>
  <c r="V81" i="6"/>
  <c r="M81" i="6" s="1"/>
  <c r="V112" i="6"/>
  <c r="M112" i="6" s="1"/>
  <c r="V83" i="6"/>
  <c r="M83" i="6" s="1"/>
  <c r="V128" i="6"/>
  <c r="M128" i="6" s="1"/>
  <c r="B19" i="2"/>
  <c r="G7" i="1" s="1"/>
  <c r="V402" i="6"/>
  <c r="M402" i="6" s="1"/>
  <c r="V15" i="6"/>
  <c r="M15" i="6" s="1"/>
  <c r="V28" i="6"/>
  <c r="M28" i="6" s="1"/>
  <c r="V247" i="6"/>
  <c r="M247" i="6" s="1"/>
  <c r="V287" i="6"/>
  <c r="M287" i="6" s="1"/>
  <c r="V14" i="6"/>
  <c r="M14" i="6" s="1"/>
  <c r="V330" i="6"/>
  <c r="M330" i="6" s="1"/>
  <c r="V322" i="6"/>
  <c r="M322" i="6" s="1"/>
  <c r="V338" i="6"/>
  <c r="M338" i="6" s="1"/>
  <c r="V31" i="6"/>
  <c r="M31" i="6" s="1"/>
  <c r="V100" i="6"/>
  <c r="M100" i="6" s="1"/>
  <c r="V48" i="6"/>
  <c r="M48" i="6" s="1"/>
  <c r="V43" i="6"/>
  <c r="M43" i="6" s="1"/>
  <c r="V164" i="6"/>
  <c r="M164" i="6" s="1"/>
  <c r="V151" i="6"/>
  <c r="M151" i="6" s="1"/>
  <c r="V296" i="6"/>
  <c r="M296" i="6" s="1"/>
  <c r="V355" i="6"/>
  <c r="M355" i="6" s="1"/>
  <c r="V165" i="6"/>
  <c r="M165" i="6" s="1"/>
  <c r="V119" i="6"/>
  <c r="M119" i="6" s="1"/>
  <c r="V136" i="6"/>
  <c r="M136" i="6" s="1"/>
  <c r="V271" i="6"/>
  <c r="M271" i="6" s="1"/>
  <c r="V295" i="6"/>
  <c r="M295" i="6" s="1"/>
  <c r="V71" i="6"/>
  <c r="M71" i="6" s="1"/>
  <c r="V20" i="6"/>
  <c r="M20" i="6" s="1"/>
  <c r="V109" i="6"/>
  <c r="M109" i="6" s="1"/>
  <c r="V188" i="6"/>
  <c r="M188" i="6" s="1"/>
  <c r="V228" i="6"/>
  <c r="M228" i="6" s="1"/>
  <c r="V286" i="6"/>
  <c r="M286" i="6" s="1"/>
  <c r="V343" i="6"/>
  <c r="M343" i="6" s="1"/>
  <c r="V316" i="6"/>
  <c r="M316" i="6" s="1"/>
  <c r="V79" i="6"/>
  <c r="M79" i="6" s="1"/>
  <c r="V274" i="6"/>
  <c r="M274" i="6" s="1"/>
  <c r="V383" i="6"/>
  <c r="M383" i="6" s="1"/>
  <c r="V229" i="6"/>
  <c r="M229" i="6" s="1"/>
  <c r="V57" i="6"/>
  <c r="M57" i="6" s="1"/>
  <c r="V22" i="6"/>
  <c r="M22" i="6" s="1"/>
  <c r="V264" i="6"/>
  <c r="M264" i="6" s="1"/>
  <c r="V68" i="6"/>
  <c r="M68" i="6" s="1"/>
  <c r="V80" i="6"/>
  <c r="M80" i="6" s="1"/>
  <c r="V110" i="6"/>
  <c r="M110" i="6" s="1"/>
  <c r="V224" i="6"/>
  <c r="M224" i="6" s="1"/>
  <c r="V88" i="6"/>
  <c r="M88" i="6" s="1"/>
  <c r="V116" i="6"/>
  <c r="M116" i="6" s="1"/>
  <c r="V104" i="6"/>
  <c r="M104" i="6" s="1"/>
  <c r="V370" i="6"/>
  <c r="M370" i="6" s="1"/>
  <c r="V186" i="6"/>
  <c r="M186" i="6" s="1"/>
  <c r="V373" i="6"/>
  <c r="M373" i="6" s="1"/>
  <c r="V384" i="6"/>
  <c r="M384" i="6" s="1"/>
  <c r="V32" i="6"/>
  <c r="M32" i="6" s="1"/>
  <c r="V190" i="6"/>
  <c r="M190" i="6" s="1"/>
  <c r="V263" i="6"/>
  <c r="M263" i="6" s="1"/>
  <c r="V58" i="6"/>
  <c r="M58" i="6" s="1"/>
  <c r="V358" i="6"/>
  <c r="M358" i="6" s="1"/>
  <c r="V143" i="6"/>
  <c r="M143" i="6" s="1"/>
  <c r="V7" i="6"/>
  <c r="M7" i="6" s="1"/>
  <c r="V108" i="6"/>
  <c r="M108" i="6" s="1"/>
  <c r="V170" i="6"/>
  <c r="M170" i="6" s="1"/>
  <c r="V367" i="6"/>
  <c r="M367" i="6" s="1"/>
  <c r="V39" i="6"/>
  <c r="M39" i="6" s="1"/>
  <c r="V313" i="6"/>
  <c r="M313" i="6" s="1"/>
  <c r="V37" i="6"/>
  <c r="M37" i="6" s="1"/>
  <c r="V360" i="6"/>
  <c r="M360" i="6" s="1"/>
  <c r="V406" i="6"/>
  <c r="M406" i="6" s="1"/>
  <c r="V155" i="6"/>
  <c r="M155" i="6" s="1"/>
  <c r="V78" i="6"/>
  <c r="M78" i="6" s="1"/>
  <c r="V376" i="6"/>
  <c r="M376" i="6" s="1"/>
  <c r="R195" i="2"/>
  <c r="R197" i="2" s="1"/>
  <c r="V259" i="6"/>
  <c r="M259" i="6" s="1"/>
  <c r="V303" i="6"/>
  <c r="M303" i="6" s="1"/>
  <c r="V354" i="6"/>
  <c r="M354" i="6" s="1"/>
  <c r="V334" i="6"/>
  <c r="M334" i="6" s="1"/>
  <c r="V290" i="6"/>
  <c r="M290" i="6" s="1"/>
  <c r="V75" i="6"/>
  <c r="M75" i="6" s="1"/>
  <c r="V310" i="6"/>
  <c r="M310" i="6" s="1"/>
  <c r="V389" i="6"/>
  <c r="M389" i="6" s="1"/>
  <c r="V24" i="6"/>
  <c r="M24" i="6" s="1"/>
  <c r="V62" i="6"/>
  <c r="M62" i="6" s="1"/>
  <c r="V241" i="6"/>
  <c r="M241" i="6" s="1"/>
  <c r="V13" i="6"/>
  <c r="M13" i="6" s="1"/>
  <c r="V73" i="6"/>
  <c r="M73" i="6" s="1"/>
  <c r="V27" i="6"/>
  <c r="M27" i="6" s="1"/>
  <c r="V193" i="6"/>
  <c r="M193" i="6" s="1"/>
  <c r="V56" i="6"/>
  <c r="M56" i="6" s="1"/>
  <c r="V223" i="6"/>
  <c r="M223" i="6" s="1"/>
  <c r="V257" i="6"/>
  <c r="M257" i="6" s="1"/>
  <c r="V266" i="6"/>
  <c r="M266" i="6" s="1"/>
  <c r="V269" i="6"/>
  <c r="M269" i="6" s="1"/>
  <c r="V279" i="6"/>
  <c r="M279" i="6" s="1"/>
  <c r="V26" i="6"/>
  <c r="M26" i="6" s="1"/>
  <c r="V235" i="6"/>
  <c r="M235" i="6" s="1"/>
  <c r="V331" i="6"/>
  <c r="M331" i="6" s="1"/>
  <c r="V270" i="6"/>
  <c r="M270" i="6" s="1"/>
  <c r="B22" i="2"/>
  <c r="I8" i="1" s="1"/>
  <c r="V232" i="6"/>
  <c r="M232" i="6" s="1"/>
  <c r="V123" i="6"/>
  <c r="M123" i="6" s="1"/>
  <c r="V408" i="6"/>
  <c r="M408" i="6" s="1"/>
  <c r="V304" i="6"/>
  <c r="M304" i="6" s="1"/>
  <c r="V162" i="6"/>
  <c r="M162" i="6" s="1"/>
  <c r="V350" i="6"/>
  <c r="M350" i="6" s="1"/>
  <c r="V277" i="6"/>
  <c r="M277" i="6" s="1"/>
  <c r="V134" i="6"/>
  <c r="M134" i="6" s="1"/>
  <c r="V126" i="6"/>
  <c r="M126" i="6" s="1"/>
  <c r="V336" i="6"/>
  <c r="M336" i="6" s="1"/>
  <c r="V40" i="6"/>
  <c r="M40" i="6" s="1"/>
  <c r="V400" i="6"/>
  <c r="M400" i="6" s="1"/>
  <c r="V202" i="6"/>
  <c r="M202" i="6" s="1"/>
  <c r="V397" i="6"/>
  <c r="M397" i="6" s="1"/>
  <c r="V225" i="6"/>
  <c r="M225" i="6" s="1"/>
  <c r="V61" i="6"/>
  <c r="M61" i="6" s="1"/>
  <c r="V346" i="6"/>
  <c r="M346" i="6" s="1"/>
  <c r="V46" i="6"/>
  <c r="M46" i="6" s="1"/>
  <c r="V249" i="6"/>
  <c r="M249" i="6" s="1"/>
  <c r="V357" i="6"/>
  <c r="M357" i="6" s="1"/>
  <c r="V138" i="6"/>
  <c r="M138" i="6" s="1"/>
  <c r="V159" i="6"/>
  <c r="M159" i="6" s="1"/>
  <c r="V319" i="6"/>
  <c r="M319" i="6" s="1"/>
  <c r="V320" i="6"/>
  <c r="M320" i="6" s="1"/>
  <c r="V404" i="6"/>
  <c r="M404" i="6" s="1"/>
  <c r="V407" i="6"/>
  <c r="M407" i="6" s="1"/>
  <c r="V378" i="6"/>
  <c r="M378" i="6" s="1"/>
  <c r="V42" i="6"/>
  <c r="M42" i="6" s="1"/>
  <c r="V67" i="6"/>
  <c r="M67" i="6" s="1"/>
  <c r="V150" i="6"/>
  <c r="M150" i="6" s="1"/>
  <c r="V390" i="6"/>
  <c r="M390" i="6" s="1"/>
  <c r="V185" i="6"/>
  <c r="M185" i="6" s="1"/>
  <c r="G19" i="2"/>
  <c r="V309" i="6"/>
  <c r="M309" i="6" s="1"/>
  <c r="V254" i="6"/>
  <c r="M254" i="6" s="1"/>
  <c r="V9" i="6"/>
  <c r="M9" i="6" s="1"/>
  <c r="V333" i="6"/>
  <c r="M333" i="6" s="1"/>
  <c r="V289" i="6"/>
  <c r="M289" i="6" s="1"/>
  <c r="V198" i="6"/>
  <c r="M198" i="6" s="1"/>
  <c r="V253" i="6"/>
  <c r="M253" i="6" s="1"/>
  <c r="V385" i="6"/>
  <c r="M385" i="6" s="1"/>
  <c r="V74" i="6"/>
  <c r="M74" i="6" s="1"/>
  <c r="V120" i="6"/>
  <c r="M120" i="6" s="1"/>
  <c r="V315" i="6"/>
  <c r="M315" i="6" s="1"/>
  <c r="V181" i="6"/>
  <c r="M181" i="6" s="1"/>
  <c r="V176" i="6"/>
  <c r="M176" i="6" s="1"/>
  <c r="V329" i="6"/>
  <c r="M329" i="6" s="1"/>
  <c r="V227" i="6"/>
  <c r="M227" i="6" s="1"/>
  <c r="V312" i="6"/>
  <c r="M312" i="6" s="1"/>
  <c r="V169" i="6"/>
  <c r="M169" i="6" s="1"/>
  <c r="V231" i="6"/>
  <c r="M231" i="6" s="1"/>
  <c r="V281" i="6"/>
  <c r="M281" i="6" s="1"/>
  <c r="V157" i="6"/>
  <c r="M157" i="6" s="1"/>
  <c r="V132" i="6"/>
  <c r="M132" i="6" s="1"/>
  <c r="V260" i="6"/>
  <c r="M260" i="6" s="1"/>
  <c r="V199" i="6"/>
  <c r="M199" i="6" s="1"/>
  <c r="V59" i="6"/>
  <c r="M59" i="6" s="1"/>
  <c r="V98" i="6"/>
  <c r="M98" i="6" s="1"/>
  <c r="V21" i="6"/>
  <c r="M21" i="6" s="1"/>
  <c r="V35" i="6"/>
  <c r="M35" i="6" s="1"/>
  <c r="V5" i="6"/>
  <c r="M5" i="6" s="1"/>
  <c r="V337" i="6"/>
  <c r="M337" i="6" s="1"/>
  <c r="V280" i="6"/>
  <c r="M280" i="6" s="1"/>
  <c r="E19" i="2"/>
  <c r="V6" i="6"/>
  <c r="M6" i="6" s="1"/>
  <c r="V47" i="6"/>
  <c r="M47" i="6" s="1"/>
  <c r="V172" i="6"/>
  <c r="M172" i="6" s="1"/>
  <c r="V167" i="6"/>
  <c r="M167" i="6" s="1"/>
  <c r="V379" i="6"/>
  <c r="M379" i="6" s="1"/>
  <c r="V63" i="6"/>
  <c r="M63" i="6" s="1"/>
  <c r="V92" i="6"/>
  <c r="M92" i="6" s="1"/>
  <c r="V288" i="6"/>
  <c r="M288" i="6" s="1"/>
  <c r="V305" i="6"/>
  <c r="M305" i="6" s="1"/>
  <c r="V382" i="6"/>
  <c r="M382" i="6" s="1"/>
  <c r="V76" i="6"/>
  <c r="M76" i="6" s="1"/>
  <c r="V201" i="6"/>
  <c r="M201" i="6" s="1"/>
  <c r="V127" i="6"/>
  <c r="M127" i="6" s="1"/>
  <c r="V33" i="6"/>
  <c r="M33" i="6" s="1"/>
  <c r="V36" i="6"/>
  <c r="M36" i="6" s="1"/>
  <c r="V182" i="6"/>
  <c r="M182" i="6" s="1"/>
  <c r="V12" i="6"/>
  <c r="M12" i="6" s="1"/>
  <c r="V301" i="6"/>
  <c r="M301" i="6" s="1"/>
  <c r="V130" i="6"/>
  <c r="M130" i="6" s="1"/>
  <c r="V375" i="6"/>
  <c r="M375" i="6" s="1"/>
  <c r="V174" i="6"/>
  <c r="M174" i="6" s="1"/>
  <c r="V121" i="6"/>
  <c r="M121" i="6" s="1"/>
  <c r="V292" i="6"/>
  <c r="M292" i="6" s="1"/>
  <c r="V240" i="6"/>
  <c r="M240" i="6" s="1"/>
  <c r="V147" i="6"/>
  <c r="M147" i="6" s="1"/>
  <c r="V125" i="6"/>
  <c r="M125" i="6" s="1"/>
  <c r="V294" i="6"/>
  <c r="M294" i="6" s="1"/>
  <c r="V291" i="6"/>
  <c r="M291" i="6" s="1"/>
  <c r="V372" i="6"/>
  <c r="M372" i="6" s="1"/>
  <c r="V387" i="6"/>
  <c r="M387" i="6" s="1"/>
  <c r="V356" i="6"/>
  <c r="M356" i="6" s="1"/>
  <c r="V359" i="6"/>
  <c r="M359" i="6" s="1"/>
  <c r="V300" i="6"/>
  <c r="M300" i="6" s="1"/>
  <c r="V351" i="6"/>
  <c r="M351" i="6" s="1"/>
  <c r="V141" i="6"/>
  <c r="M141" i="6" s="1"/>
  <c r="V184" i="6"/>
  <c r="M184" i="6" s="1"/>
  <c r="V248" i="6"/>
  <c r="M248" i="6" s="1"/>
  <c r="V131" i="6"/>
  <c r="M131" i="6" s="1"/>
  <c r="V302" i="6"/>
  <c r="M302" i="6" s="1"/>
  <c r="V82" i="6"/>
  <c r="M82" i="6" s="1"/>
  <c r="V371" i="6"/>
  <c r="M371" i="6" s="1"/>
  <c r="V148" i="6"/>
  <c r="M148" i="6" s="1"/>
  <c r="V314" i="6"/>
  <c r="M314" i="6" s="1"/>
  <c r="V239" i="6"/>
  <c r="M239" i="6" s="1"/>
  <c r="V3" i="6"/>
  <c r="M3" i="6" s="1"/>
  <c r="V102" i="6"/>
  <c r="M102" i="6" s="1"/>
  <c r="M380" i="6"/>
  <c r="V220" i="6"/>
  <c r="M220" i="6" s="1"/>
  <c r="V211" i="6"/>
  <c r="M211" i="6" s="1"/>
  <c r="V19" i="6"/>
  <c r="M19" i="6" s="1"/>
  <c r="V369" i="6"/>
  <c r="M369" i="6" s="1"/>
  <c r="V177" i="6"/>
  <c r="M177" i="6" s="1"/>
  <c r="V38" i="6"/>
  <c r="M38" i="6" s="1"/>
  <c r="V91" i="6"/>
  <c r="M91" i="6" s="1"/>
  <c r="V18" i="6"/>
  <c r="M18" i="6" s="1"/>
  <c r="V349" i="6"/>
  <c r="M349" i="6" s="1"/>
  <c r="V115" i="6"/>
  <c r="M115" i="6" s="1"/>
  <c r="V34" i="6"/>
  <c r="M34" i="6" s="1"/>
  <c r="V234" i="6"/>
  <c r="M234" i="6" s="1"/>
  <c r="V221" i="6"/>
  <c r="M221" i="6" s="1"/>
  <c r="V114" i="6"/>
  <c r="M114" i="6" s="1"/>
  <c r="V405" i="6"/>
  <c r="M405" i="6" s="1"/>
  <c r="V307" i="6"/>
  <c r="M307" i="6" s="1"/>
  <c r="V251" i="6"/>
  <c r="M251" i="6" s="1"/>
  <c r="V396" i="6"/>
  <c r="M396" i="6" s="1"/>
  <c r="V17" i="6"/>
  <c r="M17" i="6" s="1"/>
  <c r="V245" i="6"/>
  <c r="M245" i="6" s="1"/>
  <c r="V273" i="6"/>
  <c r="M273" i="6" s="1"/>
  <c r="V95" i="6"/>
  <c r="M95" i="6" s="1"/>
  <c r="V218" i="6"/>
  <c r="M218" i="6" s="1"/>
  <c r="V161" i="6"/>
  <c r="M161" i="6" s="1"/>
  <c r="V66" i="6"/>
  <c r="M66" i="6" s="1"/>
  <c r="V242" i="6"/>
  <c r="M242" i="6" s="1"/>
  <c r="V395" i="6"/>
  <c r="M395" i="6" s="1"/>
  <c r="V137" i="6"/>
  <c r="M137" i="6" s="1"/>
  <c r="V97" i="6"/>
  <c r="M97" i="6" s="1"/>
  <c r="M381" i="6"/>
  <c r="V255" i="6"/>
  <c r="M255" i="6" s="1"/>
  <c r="V212" i="6"/>
  <c r="M212" i="6" s="1"/>
  <c r="V403" i="6"/>
  <c r="M403" i="6" s="1"/>
  <c r="V84" i="6"/>
  <c r="M84" i="6" s="1"/>
  <c r="V44" i="6"/>
  <c r="M44" i="6" s="1"/>
  <c r="V243" i="6"/>
  <c r="M243" i="6" s="1"/>
  <c r="V219" i="6"/>
  <c r="M219" i="6" s="1"/>
  <c r="V261" i="6"/>
  <c r="M261" i="6" s="1"/>
  <c r="V160" i="6"/>
  <c r="M160" i="6" s="1"/>
  <c r="V180" i="6"/>
  <c r="M180" i="6" s="1"/>
  <c r="V347" i="6"/>
  <c r="M347" i="6" s="1"/>
  <c r="V268" i="6"/>
  <c r="M268" i="6" s="1"/>
  <c r="V353" i="6"/>
  <c r="M353" i="6" s="1"/>
  <c r="V99" i="6"/>
  <c r="M99" i="6" s="1"/>
  <c r="V152" i="6"/>
  <c r="M152" i="6" s="1"/>
  <c r="V107" i="6"/>
  <c r="M107" i="6" s="1"/>
  <c r="V203" i="6"/>
  <c r="M203" i="6" s="1"/>
  <c r="V106" i="6"/>
  <c r="M106" i="6" s="1"/>
  <c r="V41" i="6"/>
  <c r="M41" i="6" s="1"/>
  <c r="V8" i="6"/>
  <c r="M8" i="6" s="1"/>
  <c r="V275" i="6"/>
  <c r="M275" i="6" s="1"/>
  <c r="V246" i="6"/>
  <c r="M246" i="6" s="1"/>
  <c r="V179" i="6"/>
  <c r="M179" i="6" s="1"/>
  <c r="V222" i="6"/>
  <c r="M222" i="6" s="1"/>
  <c r="V285" i="6"/>
  <c r="M285" i="6" s="1"/>
  <c r="V308" i="6"/>
  <c r="M308" i="6" s="1"/>
  <c r="V101" i="6"/>
  <c r="M101" i="6" s="1"/>
  <c r="V171" i="6"/>
  <c r="M171" i="6" s="1"/>
  <c r="V183" i="6"/>
  <c r="M183" i="6" s="1"/>
  <c r="D249" i="2"/>
  <c r="I245" i="17" s="1"/>
  <c r="F148" i="2"/>
  <c r="F152" i="2"/>
  <c r="D152" i="2" s="1"/>
  <c r="F119" i="2"/>
  <c r="F129" i="2"/>
  <c r="F125" i="2"/>
  <c r="F146" i="2"/>
  <c r="F141" i="2"/>
  <c r="F159" i="2"/>
  <c r="F151" i="2"/>
  <c r="F122" i="2"/>
  <c r="F149" i="2"/>
  <c r="F117" i="2"/>
  <c r="F144" i="2"/>
  <c r="F145" i="2"/>
  <c r="F147" i="2"/>
  <c r="D147" i="2" s="1"/>
  <c r="F108" i="2"/>
  <c r="F158" i="2"/>
  <c r="F161" i="2"/>
  <c r="F138" i="2"/>
  <c r="F124" i="2"/>
  <c r="F109" i="2"/>
  <c r="F140" i="2"/>
  <c r="F139" i="2"/>
  <c r="F157" i="2"/>
  <c r="F154" i="2"/>
  <c r="F137" i="2"/>
  <c r="D137" i="2" s="1"/>
  <c r="F118" i="2"/>
  <c r="F155" i="2"/>
  <c r="F130" i="2"/>
  <c r="F162" i="2"/>
  <c r="F134" i="2"/>
  <c r="F153" i="2"/>
  <c r="F121" i="2"/>
  <c r="F143" i="2"/>
  <c r="D143" i="2" s="1"/>
  <c r="F112" i="2"/>
  <c r="F136" i="2"/>
  <c r="F135" i="2"/>
  <c r="F113" i="2"/>
  <c r="F150" i="2"/>
  <c r="F131" i="2"/>
  <c r="F120" i="2"/>
  <c r="F127" i="2"/>
  <c r="F133" i="2"/>
  <c r="F160" i="2"/>
  <c r="F123" i="2"/>
  <c r="F111" i="2"/>
  <c r="D111" i="2" s="1"/>
  <c r="F132" i="2"/>
  <c r="F156" i="2"/>
  <c r="F126" i="2"/>
  <c r="F142" i="2"/>
  <c r="F128" i="2"/>
  <c r="F110" i="2"/>
  <c r="F116" i="2"/>
  <c r="F115" i="2"/>
  <c r="F114" i="2"/>
  <c r="D114" i="2" s="1"/>
  <c r="F57" i="2"/>
  <c r="F37" i="2"/>
  <c r="F33" i="2"/>
  <c r="F58" i="2"/>
  <c r="F32" i="2"/>
  <c r="F62" i="2"/>
  <c r="D62" i="2" s="1"/>
  <c r="F42" i="2"/>
  <c r="F48" i="2"/>
  <c r="F69" i="2"/>
  <c r="F28" i="2"/>
  <c r="F45" i="2"/>
  <c r="F73" i="2"/>
  <c r="F44" i="2"/>
  <c r="D44" i="2" s="1"/>
  <c r="F68" i="2"/>
  <c r="F56" i="2"/>
  <c r="F35" i="2"/>
  <c r="F65" i="2"/>
  <c r="F38" i="2"/>
  <c r="D38" i="2" s="1"/>
  <c r="F61" i="2"/>
  <c r="F55" i="2"/>
  <c r="F66" i="2"/>
  <c r="F25" i="2"/>
  <c r="D25" i="2" s="1"/>
  <c r="F34" i="2"/>
  <c r="F70" i="2"/>
  <c r="F49" i="2"/>
  <c r="F27" i="2"/>
  <c r="F29" i="2"/>
  <c r="F50" i="2"/>
  <c r="D50" i="2" s="1"/>
  <c r="H27" i="12" s="1"/>
  <c r="J27" i="12" s="1"/>
  <c r="F67" i="2"/>
  <c r="F31" i="2"/>
  <c r="F41" i="2"/>
  <c r="F64" i="2"/>
  <c r="F60" i="2"/>
  <c r="F40" i="2"/>
  <c r="F26" i="2"/>
  <c r="F47" i="2"/>
  <c r="F72" i="2"/>
  <c r="F54" i="2"/>
  <c r="F51" i="2"/>
  <c r="F30" i="2"/>
  <c r="F52" i="2"/>
  <c r="F46" i="2"/>
  <c r="F59" i="2"/>
  <c r="F39" i="2"/>
  <c r="F43" i="2"/>
  <c r="F63" i="2"/>
  <c r="F71" i="2"/>
  <c r="F74" i="2"/>
  <c r="F53" i="2"/>
  <c r="F36" i="2"/>
  <c r="F202" i="2"/>
  <c r="F177" i="2"/>
  <c r="F191" i="2"/>
  <c r="I23" i="28" s="1"/>
  <c r="F215" i="2"/>
  <c r="F193" i="2"/>
  <c r="F219" i="2"/>
  <c r="F171" i="2"/>
  <c r="F221" i="2"/>
  <c r="D221" i="2" s="1"/>
  <c r="F197" i="2"/>
  <c r="F216" i="2"/>
  <c r="F214" i="2"/>
  <c r="F173" i="2"/>
  <c r="F225" i="2"/>
  <c r="I29" i="28" s="1"/>
  <c r="F174" i="2"/>
  <c r="F169" i="2"/>
  <c r="F222" i="2"/>
  <c r="F220" i="2"/>
  <c r="F206" i="2"/>
  <c r="F205" i="2"/>
  <c r="F181" i="2"/>
  <c r="I15" i="28" s="1"/>
  <c r="F188" i="2"/>
  <c r="F172" i="2"/>
  <c r="F223" i="2"/>
  <c r="F187" i="2"/>
  <c r="I20" i="28" s="1"/>
  <c r="F212" i="2"/>
  <c r="F170" i="2"/>
  <c r="F167" i="2"/>
  <c r="D167" i="2" s="1"/>
  <c r="F179" i="2"/>
  <c r="F168" i="2"/>
  <c r="F224" i="2"/>
  <c r="D224" i="2" s="1"/>
  <c r="I61" i="21" s="1"/>
  <c r="F198" i="2"/>
  <c r="F196" i="2"/>
  <c r="F213" i="2"/>
  <c r="F204" i="2"/>
  <c r="F183" i="2"/>
  <c r="I17" i="28" s="1"/>
  <c r="F211" i="2"/>
  <c r="F186" i="2"/>
  <c r="F218" i="2"/>
  <c r="F199" i="2"/>
  <c r="F180" i="2"/>
  <c r="I14" i="28" s="1"/>
  <c r="F185" i="2"/>
  <c r="I19" i="28" s="1"/>
  <c r="F190" i="2"/>
  <c r="I22" i="28" s="1"/>
  <c r="F192" i="2"/>
  <c r="I24" i="28" s="1"/>
  <c r="F209" i="2"/>
  <c r="F189" i="2"/>
  <c r="I21" i="28" s="1"/>
  <c r="F182" i="2"/>
  <c r="I16" i="28" s="1"/>
  <c r="F194" i="2"/>
  <c r="F210" i="2"/>
  <c r="D210" i="2" s="1"/>
  <c r="F166" i="2"/>
  <c r="F203" i="2"/>
  <c r="I27" i="28" s="1"/>
  <c r="F178" i="2"/>
  <c r="I13" i="28" s="1"/>
  <c r="F175" i="2"/>
  <c r="D175" i="2" s="1"/>
  <c r="F165" i="2"/>
  <c r="F184" i="2"/>
  <c r="I18" i="28" s="1"/>
  <c r="F208" i="2"/>
  <c r="F217" i="2"/>
  <c r="I28" i="28" s="1"/>
  <c r="F195" i="2"/>
  <c r="F176" i="2"/>
  <c r="F307" i="2"/>
  <c r="D307" i="2" s="1"/>
  <c r="H8" i="15" s="1"/>
  <c r="F312" i="2"/>
  <c r="F306" i="2"/>
  <c r="F310" i="2"/>
  <c r="D310" i="2" s="1"/>
  <c r="I305" i="17" s="1"/>
  <c r="F308" i="2"/>
  <c r="F305" i="2"/>
  <c r="F309" i="2"/>
  <c r="F311" i="2"/>
  <c r="F302" i="2"/>
  <c r="F301" i="2"/>
  <c r="F304" i="2"/>
  <c r="D304" i="2" s="1"/>
  <c r="F303" i="2"/>
  <c r="F261" i="2"/>
  <c r="I38" i="28" s="1"/>
  <c r="F270" i="2"/>
  <c r="I47" i="28" s="1"/>
  <c r="F285" i="2"/>
  <c r="I62" i="28" s="1"/>
  <c r="F295" i="2"/>
  <c r="F294" i="2"/>
  <c r="I71" i="28" s="1"/>
  <c r="F269" i="2"/>
  <c r="I46" i="28" s="1"/>
  <c r="F280" i="2"/>
  <c r="I57" i="28" s="1"/>
  <c r="F279" i="2"/>
  <c r="I56" i="28" s="1"/>
  <c r="F288" i="2"/>
  <c r="I65" i="28" s="1"/>
  <c r="F258" i="2"/>
  <c r="I35" i="28" s="1"/>
  <c r="F257" i="2"/>
  <c r="I34" i="28" s="1"/>
  <c r="F282" i="2"/>
  <c r="I59" i="28" s="1"/>
  <c r="F278" i="2"/>
  <c r="I55" i="28" s="1"/>
  <c r="F263" i="2"/>
  <c r="I40" i="28" s="1"/>
  <c r="F277" i="2"/>
  <c r="I54" i="28" s="1"/>
  <c r="F287" i="2"/>
  <c r="I64" i="28" s="1"/>
  <c r="F275" i="2"/>
  <c r="I52" i="28" s="1"/>
  <c r="F296" i="2"/>
  <c r="I73" i="28" s="1"/>
  <c r="F256" i="2"/>
  <c r="I33" i="28" s="1"/>
  <c r="F286" i="2"/>
  <c r="I63" i="28" s="1"/>
  <c r="F284" i="2"/>
  <c r="I61" i="28" s="1"/>
  <c r="F259" i="2"/>
  <c r="I36" i="28" s="1"/>
  <c r="F291" i="2"/>
  <c r="I68" i="28" s="1"/>
  <c r="F265" i="2"/>
  <c r="I42" i="28" s="1"/>
  <c r="F260" i="2"/>
  <c r="I37" i="28" s="1"/>
  <c r="F290" i="2"/>
  <c r="I67" i="28" s="1"/>
  <c r="F297" i="2"/>
  <c r="F272" i="2"/>
  <c r="F298" i="2"/>
  <c r="I75" i="28" s="1"/>
  <c r="F283" i="2"/>
  <c r="I60" i="28" s="1"/>
  <c r="F274" i="2"/>
  <c r="I51" i="28" s="1"/>
  <c r="F268" i="2"/>
  <c r="I45" i="28" s="1"/>
  <c r="F273" i="2"/>
  <c r="I50" i="28" s="1"/>
  <c r="F292" i="2"/>
  <c r="I69" i="28" s="1"/>
  <c r="F281" i="2"/>
  <c r="I58" i="28" s="1"/>
  <c r="F276" i="2"/>
  <c r="I53" i="28" s="1"/>
  <c r="F266" i="2"/>
  <c r="I43" i="28" s="1"/>
  <c r="F293" i="2"/>
  <c r="I70" i="28" s="1"/>
  <c r="F271" i="2"/>
  <c r="I48" i="28" s="1"/>
  <c r="F289" i="2"/>
  <c r="F262" i="2"/>
  <c r="I39" i="28" s="1"/>
  <c r="F267" i="2"/>
  <c r="I44" i="28" s="1"/>
  <c r="F264" i="2"/>
  <c r="I41" i="28" s="1"/>
  <c r="F91" i="2"/>
  <c r="F77" i="2"/>
  <c r="F105" i="2"/>
  <c r="F80" i="2"/>
  <c r="F84" i="2"/>
  <c r="F85" i="2"/>
  <c r="F104" i="2"/>
  <c r="D104" i="2" s="1"/>
  <c r="F90" i="2"/>
  <c r="D90" i="2" s="1"/>
  <c r="F103" i="2"/>
  <c r="D103" i="2" s="1"/>
  <c r="F98" i="2"/>
  <c r="F83" i="2"/>
  <c r="D83" i="2" s="1"/>
  <c r="F92" i="2"/>
  <c r="F100" i="2"/>
  <c r="F82" i="2"/>
  <c r="F78" i="2"/>
  <c r="F96" i="2"/>
  <c r="D96" i="2" s="1"/>
  <c r="F95" i="2"/>
  <c r="F101" i="2"/>
  <c r="F79" i="2"/>
  <c r="F99" i="2"/>
  <c r="F89" i="2"/>
  <c r="F87" i="2"/>
  <c r="F81" i="2"/>
  <c r="F93" i="2"/>
  <c r="F86" i="2"/>
  <c r="F102" i="2"/>
  <c r="F94" i="2"/>
  <c r="F88" i="2"/>
  <c r="D88" i="2" s="1"/>
  <c r="F97" i="2"/>
  <c r="H49" i="28"/>
  <c r="H38" i="28"/>
  <c r="H56" i="28"/>
  <c r="H41" i="28"/>
  <c r="H47" i="28"/>
  <c r="H71" i="28"/>
  <c r="H54" i="28"/>
  <c r="H39" i="28"/>
  <c r="H66" i="28"/>
  <c r="Q208" i="2"/>
  <c r="R208" i="2"/>
  <c r="H68" i="28"/>
  <c r="H75" i="28"/>
  <c r="H64" i="28"/>
  <c r="H27" i="28"/>
  <c r="H52" i="28"/>
  <c r="H34" i="28"/>
  <c r="H46" i="28"/>
  <c r="H21" i="28"/>
  <c r="H42" i="28"/>
  <c r="H59" i="28"/>
  <c r="H40" i="28"/>
  <c r="H45" i="28"/>
  <c r="H62" i="28"/>
  <c r="H74" i="28"/>
  <c r="H20" i="28"/>
  <c r="H15" i="28"/>
  <c r="H73" i="28"/>
  <c r="H60" i="28"/>
  <c r="H61" i="28"/>
  <c r="H24" i="28"/>
  <c r="H28" i="28"/>
  <c r="H63" i="28"/>
  <c r="H55" i="28"/>
  <c r="H33" i="28"/>
  <c r="H50" i="28"/>
  <c r="H36" i="28"/>
  <c r="H13" i="28"/>
  <c r="H57" i="28"/>
  <c r="H51" i="28"/>
  <c r="H18" i="28"/>
  <c r="H67" i="28"/>
  <c r="H72" i="28"/>
  <c r="H14" i="28"/>
  <c r="H44" i="28"/>
  <c r="H70" i="28"/>
  <c r="H16" i="28"/>
  <c r="H65" i="28"/>
  <c r="H43" i="28"/>
  <c r="H17" i="28"/>
  <c r="H22" i="28"/>
  <c r="H37" i="28"/>
  <c r="H58" i="28"/>
  <c r="H53" i="28"/>
  <c r="H19" i="28"/>
  <c r="H48" i="28"/>
  <c r="H69" i="28"/>
  <c r="H35" i="28"/>
  <c r="H23" i="28"/>
  <c r="H29" i="28"/>
  <c r="S291" i="6" l="1"/>
  <c r="D89" i="2"/>
  <c r="D172" i="2"/>
  <c r="D123" i="2"/>
  <c r="D418" i="2"/>
  <c r="D55" i="2"/>
  <c r="Q259" i="6"/>
  <c r="D33" i="2"/>
  <c r="S155" i="6"/>
  <c r="P388" i="6"/>
  <c r="S388" i="6" s="1"/>
  <c r="D420" i="2"/>
  <c r="I415" i="17" s="1"/>
  <c r="D378" i="2"/>
  <c r="I373" i="17" s="1"/>
  <c r="D391" i="2"/>
  <c r="D58" i="2"/>
  <c r="I54" i="17" s="1"/>
  <c r="D403" i="2"/>
  <c r="I74" i="28"/>
  <c r="D297" i="2"/>
  <c r="I72" i="28"/>
  <c r="D295" i="2"/>
  <c r="D290" i="2"/>
  <c r="D283" i="2"/>
  <c r="I278" i="17" s="1"/>
  <c r="D296" i="2"/>
  <c r="D298" i="2"/>
  <c r="D291" i="2"/>
  <c r="D292" i="2"/>
  <c r="D267" i="2"/>
  <c r="D140" i="2"/>
  <c r="I136" i="17" s="1"/>
  <c r="D411" i="2"/>
  <c r="D406" i="2"/>
  <c r="D238" i="2"/>
  <c r="I234" i="17" s="1"/>
  <c r="P143" i="6"/>
  <c r="D109" i="2"/>
  <c r="H3" i="9" s="1"/>
  <c r="D196" i="2"/>
  <c r="D32" i="2"/>
  <c r="P360" i="6"/>
  <c r="D77" i="2"/>
  <c r="D179" i="2"/>
  <c r="I16" i="21" s="1"/>
  <c r="J16" i="21" s="1"/>
  <c r="D53" i="2"/>
  <c r="D60" i="2"/>
  <c r="D65" i="2"/>
  <c r="D57" i="2"/>
  <c r="D130" i="2"/>
  <c r="D144" i="2"/>
  <c r="I140" i="17" s="1"/>
  <c r="D360" i="2"/>
  <c r="P392" i="6"/>
  <c r="D160" i="2"/>
  <c r="P404" i="6"/>
  <c r="S404" i="6" s="1"/>
  <c r="D36" i="2"/>
  <c r="I32" i="17" s="1"/>
  <c r="D364" i="2"/>
  <c r="D176" i="2"/>
  <c r="I172" i="17" s="1"/>
  <c r="D71" i="2"/>
  <c r="D41" i="2"/>
  <c r="D118" i="2"/>
  <c r="I114" i="17" s="1"/>
  <c r="D321" i="2"/>
  <c r="D355" i="2"/>
  <c r="Q46" i="6"/>
  <c r="D91" i="2"/>
  <c r="D257" i="2"/>
  <c r="D195" i="2"/>
  <c r="I191" i="17" s="1"/>
  <c r="D212" i="2"/>
  <c r="D197" i="2"/>
  <c r="D127" i="2"/>
  <c r="D122" i="2"/>
  <c r="H16" i="9" s="1"/>
  <c r="D396" i="2"/>
  <c r="I391" i="17" s="1"/>
  <c r="D374" i="2"/>
  <c r="P385" i="6"/>
  <c r="P327" i="6"/>
  <c r="D35" i="2"/>
  <c r="D67" i="2"/>
  <c r="H44" i="12" s="1"/>
  <c r="D154" i="2"/>
  <c r="D335" i="2"/>
  <c r="I330" i="17" s="1"/>
  <c r="D357" i="2"/>
  <c r="D171" i="2"/>
  <c r="D39" i="2"/>
  <c r="D131" i="2"/>
  <c r="H25" i="9" s="1"/>
  <c r="D157" i="2"/>
  <c r="D159" i="2"/>
  <c r="Q74" i="6"/>
  <c r="D40" i="2"/>
  <c r="I36" i="17" s="1"/>
  <c r="D92" i="2"/>
  <c r="H17" i="16" s="1"/>
  <c r="D146" i="2"/>
  <c r="D421" i="2"/>
  <c r="D387" i="2"/>
  <c r="D417" i="2"/>
  <c r="P398" i="6"/>
  <c r="S398" i="6" s="1"/>
  <c r="P346" i="6"/>
  <c r="P340" i="6"/>
  <c r="D59" i="2"/>
  <c r="D139" i="2"/>
  <c r="D188" i="2"/>
  <c r="I184" i="17" s="1"/>
  <c r="D191" i="2"/>
  <c r="G23" i="28" s="1"/>
  <c r="D102" i="2"/>
  <c r="D98" i="2"/>
  <c r="D309" i="2"/>
  <c r="D211" i="2"/>
  <c r="D116" i="2"/>
  <c r="I112" i="17" s="1"/>
  <c r="D328" i="2"/>
  <c r="G15" i="14" s="1"/>
  <c r="Q268" i="6"/>
  <c r="P304" i="6"/>
  <c r="D132" i="2"/>
  <c r="D162" i="2"/>
  <c r="I158" i="17" s="1"/>
  <c r="D193" i="2"/>
  <c r="D305" i="2"/>
  <c r="H6" i="15" s="1"/>
  <c r="D205" i="2"/>
  <c r="D30" i="2"/>
  <c r="D129" i="2"/>
  <c r="H23" i="9" s="1"/>
  <c r="D361" i="2"/>
  <c r="H23" i="19" s="1"/>
  <c r="D343" i="2"/>
  <c r="P384" i="6"/>
  <c r="P342" i="6"/>
  <c r="P285" i="6"/>
  <c r="S285" i="6" s="1"/>
  <c r="M296" i="17" s="1"/>
  <c r="P322" i="6"/>
  <c r="S322" i="6" s="1"/>
  <c r="P312" i="6"/>
  <c r="P347" i="6"/>
  <c r="D26" i="2"/>
  <c r="D45" i="2"/>
  <c r="D186" i="2"/>
  <c r="I182" i="17" s="1"/>
  <c r="D27" i="2"/>
  <c r="D86" i="2"/>
  <c r="D93" i="2"/>
  <c r="D128" i="2"/>
  <c r="D334" i="2"/>
  <c r="I329" i="17" s="1"/>
  <c r="P288" i="6"/>
  <c r="S288" i="6" s="1"/>
  <c r="P313" i="6"/>
  <c r="P348" i="6"/>
  <c r="D219" i="2"/>
  <c r="D150" i="2"/>
  <c r="I146" i="17" s="1"/>
  <c r="D81" i="2"/>
  <c r="H6" i="16" s="1"/>
  <c r="I6" i="16" s="1"/>
  <c r="D220" i="2"/>
  <c r="D142" i="2"/>
  <c r="S173" i="6"/>
  <c r="D389" i="2"/>
  <c r="D348" i="2"/>
  <c r="I343" i="17" s="1"/>
  <c r="P321" i="6"/>
  <c r="D84" i="2"/>
  <c r="P351" i="6"/>
  <c r="S351" i="6" s="1"/>
  <c r="L27" i="19" s="1"/>
  <c r="D73" i="2"/>
  <c r="D108" i="2"/>
  <c r="H2" i="9" s="1"/>
  <c r="D333" i="2"/>
  <c r="I328" i="17" s="1"/>
  <c r="P390" i="6"/>
  <c r="S390" i="6" s="1"/>
  <c r="D134" i="2"/>
  <c r="H28" i="9" s="1"/>
  <c r="Q47" i="6"/>
  <c r="P278" i="6"/>
  <c r="S278" i="6" s="1"/>
  <c r="D46" i="2"/>
  <c r="I42" i="17" s="1"/>
  <c r="D330" i="2"/>
  <c r="I325" i="17" s="1"/>
  <c r="D239" i="2"/>
  <c r="P136" i="6"/>
  <c r="P368" i="6"/>
  <c r="P331" i="6"/>
  <c r="S331" i="6" s="1"/>
  <c r="D124" i="2"/>
  <c r="D42" i="2"/>
  <c r="D119" i="2"/>
  <c r="P294" i="6"/>
  <c r="I49" i="28"/>
  <c r="D243" i="2"/>
  <c r="H17" i="10" s="1"/>
  <c r="I17" i="10" s="1"/>
  <c r="D125" i="2"/>
  <c r="I121" i="17" s="1"/>
  <c r="D369" i="2"/>
  <c r="S198" i="6"/>
  <c r="I66" i="28"/>
  <c r="D281" i="2"/>
  <c r="I276" i="17" s="1"/>
  <c r="D285" i="2"/>
  <c r="S360" i="6"/>
  <c r="P333" i="6"/>
  <c r="S333" i="6" s="1"/>
  <c r="P289" i="6"/>
  <c r="S289" i="6" s="1"/>
  <c r="M300" i="17" s="1"/>
  <c r="P309" i="6"/>
  <c r="S309" i="6" s="1"/>
  <c r="P334" i="6"/>
  <c r="P350" i="6"/>
  <c r="P397" i="6"/>
  <c r="P383" i="6"/>
  <c r="S383" i="6" s="1"/>
  <c r="M21" i="20" s="1"/>
  <c r="R269" i="2"/>
  <c r="Q269" i="2" s="1"/>
  <c r="P269" i="2" s="1"/>
  <c r="P269" i="6" s="1"/>
  <c r="S269" i="6" s="1"/>
  <c r="D120" i="2"/>
  <c r="I116" i="17" s="1"/>
  <c r="D151" i="2"/>
  <c r="H45" i="9" s="1"/>
  <c r="S202" i="6"/>
  <c r="D318" i="2"/>
  <c r="D85" i="2"/>
  <c r="I81" i="17" s="1"/>
  <c r="D100" i="2"/>
  <c r="I96" i="17" s="1"/>
  <c r="D206" i="2"/>
  <c r="D216" i="2"/>
  <c r="D69" i="2"/>
  <c r="D306" i="2"/>
  <c r="S295" i="6"/>
  <c r="L12" i="15" s="1"/>
  <c r="D402" i="2"/>
  <c r="R33" i="2"/>
  <c r="T33" i="2" s="1"/>
  <c r="P45" i="6" s="1"/>
  <c r="D312" i="2"/>
  <c r="I307" i="17" s="1"/>
  <c r="D181" i="2"/>
  <c r="D31" i="2"/>
  <c r="H8" i="12" s="1"/>
  <c r="R39" i="2"/>
  <c r="T39" i="2" s="1"/>
  <c r="P74" i="6" s="1"/>
  <c r="S74" i="6" s="1"/>
  <c r="D263" i="2"/>
  <c r="I10" i="8" s="1"/>
  <c r="P287" i="6"/>
  <c r="S287" i="6" s="1"/>
  <c r="M298" i="17" s="1"/>
  <c r="Q251" i="6"/>
  <c r="Q43" i="6"/>
  <c r="P359" i="6"/>
  <c r="S359" i="6" s="1"/>
  <c r="M368" i="17" s="1"/>
  <c r="P290" i="6"/>
  <c r="S290" i="6" s="1"/>
  <c r="M301" i="17" s="1"/>
  <c r="P381" i="6"/>
  <c r="S381" i="6" s="1"/>
  <c r="P352" i="6"/>
  <c r="Q235" i="6"/>
  <c r="P339" i="6"/>
  <c r="S339" i="6" s="1"/>
  <c r="P405" i="6"/>
  <c r="S405" i="6" s="1"/>
  <c r="P292" i="6"/>
  <c r="S292" i="6" s="1"/>
  <c r="P336" i="6"/>
  <c r="S336" i="6" s="1"/>
  <c r="P320" i="6"/>
  <c r="S320" i="6" s="1"/>
  <c r="P389" i="6"/>
  <c r="S389" i="6" s="1"/>
  <c r="P326" i="6"/>
  <c r="S326" i="6" s="1"/>
  <c r="P332" i="6"/>
  <c r="S332" i="6" s="1"/>
  <c r="P306" i="6"/>
  <c r="S306" i="6" s="1"/>
  <c r="Q272" i="6"/>
  <c r="P258" i="6"/>
  <c r="R38" i="2"/>
  <c r="T38" i="2" s="1"/>
  <c r="P52" i="6" s="1"/>
  <c r="R261" i="2"/>
  <c r="Q261" i="2" s="1"/>
  <c r="P261" i="2" s="1"/>
  <c r="D166" i="2"/>
  <c r="D225" i="2"/>
  <c r="D72" i="2"/>
  <c r="P259" i="6"/>
  <c r="S259" i="6" s="1"/>
  <c r="M271" i="17" s="1"/>
  <c r="D168" i="2"/>
  <c r="R35" i="2"/>
  <c r="T35" i="2" s="1"/>
  <c r="P40" i="6" s="1"/>
  <c r="T391" i="2"/>
  <c r="P378" i="6" s="1"/>
  <c r="S378" i="6" s="1"/>
  <c r="R32" i="2"/>
  <c r="T32" i="2" s="1"/>
  <c r="P271" i="6"/>
  <c r="S271" i="6" s="1"/>
  <c r="M283" i="17" s="1"/>
  <c r="Q261" i="6"/>
  <c r="S261" i="6" s="1"/>
  <c r="M273" i="17" s="1"/>
  <c r="P296" i="6"/>
  <c r="S296" i="6" s="1"/>
  <c r="M307" i="17" s="1"/>
  <c r="P374" i="6"/>
  <c r="Q231" i="6"/>
  <c r="Q213" i="6"/>
  <c r="P406" i="6"/>
  <c r="S406" i="6" s="1"/>
  <c r="Q256" i="6"/>
  <c r="Q255" i="6"/>
  <c r="T371" i="2"/>
  <c r="P358" i="6" s="1"/>
  <c r="S358" i="6" s="1"/>
  <c r="L34" i="19" s="1"/>
  <c r="Q233" i="6"/>
  <c r="Q21" i="6"/>
  <c r="Q267" i="6"/>
  <c r="P407" i="6"/>
  <c r="S407" i="6" s="1"/>
  <c r="M415" i="17" s="1"/>
  <c r="P26" i="6"/>
  <c r="S26" i="6" s="1"/>
  <c r="P310" i="6"/>
  <c r="S310" i="6" s="1"/>
  <c r="P329" i="6"/>
  <c r="S329" i="6" s="1"/>
  <c r="M338" i="17" s="1"/>
  <c r="Q73" i="6"/>
  <c r="P316" i="6"/>
  <c r="S316" i="6" s="1"/>
  <c r="P353" i="6"/>
  <c r="P408" i="6"/>
  <c r="S408" i="6" s="1"/>
  <c r="P400" i="6"/>
  <c r="S400" i="6" s="1"/>
  <c r="M408" i="17" s="1"/>
  <c r="Q216" i="6"/>
  <c r="P318" i="6"/>
  <c r="Q217" i="6"/>
  <c r="R36" i="2"/>
  <c r="T36" i="2" s="1"/>
  <c r="P49" i="6"/>
  <c r="S49" i="6" s="1"/>
  <c r="P396" i="6"/>
  <c r="S396" i="6" s="1"/>
  <c r="P370" i="6"/>
  <c r="S370" i="6" s="1"/>
  <c r="M378" i="17" s="1"/>
  <c r="P344" i="6"/>
  <c r="S344" i="6" s="1"/>
  <c r="P372" i="6"/>
  <c r="S372" i="6" s="1"/>
  <c r="P395" i="6"/>
  <c r="S395" i="6" s="1"/>
  <c r="Q44" i="6"/>
  <c r="P369" i="6"/>
  <c r="S369" i="6" s="1"/>
  <c r="V218" i="2"/>
  <c r="K214" i="2" s="1"/>
  <c r="D363" i="2"/>
  <c r="S187" i="6"/>
  <c r="P141" i="6"/>
  <c r="S141" i="6" s="1"/>
  <c r="D401" i="2"/>
  <c r="I26" i="20" s="1"/>
  <c r="K26" i="20" s="1"/>
  <c r="D276" i="2"/>
  <c r="D350" i="2"/>
  <c r="J185" i="2"/>
  <c r="M19" i="28" s="1"/>
  <c r="S313" i="6"/>
  <c r="S201" i="6"/>
  <c r="M56" i="21" s="1"/>
  <c r="S348" i="6"/>
  <c r="Q40" i="6"/>
  <c r="S174" i="6"/>
  <c r="S157" i="6"/>
  <c r="S170" i="6"/>
  <c r="M184" i="17" s="1"/>
  <c r="D344" i="2"/>
  <c r="H6" i="19" s="1"/>
  <c r="D222" i="2"/>
  <c r="I59" i="21" s="1"/>
  <c r="K59" i="21" s="1"/>
  <c r="D141" i="2"/>
  <c r="H35" i="9" s="1"/>
  <c r="S172" i="6"/>
  <c r="M27" i="21" s="1"/>
  <c r="S384" i="6"/>
  <c r="M392" i="17" s="1"/>
  <c r="S368" i="6"/>
  <c r="M6" i="20" s="1"/>
  <c r="D235" i="2"/>
  <c r="D218" i="2"/>
  <c r="D74" i="2"/>
  <c r="S342" i="6"/>
  <c r="M351" i="17" s="1"/>
  <c r="D332" i="2"/>
  <c r="G19" i="14" s="1"/>
  <c r="D194" i="2"/>
  <c r="D178" i="2"/>
  <c r="S153" i="6"/>
  <c r="M8" i="21" s="1"/>
  <c r="D320" i="2"/>
  <c r="I315" i="17" s="1"/>
  <c r="D97" i="2"/>
  <c r="I93" i="17" s="1"/>
  <c r="D79" i="2"/>
  <c r="I75" i="17" s="1"/>
  <c r="D199" i="2"/>
  <c r="D198" i="2"/>
  <c r="I35" i="21" s="1"/>
  <c r="J35" i="21" s="1"/>
  <c r="D49" i="2"/>
  <c r="I45" i="17" s="1"/>
  <c r="D115" i="2"/>
  <c r="D113" i="2"/>
  <c r="H7" i="9" s="1"/>
  <c r="D174" i="2"/>
  <c r="I11" i="21" s="1"/>
  <c r="J11" i="21" s="1"/>
  <c r="D383" i="2"/>
  <c r="I378" i="17" s="1"/>
  <c r="D405" i="2"/>
  <c r="D34" i="2"/>
  <c r="D247" i="2"/>
  <c r="H21" i="10" s="1"/>
  <c r="D415" i="2"/>
  <c r="D274" i="2"/>
  <c r="I20" i="8" s="1"/>
  <c r="I27" i="12"/>
  <c r="H23" i="10"/>
  <c r="I23" i="10" s="1"/>
  <c r="G22" i="14"/>
  <c r="H22" i="14" s="1"/>
  <c r="D342" i="2"/>
  <c r="I337" i="17" s="1"/>
  <c r="D398" i="2"/>
  <c r="I23" i="20" s="1"/>
  <c r="S347" i="6"/>
  <c r="L23" i="19" s="1"/>
  <c r="P139" i="6"/>
  <c r="S139" i="6" s="1"/>
  <c r="S164" i="6"/>
  <c r="D413" i="2"/>
  <c r="I38" i="20" s="1"/>
  <c r="D294" i="2"/>
  <c r="I40" i="8" s="1"/>
  <c r="D180" i="2"/>
  <c r="G14" i="28" s="1"/>
  <c r="G75" i="28"/>
  <c r="I41" i="8"/>
  <c r="D366" i="2"/>
  <c r="H28" i="19" s="1"/>
  <c r="D414" i="2"/>
  <c r="D370" i="2"/>
  <c r="I365" i="17" s="1"/>
  <c r="D242" i="2"/>
  <c r="I238" i="17" s="1"/>
  <c r="S308" i="6"/>
  <c r="M318" i="17" s="1"/>
  <c r="D278" i="2"/>
  <c r="I24" i="8" s="1"/>
  <c r="S154" i="6"/>
  <c r="M9" i="21" s="1"/>
  <c r="D326" i="2"/>
  <c r="G13" i="14" s="1"/>
  <c r="I13" i="14" s="1"/>
  <c r="P387" i="6"/>
  <c r="S387" i="6" s="1"/>
  <c r="D153" i="2"/>
  <c r="H48" i="9" s="1"/>
  <c r="D215" i="2"/>
  <c r="I52" i="21" s="1"/>
  <c r="J52" i="21" s="1"/>
  <c r="S136" i="6"/>
  <c r="M151" i="17" s="1"/>
  <c r="D170" i="2"/>
  <c r="I7" i="21" s="1"/>
  <c r="D54" i="2"/>
  <c r="H31" i="12" s="1"/>
  <c r="D133" i="2"/>
  <c r="I129" i="17" s="1"/>
  <c r="D362" i="2"/>
  <c r="H24" i="19" s="1"/>
  <c r="D47" i="2"/>
  <c r="I43" i="17" s="1"/>
  <c r="S294" i="6"/>
  <c r="M305" i="17" s="1"/>
  <c r="D393" i="2"/>
  <c r="I18" i="20" s="1"/>
  <c r="D410" i="2"/>
  <c r="I405" i="17" s="1"/>
  <c r="D416" i="2"/>
  <c r="I411" i="17" s="1"/>
  <c r="P138" i="6"/>
  <c r="S138" i="6" s="1"/>
  <c r="M153" i="17" s="1"/>
  <c r="D61" i="2"/>
  <c r="H38" i="12" s="1"/>
  <c r="D404" i="2"/>
  <c r="I29" i="20" s="1"/>
  <c r="R31" i="2"/>
  <c r="T31" i="2" s="1"/>
  <c r="P42" i="6" s="1"/>
  <c r="S42" i="6" s="1"/>
  <c r="M60" i="17" s="1"/>
  <c r="S171" i="6"/>
  <c r="M26" i="21" s="1"/>
  <c r="D358" i="2"/>
  <c r="I353" i="17" s="1"/>
  <c r="D412" i="2"/>
  <c r="I407" i="17" s="1"/>
  <c r="D324" i="2"/>
  <c r="I319" i="17" s="1"/>
  <c r="D64" i="2"/>
  <c r="I60" i="17" s="1"/>
  <c r="S180" i="6"/>
  <c r="M194" i="17" s="1"/>
  <c r="S302" i="6"/>
  <c r="K4" i="14" s="1"/>
  <c r="D336" i="2"/>
  <c r="I331" i="17" s="1"/>
  <c r="P377" i="6"/>
  <c r="S377" i="6" s="1"/>
  <c r="M15" i="20" s="1"/>
  <c r="P354" i="6"/>
  <c r="S354" i="6" s="1"/>
  <c r="D217" i="2"/>
  <c r="I54" i="21" s="1"/>
  <c r="D94" i="2"/>
  <c r="H19" i="16" s="1"/>
  <c r="I19" i="16" s="1"/>
  <c r="D282" i="2"/>
  <c r="G59" i="28" s="1"/>
  <c r="D184" i="2"/>
  <c r="I180" i="17" s="1"/>
  <c r="D192" i="2"/>
  <c r="I29" i="21" s="1"/>
  <c r="D303" i="2"/>
  <c r="H4" i="15" s="1"/>
  <c r="D56" i="2"/>
  <c r="I52" i="17" s="1"/>
  <c r="S160" i="6"/>
  <c r="D337" i="2"/>
  <c r="D365" i="2"/>
  <c r="H27" i="19" s="1"/>
  <c r="D347" i="2"/>
  <c r="H9" i="19" s="1"/>
  <c r="P338" i="6"/>
  <c r="S338" i="6" s="1"/>
  <c r="P286" i="6"/>
  <c r="S286" i="6" s="1"/>
  <c r="L3" i="15" s="1"/>
  <c r="S193" i="6"/>
  <c r="M207" i="17" s="1"/>
  <c r="S165" i="6"/>
  <c r="M20" i="21" s="1"/>
  <c r="D397" i="2"/>
  <c r="I22" i="20" s="1"/>
  <c r="D385" i="2"/>
  <c r="I380" i="17" s="1"/>
  <c r="P402" i="6"/>
  <c r="S402" i="6" s="1"/>
  <c r="M40" i="20" s="1"/>
  <c r="D112" i="2"/>
  <c r="I108" i="17" s="1"/>
  <c r="D345" i="2"/>
  <c r="H7" i="19" s="1"/>
  <c r="P328" i="6"/>
  <c r="S328" i="6" s="1"/>
  <c r="L4" i="19" s="1"/>
  <c r="D322" i="2"/>
  <c r="G9" i="14" s="1"/>
  <c r="D386" i="2"/>
  <c r="I11" i="20" s="1"/>
  <c r="D340" i="2"/>
  <c r="D240" i="2"/>
  <c r="I236" i="17" s="1"/>
  <c r="I323" i="17"/>
  <c r="G17" i="14"/>
  <c r="I17" i="14" s="1"/>
  <c r="D264" i="2"/>
  <c r="I11" i="8" s="1"/>
  <c r="D80" i="2"/>
  <c r="I76" i="17" s="1"/>
  <c r="D311" i="2"/>
  <c r="H12" i="15" s="1"/>
  <c r="J12" i="15" s="1"/>
  <c r="D29" i="2"/>
  <c r="I25" i="17" s="1"/>
  <c r="D126" i="2"/>
  <c r="I122" i="17" s="1"/>
  <c r="D158" i="2"/>
  <c r="I154" i="17" s="1"/>
  <c r="D148" i="2"/>
  <c r="I144" i="17" s="1"/>
  <c r="S169" i="6"/>
  <c r="M183" i="17" s="1"/>
  <c r="S340" i="6"/>
  <c r="L16" i="19" s="1"/>
  <c r="D323" i="2"/>
  <c r="D341" i="2"/>
  <c r="I336" i="17" s="1"/>
  <c r="D349" i="2"/>
  <c r="D246" i="2"/>
  <c r="Q214" i="6"/>
  <c r="P300" i="6"/>
  <c r="S300" i="6" s="1"/>
  <c r="K2" i="14" s="1"/>
  <c r="P345" i="6"/>
  <c r="S345" i="6" s="1"/>
  <c r="P335" i="6"/>
  <c r="S335" i="6" s="1"/>
  <c r="D183" i="2"/>
  <c r="G17" i="28" s="1"/>
  <c r="S312" i="6"/>
  <c r="K14" i="14" s="1"/>
  <c r="P330" i="6"/>
  <c r="S330" i="6" s="1"/>
  <c r="P365" i="6"/>
  <c r="S365" i="6" s="1"/>
  <c r="D87" i="2"/>
  <c r="H12" i="16" s="1"/>
  <c r="J12" i="16" s="1"/>
  <c r="D266" i="2"/>
  <c r="G43" i="28" s="1"/>
  <c r="D258" i="2"/>
  <c r="G35" i="28" s="1"/>
  <c r="S343" i="6"/>
  <c r="L19" i="19" s="1"/>
  <c r="D331" i="2"/>
  <c r="D327" i="2"/>
  <c r="G14" i="14" s="1"/>
  <c r="D372" i="2"/>
  <c r="D356" i="2"/>
  <c r="I351" i="17" s="1"/>
  <c r="D241" i="2"/>
  <c r="H15" i="10" s="1"/>
  <c r="S303" i="6"/>
  <c r="D409" i="2"/>
  <c r="I34" i="20" s="1"/>
  <c r="D388" i="2"/>
  <c r="I13" i="20" s="1"/>
  <c r="D382" i="2"/>
  <c r="I7" i="20" s="1"/>
  <c r="D359" i="2"/>
  <c r="I354" i="17" s="1"/>
  <c r="D251" i="2"/>
  <c r="H25" i="10" s="1"/>
  <c r="D161" i="2"/>
  <c r="I157" i="17" s="1"/>
  <c r="P357" i="6"/>
  <c r="S357" i="6" s="1"/>
  <c r="L33" i="19" s="1"/>
  <c r="D136" i="2"/>
  <c r="I132" i="17" s="1"/>
  <c r="D182" i="2"/>
  <c r="G16" i="28" s="1"/>
  <c r="D187" i="2"/>
  <c r="I183" i="17" s="1"/>
  <c r="D52" i="2"/>
  <c r="I48" i="17" s="1"/>
  <c r="D261" i="2"/>
  <c r="D95" i="2"/>
  <c r="I91" i="17" s="1"/>
  <c r="D209" i="2"/>
  <c r="I205" i="17" s="1"/>
  <c r="D70" i="2"/>
  <c r="H47" i="12" s="1"/>
  <c r="D316" i="2"/>
  <c r="G3" i="14" s="1"/>
  <c r="H3" i="14" s="1"/>
  <c r="D384" i="2"/>
  <c r="I379" i="17" s="1"/>
  <c r="P393" i="6"/>
  <c r="S393" i="6" s="1"/>
  <c r="M401" i="17" s="1"/>
  <c r="P293" i="6"/>
  <c r="S293" i="6" s="1"/>
  <c r="S205" i="6"/>
  <c r="M60" i="21" s="1"/>
  <c r="T248" i="2"/>
  <c r="Q248" i="2" s="1"/>
  <c r="S346" i="6"/>
  <c r="L22" i="19" s="1"/>
  <c r="S199" i="6"/>
  <c r="S178" i="6"/>
  <c r="M192" i="17" s="1"/>
  <c r="D156" i="2"/>
  <c r="I152" i="17" s="1"/>
  <c r="S353" i="6"/>
  <c r="L29" i="19" s="1"/>
  <c r="S147" i="6"/>
  <c r="M161" i="17" s="1"/>
  <c r="D101" i="2"/>
  <c r="H26" i="16" s="1"/>
  <c r="I26" i="16" s="1"/>
  <c r="D271" i="2"/>
  <c r="G48" i="28" s="1"/>
  <c r="D407" i="2"/>
  <c r="I32" i="20" s="1"/>
  <c r="S352" i="6"/>
  <c r="L28" i="19" s="1"/>
  <c r="D259" i="2"/>
  <c r="I254" i="17" s="1"/>
  <c r="G73" i="28"/>
  <c r="D165" i="2"/>
  <c r="I161" i="17" s="1"/>
  <c r="P135" i="6"/>
  <c r="S135" i="6" s="1"/>
  <c r="D189" i="2"/>
  <c r="I185" i="17" s="1"/>
  <c r="D301" i="2"/>
  <c r="H2" i="15" s="1"/>
  <c r="I2" i="15" s="1"/>
  <c r="D37" i="2"/>
  <c r="H14" i="12" s="1"/>
  <c r="D256" i="2"/>
  <c r="G33" i="28" s="1"/>
  <c r="D155" i="2"/>
  <c r="I151" i="17" s="1"/>
  <c r="S185" i="6"/>
  <c r="M199" i="17" s="1"/>
  <c r="D270" i="2"/>
  <c r="I16" i="8" s="1"/>
  <c r="S307" i="6"/>
  <c r="M317" i="17" s="1"/>
  <c r="D260" i="2"/>
  <c r="G37" i="28" s="1"/>
  <c r="D275" i="2"/>
  <c r="I21" i="8" s="1"/>
  <c r="D68" i="2"/>
  <c r="I64" i="17" s="1"/>
  <c r="S150" i="6"/>
  <c r="M164" i="17" s="1"/>
  <c r="S197" i="6"/>
  <c r="M52" i="21" s="1"/>
  <c r="S158" i="6"/>
  <c r="M172" i="17" s="1"/>
  <c r="S152" i="6"/>
  <c r="M7" i="21" s="1"/>
  <c r="S374" i="6"/>
  <c r="M382" i="17" s="1"/>
  <c r="D169" i="2"/>
  <c r="I165" i="17" s="1"/>
  <c r="D190" i="2"/>
  <c r="I186" i="17" s="1"/>
  <c r="I285" i="17"/>
  <c r="D286" i="2"/>
  <c r="I32" i="8" s="1"/>
  <c r="D203" i="2"/>
  <c r="I199" i="17" s="1"/>
  <c r="D319" i="2"/>
  <c r="P140" i="6"/>
  <c r="S140" i="6" s="1"/>
  <c r="R29" i="2"/>
  <c r="T29" i="2" s="1"/>
  <c r="S38" i="2"/>
  <c r="P44" i="6"/>
  <c r="S186" i="6"/>
  <c r="M200" i="17" s="1"/>
  <c r="P268" i="6"/>
  <c r="S268" i="6" s="1"/>
  <c r="P265" i="6"/>
  <c r="R30" i="2"/>
  <c r="T30" i="2" s="1"/>
  <c r="P21" i="6" s="1"/>
  <c r="S189" i="6"/>
  <c r="M203" i="17" s="1"/>
  <c r="M185" i="2"/>
  <c r="P19" i="28" s="1"/>
  <c r="I185" i="2"/>
  <c r="L19" i="28" s="1"/>
  <c r="K185" i="2"/>
  <c r="N19" i="28" s="1"/>
  <c r="P314" i="6"/>
  <c r="S314" i="6" s="1"/>
  <c r="M324" i="17" s="1"/>
  <c r="X211" i="2"/>
  <c r="R215" i="2" s="1"/>
  <c r="X212" i="2"/>
  <c r="P380" i="6"/>
  <c r="S380" i="6" s="1"/>
  <c r="P315" i="6"/>
  <c r="S315" i="6" s="1"/>
  <c r="P355" i="6"/>
  <c r="S355" i="6" s="1"/>
  <c r="Q212" i="6"/>
  <c r="S334" i="6"/>
  <c r="M343" i="17" s="1"/>
  <c r="I3" i="20"/>
  <c r="K3" i="20" s="1"/>
  <c r="S184" i="6"/>
  <c r="M198" i="17" s="1"/>
  <c r="S162" i="6"/>
  <c r="M17" i="21" s="1"/>
  <c r="S195" i="6"/>
  <c r="M50" i="21" s="1"/>
  <c r="S156" i="6"/>
  <c r="M11" i="21" s="1"/>
  <c r="S177" i="6"/>
  <c r="M191" i="17" s="1"/>
  <c r="S167" i="6"/>
  <c r="M22" i="21" s="1"/>
  <c r="P364" i="6"/>
  <c r="S364" i="6" s="1"/>
  <c r="M2" i="20" s="1"/>
  <c r="S301" i="6"/>
  <c r="M311" i="17" s="1"/>
  <c r="S392" i="6"/>
  <c r="M30" i="20" s="1"/>
  <c r="P366" i="6"/>
  <c r="S366" i="6" s="1"/>
  <c r="M4" i="20" s="1"/>
  <c r="S204" i="6"/>
  <c r="M59" i="21" s="1"/>
  <c r="S175" i="6"/>
  <c r="M30" i="21" s="1"/>
  <c r="S196" i="6"/>
  <c r="M210" i="17" s="1"/>
  <c r="S203" i="6"/>
  <c r="M58" i="21" s="1"/>
  <c r="S397" i="6"/>
  <c r="M405" i="17" s="1"/>
  <c r="S181" i="6"/>
  <c r="M195" i="17" s="1"/>
  <c r="S207" i="6"/>
  <c r="M62" i="21" s="1"/>
  <c r="T257" i="2"/>
  <c r="T414" i="2"/>
  <c r="P401" i="6" s="1"/>
  <c r="S401" i="6" s="1"/>
  <c r="M409" i="17" s="1"/>
  <c r="T394" i="2"/>
  <c r="P379" i="6" s="1"/>
  <c r="S379" i="6" s="1"/>
  <c r="R259" i="2"/>
  <c r="D66" i="2"/>
  <c r="H43" i="12" s="1"/>
  <c r="P256" i="6"/>
  <c r="S256" i="6" s="1"/>
  <c r="R256" i="2"/>
  <c r="T256" i="2"/>
  <c r="S256" i="2" s="1"/>
  <c r="R244" i="2"/>
  <c r="Q244" i="2"/>
  <c r="T230" i="2"/>
  <c r="U230" i="2" s="1"/>
  <c r="Q230" i="2"/>
  <c r="R230" i="2" s="1"/>
  <c r="Q229" i="2"/>
  <c r="T229" i="2"/>
  <c r="R27" i="2"/>
  <c r="R46" i="2"/>
  <c r="R26" i="2"/>
  <c r="Q46" i="2"/>
  <c r="Q51" i="6"/>
  <c r="P43" i="6"/>
  <c r="S43" i="6" s="1"/>
  <c r="Q52" i="6"/>
  <c r="Q50" i="6"/>
  <c r="T252" i="2"/>
  <c r="Q252" i="2" s="1"/>
  <c r="U252" i="2"/>
  <c r="T250" i="2"/>
  <c r="Q250" i="2" s="1"/>
  <c r="R28" i="2"/>
  <c r="S28" i="2" s="1"/>
  <c r="R250" i="2"/>
  <c r="H35" i="12"/>
  <c r="J35" i="12" s="1"/>
  <c r="S191" i="6"/>
  <c r="M46" i="21" s="1"/>
  <c r="Q246" i="2"/>
  <c r="R246" i="2"/>
  <c r="P50" i="6"/>
  <c r="Q286" i="2"/>
  <c r="J268" i="2" s="1"/>
  <c r="M45" i="28" s="1"/>
  <c r="W285" i="2"/>
  <c r="T286" i="2"/>
  <c r="M268" i="2" s="1"/>
  <c r="P45" i="28" s="1"/>
  <c r="X285" i="2"/>
  <c r="Y285" i="2"/>
  <c r="R286" i="2"/>
  <c r="K268" i="2" s="1"/>
  <c r="N45" i="28" s="1"/>
  <c r="V285" i="2"/>
  <c r="I312" i="17"/>
  <c r="P371" i="6"/>
  <c r="S371" i="6" s="1"/>
  <c r="H13" i="15"/>
  <c r="J13" i="15" s="1"/>
  <c r="D208" i="2"/>
  <c r="I204" i="17" s="1"/>
  <c r="D28" i="2"/>
  <c r="H5" i="12" s="1"/>
  <c r="P382" i="6"/>
  <c r="S382" i="6" s="1"/>
  <c r="D308" i="2"/>
  <c r="I303" i="17" s="1"/>
  <c r="D273" i="2"/>
  <c r="G50" i="28" s="1"/>
  <c r="P373" i="6"/>
  <c r="S373" i="6" s="1"/>
  <c r="Q215" i="6"/>
  <c r="D367" i="2"/>
  <c r="H29" i="19" s="1"/>
  <c r="P349" i="6"/>
  <c r="S349" i="6" s="1"/>
  <c r="M358" i="17" s="1"/>
  <c r="G11" i="14"/>
  <c r="H11" i="14" s="1"/>
  <c r="D329" i="2"/>
  <c r="I324" i="17" s="1"/>
  <c r="P249" i="6"/>
  <c r="S249" i="6" s="1"/>
  <c r="Q265" i="6"/>
  <c r="Q258" i="6"/>
  <c r="D346" i="2"/>
  <c r="I341" i="17" s="1"/>
  <c r="P386" i="6"/>
  <c r="S386" i="6" s="1"/>
  <c r="M394" i="17" s="1"/>
  <c r="P356" i="6"/>
  <c r="S356" i="6" s="1"/>
  <c r="M365" i="17" s="1"/>
  <c r="D105" i="2"/>
  <c r="I101" i="17" s="1"/>
  <c r="D202" i="2"/>
  <c r="I198" i="17" s="1"/>
  <c r="D110" i="2"/>
  <c r="I106" i="17" s="1"/>
  <c r="P317" i="6"/>
  <c r="S317" i="6" s="1"/>
  <c r="K19" i="14" s="1"/>
  <c r="D121" i="2"/>
  <c r="I117" i="17" s="1"/>
  <c r="D419" i="2"/>
  <c r="I414" i="17" s="1"/>
  <c r="P399" i="6"/>
  <c r="S399" i="6" s="1"/>
  <c r="M37" i="20" s="1"/>
  <c r="P394" i="6"/>
  <c r="S394" i="6" s="1"/>
  <c r="M32" i="20" s="1"/>
  <c r="Q45" i="6"/>
  <c r="Q260" i="6"/>
  <c r="S260" i="6" s="1"/>
  <c r="P27" i="6"/>
  <c r="S27" i="6" s="1"/>
  <c r="D380" i="2"/>
  <c r="I375" i="17" s="1"/>
  <c r="D82" i="2"/>
  <c r="I78" i="17" s="1"/>
  <c r="D173" i="2"/>
  <c r="I10" i="21" s="1"/>
  <c r="K10" i="21" s="1"/>
  <c r="P319" i="6"/>
  <c r="S319" i="6" s="1"/>
  <c r="M329" i="17" s="1"/>
  <c r="P367" i="6"/>
  <c r="S367" i="6" s="1"/>
  <c r="P391" i="6"/>
  <c r="S391" i="6" s="1"/>
  <c r="M29" i="20" s="1"/>
  <c r="S206" i="6"/>
  <c r="M220" i="17" s="1"/>
  <c r="S159" i="6"/>
  <c r="M173" i="17" s="1"/>
  <c r="S341" i="6"/>
  <c r="M350" i="17" s="1"/>
  <c r="P134" i="6"/>
  <c r="S134" i="6" s="1"/>
  <c r="L48" i="9" s="1"/>
  <c r="P137" i="6"/>
  <c r="S137" i="6" s="1"/>
  <c r="S337" i="6"/>
  <c r="L13" i="19" s="1"/>
  <c r="S403" i="6"/>
  <c r="M411" i="17" s="1"/>
  <c r="D408" i="2"/>
  <c r="I403" i="17" s="1"/>
  <c r="S194" i="6"/>
  <c r="M208" i="17" s="1"/>
  <c r="D204" i="2"/>
  <c r="I200" i="17" s="1"/>
  <c r="D138" i="2"/>
  <c r="H32" i="9" s="1"/>
  <c r="D368" i="2"/>
  <c r="I363" i="17" s="1"/>
  <c r="D399" i="2"/>
  <c r="I394" i="17" s="1"/>
  <c r="D99" i="2"/>
  <c r="I95" i="17" s="1"/>
  <c r="S163" i="6"/>
  <c r="M18" i="21" s="1"/>
  <c r="S318" i="6"/>
  <c r="K20" i="14" s="1"/>
  <c r="H11" i="15"/>
  <c r="J11" i="15" s="1"/>
  <c r="I25" i="21"/>
  <c r="K25" i="21" s="1"/>
  <c r="S376" i="6"/>
  <c r="M384" i="17" s="1"/>
  <c r="S179" i="6"/>
  <c r="M34" i="21" s="1"/>
  <c r="S375" i="6"/>
  <c r="M13" i="20" s="1"/>
  <c r="S304" i="6"/>
  <c r="K6" i="14" s="1"/>
  <c r="S149" i="6"/>
  <c r="M163" i="17" s="1"/>
  <c r="I13" i="21"/>
  <c r="J13" i="21" s="1"/>
  <c r="D223" i="2"/>
  <c r="I219" i="17" s="1"/>
  <c r="S166" i="6"/>
  <c r="M180" i="17" s="1"/>
  <c r="D63" i="2"/>
  <c r="I59" i="17" s="1"/>
  <c r="D315" i="2"/>
  <c r="I310" i="17" s="1"/>
  <c r="D293" i="2"/>
  <c r="G70" i="28" s="1"/>
  <c r="S148" i="6"/>
  <c r="M3" i="21" s="1"/>
  <c r="S168" i="6"/>
  <c r="M182" i="17" s="1"/>
  <c r="D373" i="2"/>
  <c r="I368" i="17" s="1"/>
  <c r="D284" i="2"/>
  <c r="I30" i="8" s="1"/>
  <c r="D78" i="2"/>
  <c r="H3" i="16" s="1"/>
  <c r="D145" i="2"/>
  <c r="H39" i="9" s="1"/>
  <c r="S385" i="6"/>
  <c r="M23" i="20" s="1"/>
  <c r="S143" i="6"/>
  <c r="L57" i="9" s="1"/>
  <c r="D325" i="2"/>
  <c r="D177" i="2"/>
  <c r="I14" i="21" s="1"/>
  <c r="D117" i="2"/>
  <c r="H11" i="9" s="1"/>
  <c r="S161" i="6"/>
  <c r="M175" i="17" s="1"/>
  <c r="S200" i="6"/>
  <c r="M214" i="17" s="1"/>
  <c r="S192" i="6"/>
  <c r="M47" i="21" s="1"/>
  <c r="D213" i="2"/>
  <c r="I50" i="21" s="1"/>
  <c r="D149" i="2"/>
  <c r="H43" i="9" s="1"/>
  <c r="S350" i="6"/>
  <c r="M359" i="17" s="1"/>
  <c r="S321" i="6"/>
  <c r="K23" i="14" s="1"/>
  <c r="D353" i="2"/>
  <c r="I348" i="17" s="1"/>
  <c r="D236" i="2"/>
  <c r="H10" i="10" s="1"/>
  <c r="D48" i="2"/>
  <c r="I44" i="17" s="1"/>
  <c r="D302" i="2"/>
  <c r="H3" i="15" s="1"/>
  <c r="J3" i="15" s="1"/>
  <c r="D51" i="2"/>
  <c r="I47" i="17" s="1"/>
  <c r="S151" i="6"/>
  <c r="M6" i="21" s="1"/>
  <c r="D394" i="2"/>
  <c r="I19" i="20" s="1"/>
  <c r="D135" i="2"/>
  <c r="I131" i="17" s="1"/>
  <c r="S327" i="6"/>
  <c r="L3" i="19" s="1"/>
  <c r="D354" i="2"/>
  <c r="H16" i="19" s="1"/>
  <c r="D381" i="2"/>
  <c r="I6" i="20" s="1"/>
  <c r="S176" i="6"/>
  <c r="M190" i="17" s="1"/>
  <c r="D395" i="2"/>
  <c r="I390" i="17" s="1"/>
  <c r="P130" i="6"/>
  <c r="Q130" i="6"/>
  <c r="Q245" i="6"/>
  <c r="P245" i="6"/>
  <c r="Q102" i="6"/>
  <c r="P102" i="6"/>
  <c r="P81" i="6"/>
  <c r="S81" i="6" s="1"/>
  <c r="Q81" i="6"/>
  <c r="P84" i="6"/>
  <c r="S84" i="6" s="1"/>
  <c r="Q84" i="6"/>
  <c r="Q15" i="6"/>
  <c r="P15" i="6"/>
  <c r="P124" i="6"/>
  <c r="Q124" i="6"/>
  <c r="Q262" i="6"/>
  <c r="P262" i="6"/>
  <c r="Q234" i="2"/>
  <c r="X235" i="2" s="1"/>
  <c r="R234" i="2"/>
  <c r="Q80" i="6"/>
  <c r="P80" i="6"/>
  <c r="S80" i="6" s="1"/>
  <c r="Q247" i="6"/>
  <c r="P247" i="6"/>
  <c r="Q263" i="6"/>
  <c r="P263" i="6"/>
  <c r="Q48" i="6"/>
  <c r="P48" i="6"/>
  <c r="Q16" i="6"/>
  <c r="P16" i="6"/>
  <c r="Q117" i="6"/>
  <c r="P117" i="6"/>
  <c r="Q92" i="6"/>
  <c r="P92" i="6"/>
  <c r="P132" i="6"/>
  <c r="Q132" i="6"/>
  <c r="Q121" i="6"/>
  <c r="P121" i="6"/>
  <c r="P101" i="6"/>
  <c r="Q101" i="6"/>
  <c r="Q63" i="6"/>
  <c r="P63" i="6"/>
  <c r="P91" i="6"/>
  <c r="Q91" i="6"/>
  <c r="Q93" i="6"/>
  <c r="P93" i="6"/>
  <c r="P38" i="6"/>
  <c r="Q38" i="6"/>
  <c r="Q89" i="6"/>
  <c r="P89" i="6"/>
  <c r="Q76" i="6"/>
  <c r="P76" i="6"/>
  <c r="S76" i="6" s="1"/>
  <c r="P66" i="6"/>
  <c r="S66" i="6" s="1"/>
  <c r="L12" i="16" s="1"/>
  <c r="Q66" i="6"/>
  <c r="Q113" i="6"/>
  <c r="P113" i="6"/>
  <c r="P127" i="6"/>
  <c r="Q127" i="6"/>
  <c r="Q252" i="6"/>
  <c r="P252" i="6"/>
  <c r="P70" i="6"/>
  <c r="Q70" i="6"/>
  <c r="Q9" i="6"/>
  <c r="P9" i="6"/>
  <c r="P19" i="6"/>
  <c r="Q19" i="6"/>
  <c r="P29" i="6"/>
  <c r="Q29" i="6"/>
  <c r="P119" i="6"/>
  <c r="Q119" i="6"/>
  <c r="P14" i="6"/>
  <c r="Q14" i="6"/>
  <c r="Q240" i="6"/>
  <c r="P240" i="6"/>
  <c r="P22" i="6"/>
  <c r="Q22" i="6"/>
  <c r="P264" i="6"/>
  <c r="Q264" i="6"/>
  <c r="Q126" i="6"/>
  <c r="P126" i="6"/>
  <c r="Q67" i="6"/>
  <c r="P67" i="6"/>
  <c r="S67" i="6" s="1"/>
  <c r="L13" i="16" s="1"/>
  <c r="P25" i="6"/>
  <c r="Q25" i="6"/>
  <c r="Q83" i="6"/>
  <c r="P83" i="6"/>
  <c r="Q96" i="6"/>
  <c r="P96" i="6"/>
  <c r="P30" i="6"/>
  <c r="Q30" i="6"/>
  <c r="Q218" i="6"/>
  <c r="P218" i="6"/>
  <c r="P12" i="6"/>
  <c r="Q12" i="6"/>
  <c r="P109" i="6"/>
  <c r="Q109" i="6"/>
  <c r="Q238" i="2"/>
  <c r="X239" i="2" s="1"/>
  <c r="R238" i="2"/>
  <c r="Q129" i="6"/>
  <c r="P129" i="6"/>
  <c r="P95" i="6"/>
  <c r="Q95" i="6"/>
  <c r="P230" i="6"/>
  <c r="Q230" i="6"/>
  <c r="P72" i="6"/>
  <c r="S72" i="6" s="1"/>
  <c r="Q72" i="6"/>
  <c r="Q7" i="6"/>
  <c r="P7" i="6"/>
  <c r="Q11" i="6"/>
  <c r="P11" i="6"/>
  <c r="P78" i="6"/>
  <c r="S78" i="6" s="1"/>
  <c r="Q78" i="6"/>
  <c r="Q228" i="6"/>
  <c r="P228" i="6"/>
  <c r="Q111" i="6"/>
  <c r="P111" i="6"/>
  <c r="Q28" i="6"/>
  <c r="P28" i="6"/>
  <c r="Q220" i="6"/>
  <c r="P220" i="6"/>
  <c r="Q71" i="6"/>
  <c r="P71" i="6"/>
  <c r="S71" i="6" s="1"/>
  <c r="P100" i="6"/>
  <c r="Q100" i="6"/>
  <c r="Q219" i="6"/>
  <c r="P219" i="6"/>
  <c r="Q242" i="6"/>
  <c r="P242" i="6"/>
  <c r="Q56" i="6"/>
  <c r="P56" i="6"/>
  <c r="S56" i="6" s="1"/>
  <c r="L2" i="16" s="1"/>
  <c r="P23" i="6"/>
  <c r="Q23" i="6"/>
  <c r="P33" i="6"/>
  <c r="Q33" i="6"/>
  <c r="P110" i="6"/>
  <c r="Q110" i="6"/>
  <c r="P99" i="6"/>
  <c r="Q99" i="6"/>
  <c r="P4" i="6"/>
  <c r="Q4" i="6"/>
  <c r="Q253" i="6"/>
  <c r="P253" i="6"/>
  <c r="Q122" i="6"/>
  <c r="P122" i="6"/>
  <c r="P39" i="6"/>
  <c r="Q39" i="6"/>
  <c r="P58" i="6"/>
  <c r="S58" i="6" s="1"/>
  <c r="Q58" i="6"/>
  <c r="P68" i="6"/>
  <c r="S68" i="6" s="1"/>
  <c r="Q68" i="6"/>
  <c r="Q120" i="6"/>
  <c r="P120" i="6"/>
  <c r="Q10" i="6"/>
  <c r="P10" i="6"/>
  <c r="P246" i="6"/>
  <c r="Q246" i="6"/>
  <c r="Y196" i="2"/>
  <c r="Y197" i="2" s="1"/>
  <c r="V196" i="2"/>
  <c r="V197" i="2" s="1"/>
  <c r="U196" i="2"/>
  <c r="U197" i="2" s="1"/>
  <c r="W196" i="2"/>
  <c r="W197" i="2" s="1"/>
  <c r="X196" i="2"/>
  <c r="X197" i="2" s="1"/>
  <c r="P37" i="6"/>
  <c r="Q37" i="6"/>
  <c r="P5" i="6"/>
  <c r="Q5" i="6"/>
  <c r="Q31" i="6"/>
  <c r="P31" i="6"/>
  <c r="P254" i="6"/>
  <c r="Q254" i="6"/>
  <c r="Q222" i="6"/>
  <c r="P222" i="6"/>
  <c r="P57" i="6"/>
  <c r="S57" i="6" s="1"/>
  <c r="M74" i="17" s="1"/>
  <c r="Q57" i="6"/>
  <c r="Q128" i="6"/>
  <c r="P128" i="6"/>
  <c r="P280" i="6"/>
  <c r="Q280" i="6"/>
  <c r="Q131" i="6"/>
  <c r="P131" i="6"/>
  <c r="Q125" i="6"/>
  <c r="P125" i="6"/>
  <c r="Q279" i="6"/>
  <c r="P279" i="6"/>
  <c r="P32" i="6"/>
  <c r="Q32" i="6"/>
  <c r="P65" i="6"/>
  <c r="Q65" i="6"/>
  <c r="P225" i="6"/>
  <c r="Q225" i="6"/>
  <c r="Q221" i="6"/>
  <c r="P221" i="6"/>
  <c r="Q90" i="6"/>
  <c r="P90" i="6"/>
  <c r="P239" i="6"/>
  <c r="Q239" i="6"/>
  <c r="Q75" i="6"/>
  <c r="P75" i="6"/>
  <c r="S75" i="6" s="1"/>
  <c r="Q241" i="6"/>
  <c r="P241" i="6"/>
  <c r="P257" i="6"/>
  <c r="Q257" i="6"/>
  <c r="P273" i="6"/>
  <c r="Q273" i="6"/>
  <c r="Q60" i="6"/>
  <c r="P60" i="6"/>
  <c r="S60" i="6" s="1"/>
  <c r="M77" i="17" s="1"/>
  <c r="P248" i="6"/>
  <c r="Q248" i="6"/>
  <c r="P123" i="6"/>
  <c r="Q123" i="6"/>
  <c r="Q82" i="6"/>
  <c r="P82" i="6"/>
  <c r="S82" i="6" s="1"/>
  <c r="Q6" i="6"/>
  <c r="P6" i="6"/>
  <c r="P8" i="6"/>
  <c r="Q8" i="6"/>
  <c r="Q88" i="6"/>
  <c r="P88" i="6"/>
  <c r="P224" i="6"/>
  <c r="Q224" i="6"/>
  <c r="Q232" i="6"/>
  <c r="P232" i="6"/>
  <c r="P276" i="6"/>
  <c r="Q276" i="6"/>
  <c r="P103" i="6"/>
  <c r="Q103" i="6"/>
  <c r="Q35" i="6"/>
  <c r="P35" i="6"/>
  <c r="Q107" i="6"/>
  <c r="P107" i="6"/>
  <c r="P13" i="6"/>
  <c r="Q13" i="6"/>
  <c r="P114" i="6"/>
  <c r="Q114" i="6"/>
  <c r="P24" i="6"/>
  <c r="Q24" i="6"/>
  <c r="P106" i="6"/>
  <c r="Q106" i="6"/>
  <c r="Q59" i="6"/>
  <c r="P59" i="6"/>
  <c r="S59" i="6" s="1"/>
  <c r="P281" i="6"/>
  <c r="Q281" i="6"/>
  <c r="P94" i="6"/>
  <c r="Q94" i="6"/>
  <c r="Q266" i="6"/>
  <c r="P266" i="6"/>
  <c r="P227" i="6"/>
  <c r="Q227" i="6"/>
  <c r="Q226" i="6"/>
  <c r="P226" i="6"/>
  <c r="Q250" i="6"/>
  <c r="P250" i="6"/>
  <c r="P77" i="6"/>
  <c r="S77" i="6" s="1"/>
  <c r="L23" i="16" s="1"/>
  <c r="Q77" i="6"/>
  <c r="Q243" i="6"/>
  <c r="P243" i="6"/>
  <c r="P275" i="6"/>
  <c r="Q275" i="6"/>
  <c r="Q112" i="6"/>
  <c r="P112" i="6"/>
  <c r="P62" i="6"/>
  <c r="S62" i="6" s="1"/>
  <c r="Q62" i="6"/>
  <c r="Q64" i="6"/>
  <c r="P64" i="6"/>
  <c r="S64" i="6" s="1"/>
  <c r="P115" i="6"/>
  <c r="Q115" i="6"/>
  <c r="Q105" i="6"/>
  <c r="P105" i="6"/>
  <c r="Q18" i="6"/>
  <c r="P18" i="6"/>
  <c r="Q69" i="6"/>
  <c r="P69" i="6"/>
  <c r="S69" i="6" s="1"/>
  <c r="Q97" i="6"/>
  <c r="P97" i="6"/>
  <c r="Q17" i="6"/>
  <c r="P17" i="6"/>
  <c r="P3" i="6"/>
  <c r="Q3" i="6"/>
  <c r="Q98" i="6"/>
  <c r="P98" i="6"/>
  <c r="Q223" i="6"/>
  <c r="P223" i="6"/>
  <c r="P20" i="6"/>
  <c r="Q20" i="6"/>
  <c r="P118" i="6"/>
  <c r="Q118" i="6"/>
  <c r="P234" i="6"/>
  <c r="Q234" i="6"/>
  <c r="Q61" i="6"/>
  <c r="P61" i="6"/>
  <c r="S61" i="6" s="1"/>
  <c r="P104" i="6"/>
  <c r="Q104" i="6"/>
  <c r="Q277" i="6"/>
  <c r="P277" i="6"/>
  <c r="Q108" i="6"/>
  <c r="P108" i="6"/>
  <c r="Q34" i="6"/>
  <c r="P34" i="6"/>
  <c r="P116" i="6"/>
  <c r="Q116" i="6"/>
  <c r="Q274" i="6"/>
  <c r="P274" i="6"/>
  <c r="P36" i="6"/>
  <c r="Q36" i="6"/>
  <c r="Q244" i="6"/>
  <c r="P244" i="6"/>
  <c r="P229" i="6"/>
  <c r="Q229" i="6"/>
  <c r="P79" i="6"/>
  <c r="S79" i="6" s="1"/>
  <c r="Q79" i="6"/>
  <c r="P142" i="6"/>
  <c r="S142" i="6" s="1"/>
  <c r="M157" i="17" s="1"/>
  <c r="I100" i="17"/>
  <c r="H29" i="16"/>
  <c r="I29" i="16" s="1"/>
  <c r="H7" i="15"/>
  <c r="J7" i="15" s="1"/>
  <c r="I301" i="17"/>
  <c r="I162" i="17"/>
  <c r="I3" i="21"/>
  <c r="K3" i="21" s="1"/>
  <c r="I216" i="17"/>
  <c r="I57" i="21"/>
  <c r="K57" i="21" s="1"/>
  <c r="I22" i="17"/>
  <c r="H3" i="12"/>
  <c r="I110" i="17"/>
  <c r="H8" i="9"/>
  <c r="I135" i="17"/>
  <c r="H33" i="9"/>
  <c r="M174" i="17"/>
  <c r="M15" i="21"/>
  <c r="I206" i="17"/>
  <c r="I47" i="21"/>
  <c r="K47" i="21" s="1"/>
  <c r="I192" i="17"/>
  <c r="I33" i="21"/>
  <c r="J33" i="21" s="1"/>
  <c r="I218" i="17"/>
  <c r="H15" i="12"/>
  <c r="I34" i="17"/>
  <c r="H9" i="9"/>
  <c r="I111" i="17"/>
  <c r="H40" i="9"/>
  <c r="I142" i="17"/>
  <c r="M29" i="21"/>
  <c r="M188" i="17"/>
  <c r="M12" i="21"/>
  <c r="M171" i="17"/>
  <c r="M176" i="17"/>
  <c r="G5" i="14"/>
  <c r="I313" i="17"/>
  <c r="H14" i="16"/>
  <c r="J14" i="16" s="1"/>
  <c r="I85" i="17"/>
  <c r="I80" i="17"/>
  <c r="H9" i="16"/>
  <c r="I9" i="16" s="1"/>
  <c r="I190" i="17"/>
  <c r="I31" i="21"/>
  <c r="K31" i="21" s="1"/>
  <c r="I49" i="17"/>
  <c r="H30" i="12"/>
  <c r="H34" i="12"/>
  <c r="I53" i="17"/>
  <c r="M357" i="17"/>
  <c r="L24" i="19"/>
  <c r="I40" i="20"/>
  <c r="I410" i="17"/>
  <c r="I70" i="17"/>
  <c r="H51" i="12"/>
  <c r="H12" i="12"/>
  <c r="I31" i="17"/>
  <c r="I384" i="17"/>
  <c r="I14" i="20"/>
  <c r="H10" i="19"/>
  <c r="I5" i="21"/>
  <c r="K5" i="21" s="1"/>
  <c r="I164" i="17"/>
  <c r="H48" i="12"/>
  <c r="I67" i="17"/>
  <c r="H22" i="9"/>
  <c r="I124" i="17"/>
  <c r="H20" i="19"/>
  <c r="I73" i="17"/>
  <c r="H2" i="16"/>
  <c r="I2" i="16" s="1"/>
  <c r="I175" i="17"/>
  <c r="I138" i="17"/>
  <c r="H36" i="9"/>
  <c r="I87" i="17"/>
  <c r="H16" i="16"/>
  <c r="I16" i="16" s="1"/>
  <c r="I163" i="17"/>
  <c r="I4" i="21"/>
  <c r="J4" i="21" s="1"/>
  <c r="I40" i="17"/>
  <c r="H21" i="12"/>
  <c r="H42" i="9"/>
  <c r="H21" i="16"/>
  <c r="I21" i="16" s="1"/>
  <c r="I92" i="17"/>
  <c r="I298" i="17"/>
  <c r="I212" i="17"/>
  <c r="I53" i="21"/>
  <c r="J53" i="21" s="1"/>
  <c r="I69" i="17"/>
  <c r="H50" i="12"/>
  <c r="H5" i="15"/>
  <c r="J5" i="15" s="1"/>
  <c r="I299" i="17"/>
  <c r="I208" i="17"/>
  <c r="I49" i="21"/>
  <c r="J49" i="21" s="1"/>
  <c r="I34" i="21"/>
  <c r="J34" i="21" s="1"/>
  <c r="I193" i="17"/>
  <c r="I55" i="17"/>
  <c r="H36" i="12"/>
  <c r="I41" i="17"/>
  <c r="H22" i="12"/>
  <c r="I128" i="17"/>
  <c r="H26" i="9"/>
  <c r="H41" i="9"/>
  <c r="I143" i="17"/>
  <c r="I397" i="17"/>
  <c r="I27" i="20"/>
  <c r="I217" i="17"/>
  <c r="I58" i="21"/>
  <c r="J58" i="21" s="1"/>
  <c r="H4" i="12"/>
  <c r="I23" i="17"/>
  <c r="H5" i="9"/>
  <c r="I107" i="17"/>
  <c r="M57" i="21"/>
  <c r="M216" i="17"/>
  <c r="I359" i="17"/>
  <c r="H26" i="19"/>
  <c r="H25" i="16"/>
  <c r="I25" i="16" s="1"/>
  <c r="I36" i="21"/>
  <c r="J36" i="21" s="1"/>
  <c r="I195" i="17"/>
  <c r="I8" i="21"/>
  <c r="K8" i="21" s="1"/>
  <c r="I167" i="17"/>
  <c r="H46" i="12"/>
  <c r="I65" i="17"/>
  <c r="I126" i="17"/>
  <c r="H24" i="9"/>
  <c r="H17" i="19"/>
  <c r="I350" i="17"/>
  <c r="H13" i="16"/>
  <c r="I13" i="16" s="1"/>
  <c r="I84" i="17"/>
  <c r="I55" i="21"/>
  <c r="J55" i="21" s="1"/>
  <c r="I214" i="17"/>
  <c r="I168" i="17"/>
  <c r="I9" i="21"/>
  <c r="K9" i="21" s="1"/>
  <c r="I215" i="17"/>
  <c r="I56" i="21"/>
  <c r="K56" i="21" s="1"/>
  <c r="H7" i="12"/>
  <c r="I26" i="17"/>
  <c r="I156" i="17"/>
  <c r="H55" i="9"/>
  <c r="I344" i="17"/>
  <c r="H11" i="19"/>
  <c r="I79" i="17"/>
  <c r="H8" i="16"/>
  <c r="I8" i="16" s="1"/>
  <c r="I304" i="17"/>
  <c r="I17" i="17" s="1"/>
  <c r="M17" i="1" s="1"/>
  <c r="B7" i="17" s="1"/>
  <c r="H10" i="15"/>
  <c r="J10" i="15" s="1"/>
  <c r="I189" i="17"/>
  <c r="I30" i="21"/>
  <c r="K30" i="21" s="1"/>
  <c r="H11" i="12"/>
  <c r="I30" i="17"/>
  <c r="I38" i="17"/>
  <c r="H19" i="12"/>
  <c r="M201" i="17"/>
  <c r="M42" i="21"/>
  <c r="H27" i="16"/>
  <c r="I27" i="16" s="1"/>
  <c r="I98" i="17"/>
  <c r="H23" i="16"/>
  <c r="J23" i="16" s="1"/>
  <c r="I94" i="17"/>
  <c r="I12" i="21"/>
  <c r="J12" i="21" s="1"/>
  <c r="I171" i="17"/>
  <c r="I207" i="17"/>
  <c r="I48" i="21"/>
  <c r="K48" i="21" s="1"/>
  <c r="I58" i="17"/>
  <c r="H39" i="12"/>
  <c r="H31" i="9"/>
  <c r="I133" i="17"/>
  <c r="H34" i="19"/>
  <c r="I367" i="17"/>
  <c r="H11" i="16"/>
  <c r="J11" i="16" s="1"/>
  <c r="I82" i="17"/>
  <c r="H28" i="16"/>
  <c r="I28" i="16" s="1"/>
  <c r="I99" i="17"/>
  <c r="I42" i="21"/>
  <c r="K42" i="21" s="1"/>
  <c r="I201" i="17"/>
  <c r="I68" i="17"/>
  <c r="H49" i="12"/>
  <c r="I150" i="17"/>
  <c r="H49" i="9"/>
  <c r="I358" i="17"/>
  <c r="H25" i="19"/>
  <c r="H18" i="16"/>
  <c r="I89" i="17"/>
  <c r="I86" i="17"/>
  <c r="H15" i="16"/>
  <c r="I15" i="16" s="1"/>
  <c r="I202" i="17"/>
  <c r="I43" i="21"/>
  <c r="J43" i="21" s="1"/>
  <c r="I51" i="17"/>
  <c r="H32" i="12"/>
  <c r="I153" i="17"/>
  <c r="H52" i="9"/>
  <c r="I382" i="17"/>
  <c r="I12" i="20"/>
  <c r="L10" i="15"/>
  <c r="M304" i="17"/>
  <c r="M17" i="17" s="1"/>
  <c r="Q17" i="1" s="1"/>
  <c r="I37" i="17"/>
  <c r="H18" i="12"/>
  <c r="I346" i="17"/>
  <c r="H13" i="19"/>
  <c r="I335" i="17"/>
  <c r="H2" i="19"/>
  <c r="I4" i="20"/>
  <c r="I374" i="17"/>
  <c r="M327" i="17"/>
  <c r="I406" i="17"/>
  <c r="I36" i="20"/>
  <c r="I322" i="17"/>
  <c r="I413" i="17"/>
  <c r="I43" i="20"/>
  <c r="I147" i="17"/>
  <c r="H13" i="9"/>
  <c r="I115" i="17"/>
  <c r="M187" i="17"/>
  <c r="M28" i="21"/>
  <c r="I416" i="17"/>
  <c r="I46" i="20"/>
  <c r="M403" i="17"/>
  <c r="M33" i="20"/>
  <c r="H34" i="9"/>
  <c r="H16" i="12"/>
  <c r="I35" i="17"/>
  <c r="H36" i="19"/>
  <c r="I369" i="17"/>
  <c r="H12" i="10"/>
  <c r="I395" i="17"/>
  <c r="I25" i="20"/>
  <c r="M178" i="17"/>
  <c r="M19" i="21"/>
  <c r="I386" i="17"/>
  <c r="I16" i="20"/>
  <c r="H18" i="9"/>
  <c r="I120" i="17"/>
  <c r="H12" i="19"/>
  <c r="I345" i="17"/>
  <c r="I352" i="17"/>
  <c r="H19" i="19"/>
  <c r="H20" i="10"/>
  <c r="I242" i="17"/>
  <c r="M313" i="17"/>
  <c r="K5" i="14"/>
  <c r="M380" i="17"/>
  <c r="M10" i="20"/>
  <c r="I21" i="17"/>
  <c r="H2" i="12"/>
  <c r="I15" i="20"/>
  <c r="I385" i="17"/>
  <c r="G69" i="28"/>
  <c r="I220" i="17"/>
  <c r="I300" i="17"/>
  <c r="D269" i="2"/>
  <c r="G46" i="28" s="1"/>
  <c r="I2" i="20"/>
  <c r="I372" i="17"/>
  <c r="I28" i="17"/>
  <c r="H9" i="12"/>
  <c r="H37" i="9"/>
  <c r="I139" i="17"/>
  <c r="D265" i="2"/>
  <c r="I9" i="8" s="1"/>
  <c r="M12" i="20"/>
  <c r="M316" i="17"/>
  <c r="K8" i="14"/>
  <c r="I28" i="20"/>
  <c r="I398" i="17"/>
  <c r="L8" i="15"/>
  <c r="M302" i="17"/>
  <c r="I39" i="20"/>
  <c r="I409" i="17"/>
  <c r="M41" i="21"/>
  <c r="H10" i="12"/>
  <c r="I29" i="17"/>
  <c r="M212" i="17"/>
  <c r="M53" i="21"/>
  <c r="M328" i="17"/>
  <c r="I400" i="17"/>
  <c r="I30" i="20"/>
  <c r="H56" i="9"/>
  <c r="I364" i="17"/>
  <c r="H31" i="19"/>
  <c r="I338" i="17"/>
  <c r="H5" i="19"/>
  <c r="H54" i="9"/>
  <c r="I155" i="17"/>
  <c r="I401" i="17"/>
  <c r="I31" i="20"/>
  <c r="I56" i="17"/>
  <c r="H37" i="12"/>
  <c r="I61" i="17"/>
  <c r="H42" i="12"/>
  <c r="M20" i="20"/>
  <c r="M390" i="17"/>
  <c r="I355" i="17"/>
  <c r="H22" i="19"/>
  <c r="I119" i="17"/>
  <c r="H17" i="9"/>
  <c r="I302" i="17"/>
  <c r="G68" i="28"/>
  <c r="D262" i="2"/>
  <c r="I257" i="17" s="1"/>
  <c r="M167" i="17"/>
  <c r="I46" i="17"/>
  <c r="M54" i="21"/>
  <c r="M213" i="17"/>
  <c r="I366" i="17"/>
  <c r="H33" i="19"/>
  <c r="H13" i="10"/>
  <c r="I235" i="17"/>
  <c r="D288" i="2"/>
  <c r="I283" i="17" s="1"/>
  <c r="M369" i="17"/>
  <c r="L36" i="19"/>
  <c r="I148" i="17"/>
  <c r="H46" i="9"/>
  <c r="I347" i="17"/>
  <c r="H14" i="19"/>
  <c r="D279" i="2"/>
  <c r="I274" i="17" s="1"/>
  <c r="M169" i="17"/>
  <c r="M10" i="21"/>
  <c r="M323" i="17"/>
  <c r="K15" i="14"/>
  <c r="M26" i="20"/>
  <c r="M396" i="17"/>
  <c r="H21" i="9"/>
  <c r="I123" i="17"/>
  <c r="I118" i="17"/>
  <c r="I17" i="20"/>
  <c r="I387" i="17"/>
  <c r="M12" i="8"/>
  <c r="M261" i="17"/>
  <c r="I42" i="20"/>
  <c r="I412" i="17"/>
  <c r="D280" i="2"/>
  <c r="I26" i="8" s="1"/>
  <c r="D277" i="2"/>
  <c r="G54" i="28" s="1"/>
  <c r="M416" i="17"/>
  <c r="M46" i="20"/>
  <c r="H9" i="10"/>
  <c r="I231" i="17"/>
  <c r="I13" i="8"/>
  <c r="I262" i="17"/>
  <c r="G44" i="28"/>
  <c r="G55" i="28"/>
  <c r="I273" i="17"/>
  <c r="I256" i="17"/>
  <c r="G38" i="28"/>
  <c r="I7" i="8"/>
  <c r="I221" i="17"/>
  <c r="G29" i="28"/>
  <c r="I62" i="21"/>
  <c r="I43" i="8"/>
  <c r="G74" i="28"/>
  <c r="I292" i="17"/>
  <c r="I280" i="17"/>
  <c r="G62" i="28"/>
  <c r="I31" i="8"/>
  <c r="I176" i="17"/>
  <c r="K61" i="21"/>
  <c r="J61" i="21"/>
  <c r="I6" i="15"/>
  <c r="J6" i="15"/>
  <c r="I266" i="17"/>
  <c r="G13" i="28"/>
  <c r="I15" i="21"/>
  <c r="I174" i="17"/>
  <c r="I177" i="17"/>
  <c r="G15" i="28"/>
  <c r="I18" i="21"/>
  <c r="I252" i="17"/>
  <c r="G34" i="28"/>
  <c r="I3" i="8"/>
  <c r="G53" i="28"/>
  <c r="I271" i="17"/>
  <c r="I22" i="8"/>
  <c r="S205" i="2"/>
  <c r="U205" i="2"/>
  <c r="T205" i="2"/>
  <c r="K7" i="21"/>
  <c r="J7" i="21"/>
  <c r="I270" i="17"/>
  <c r="G52" i="28"/>
  <c r="G24" i="28"/>
  <c r="I293" i="17"/>
  <c r="G71" i="28"/>
  <c r="I289" i="17"/>
  <c r="J8" i="15"/>
  <c r="I8" i="15"/>
  <c r="H15" i="14"/>
  <c r="I15" i="14"/>
  <c r="I4" i="14"/>
  <c r="H4" i="14"/>
  <c r="L50" i="9" l="1"/>
  <c r="I105" i="17"/>
  <c r="I109" i="17"/>
  <c r="I396" i="17"/>
  <c r="G58" i="28"/>
  <c r="H23" i="12"/>
  <c r="M376" i="17"/>
  <c r="I27" i="8"/>
  <c r="M51" i="21"/>
  <c r="I37" i="20"/>
  <c r="K9" i="14"/>
  <c r="I408" i="17"/>
  <c r="P51" i="6"/>
  <c r="J26" i="20"/>
  <c r="I29" i="8"/>
  <c r="I23" i="21"/>
  <c r="K23" i="21" s="1"/>
  <c r="G60" i="28"/>
  <c r="I243" i="17"/>
  <c r="H57" i="9"/>
  <c r="S21" i="6"/>
  <c r="H12" i="9"/>
  <c r="M306" i="17"/>
  <c r="M215" i="17"/>
  <c r="H38" i="9"/>
  <c r="I63" i="17"/>
  <c r="L5" i="15"/>
  <c r="M299" i="17"/>
  <c r="I28" i="21"/>
  <c r="I187" i="17"/>
  <c r="I27" i="17"/>
  <c r="I32" i="21"/>
  <c r="K32" i="21" s="1"/>
  <c r="I356" i="17"/>
  <c r="L5" i="19"/>
  <c r="I11" i="14"/>
  <c r="H14" i="9"/>
  <c r="H51" i="9"/>
  <c r="M352" i="17"/>
  <c r="H4" i="16"/>
  <c r="J4" i="16" s="1"/>
  <c r="I127" i="17"/>
  <c r="M402" i="17"/>
  <c r="I104" i="17"/>
  <c r="G20" i="14"/>
  <c r="S44" i="6"/>
  <c r="I253" i="17"/>
  <c r="M25" i="21"/>
  <c r="M346" i="17"/>
  <c r="M33" i="21"/>
  <c r="I125" i="17"/>
  <c r="G21" i="14"/>
  <c r="M41" i="8"/>
  <c r="M290" i="17"/>
  <c r="M406" i="17"/>
  <c r="M36" i="20"/>
  <c r="M332" i="17"/>
  <c r="K24" i="14"/>
  <c r="M28" i="20"/>
  <c r="M398" i="17"/>
  <c r="M42" i="20"/>
  <c r="M412" i="17"/>
  <c r="I21" i="20"/>
  <c r="H10" i="9"/>
  <c r="I239" i="17"/>
  <c r="J17" i="10"/>
  <c r="I83" i="17"/>
  <c r="M214" i="2"/>
  <c r="I296" i="17"/>
  <c r="I213" i="17"/>
  <c r="I88" i="17"/>
  <c r="I77" i="17"/>
  <c r="H17" i="12"/>
  <c r="I214" i="2"/>
  <c r="G28" i="28"/>
  <c r="I339" i="17"/>
  <c r="H22" i="16"/>
  <c r="J22" i="16" s="1"/>
  <c r="I258" i="17"/>
  <c r="H19" i="9"/>
  <c r="I392" i="17"/>
  <c r="H20" i="9"/>
  <c r="H44" i="9"/>
  <c r="J214" i="2"/>
  <c r="G8" i="14"/>
  <c r="I316" i="17"/>
  <c r="G40" i="28"/>
  <c r="I41" i="20"/>
  <c r="J41" i="20" s="1"/>
  <c r="H13" i="12"/>
  <c r="J13" i="12" s="1"/>
  <c r="I130" i="17"/>
  <c r="M340" i="17"/>
  <c r="L7" i="19"/>
  <c r="K11" i="14"/>
  <c r="M319" i="17"/>
  <c r="M23" i="21"/>
  <c r="H30" i="19"/>
  <c r="M22" i="8"/>
  <c r="I6" i="21"/>
  <c r="J6" i="21" s="1"/>
  <c r="H41" i="12"/>
  <c r="J41" i="12" s="1"/>
  <c r="I166" i="17"/>
  <c r="H9" i="15"/>
  <c r="J9" i="15" s="1"/>
  <c r="M170" i="17"/>
  <c r="Q259" i="2"/>
  <c r="L272" i="2" s="1"/>
  <c r="O49" i="28" s="1"/>
  <c r="S40" i="6"/>
  <c r="L39" i="12" s="1"/>
  <c r="AB196" i="2"/>
  <c r="V198" i="2" s="1"/>
  <c r="L9" i="19"/>
  <c r="M342" i="17"/>
  <c r="L9" i="15"/>
  <c r="M303" i="17"/>
  <c r="M414" i="17"/>
  <c r="M44" i="20"/>
  <c r="I44" i="8"/>
  <c r="J25" i="21"/>
  <c r="I28" i="8"/>
  <c r="H10" i="16"/>
  <c r="J10" i="16" s="1"/>
  <c r="S258" i="6"/>
  <c r="M270" i="17" s="1"/>
  <c r="I57" i="17"/>
  <c r="M44" i="21"/>
  <c r="M149" i="17"/>
  <c r="I237" i="17"/>
  <c r="I327" i="17"/>
  <c r="M35" i="21"/>
  <c r="M168" i="17"/>
  <c r="I194" i="17"/>
  <c r="H27" i="9"/>
  <c r="I27" i="9" s="1"/>
  <c r="M410" i="17"/>
  <c r="I277" i="17"/>
  <c r="M22" i="20"/>
  <c r="P46" i="6"/>
  <c r="S46" i="6" s="1"/>
  <c r="M345" i="17"/>
  <c r="L12" i="19"/>
  <c r="K33" i="21"/>
  <c r="M364" i="17"/>
  <c r="L31" i="19"/>
  <c r="M158" i="17"/>
  <c r="I39" i="8"/>
  <c r="J39" i="8" s="1"/>
  <c r="I288" i="17"/>
  <c r="L15" i="19"/>
  <c r="M348" i="17"/>
  <c r="M335" i="17"/>
  <c r="L2" i="19"/>
  <c r="K22" i="14"/>
  <c r="M330" i="17"/>
  <c r="L214" i="2"/>
  <c r="J9" i="16"/>
  <c r="L8" i="19"/>
  <c r="M341" i="17"/>
  <c r="J31" i="21"/>
  <c r="M393" i="17"/>
  <c r="M189" i="17"/>
  <c r="M162" i="17"/>
  <c r="H28" i="12"/>
  <c r="J28" i="12" s="1"/>
  <c r="I145" i="17"/>
  <c r="I39" i="21"/>
  <c r="K39" i="21" s="1"/>
  <c r="M356" i="17"/>
  <c r="I306" i="17"/>
  <c r="J23" i="10"/>
  <c r="M320" i="17"/>
  <c r="K12" i="14"/>
  <c r="M27" i="20"/>
  <c r="M397" i="17"/>
  <c r="M19" i="20"/>
  <c r="M389" i="17"/>
  <c r="M413" i="17"/>
  <c r="M43" i="20"/>
  <c r="M44" i="17"/>
  <c r="L25" i="12"/>
  <c r="K18" i="14"/>
  <c r="M326" i="17"/>
  <c r="L20" i="19"/>
  <c r="M353" i="17"/>
  <c r="L48" i="12"/>
  <c r="M67" i="17"/>
  <c r="M377" i="17"/>
  <c r="M7" i="20"/>
  <c r="M404" i="17"/>
  <c r="M34" i="20"/>
  <c r="L55" i="9"/>
  <c r="M156" i="17"/>
  <c r="I46" i="21"/>
  <c r="K46" i="21" s="1"/>
  <c r="I12" i="16"/>
  <c r="H17" i="14"/>
  <c r="G2" i="14"/>
  <c r="I2" i="14" s="1"/>
  <c r="H6" i="9"/>
  <c r="J6" i="9" s="1"/>
  <c r="G36" i="28"/>
  <c r="I269" i="17"/>
  <c r="M206" i="17"/>
  <c r="M2" i="21"/>
  <c r="I357" i="17"/>
  <c r="M94" i="17"/>
  <c r="I66" i="17"/>
  <c r="I137" i="17"/>
  <c r="J21" i="16"/>
  <c r="L26" i="19"/>
  <c r="J2" i="16"/>
  <c r="M383" i="17"/>
  <c r="S102" i="6"/>
  <c r="L16" i="9" s="1"/>
  <c r="I360" i="17"/>
  <c r="K36" i="21"/>
  <c r="I60" i="21"/>
  <c r="J60" i="21" s="1"/>
  <c r="I24" i="20"/>
  <c r="K24" i="20" s="1"/>
  <c r="M32" i="21"/>
  <c r="J5" i="21"/>
  <c r="I297" i="17"/>
  <c r="S51" i="6"/>
  <c r="M9" i="20"/>
  <c r="M379" i="17"/>
  <c r="M280" i="17"/>
  <c r="M31" i="8"/>
  <c r="M325" i="17"/>
  <c r="K17" i="14"/>
  <c r="I4" i="8"/>
  <c r="J4" i="8" s="1"/>
  <c r="I279" i="17"/>
  <c r="I2" i="8"/>
  <c r="I261" i="17"/>
  <c r="I259" i="17"/>
  <c r="M361" i="17"/>
  <c r="H24" i="12"/>
  <c r="I24" i="12" s="1"/>
  <c r="G41" i="28"/>
  <c r="I21" i="21"/>
  <c r="J21" i="21" s="1"/>
  <c r="G51" i="28"/>
  <c r="G18" i="28"/>
  <c r="I4" i="16"/>
  <c r="I19" i="8"/>
  <c r="M84" i="17"/>
  <c r="M310" i="17"/>
  <c r="I268" i="17"/>
  <c r="M367" i="17"/>
  <c r="L10" i="19"/>
  <c r="M21" i="21"/>
  <c r="M217" i="17"/>
  <c r="M360" i="17"/>
  <c r="M181" i="17"/>
  <c r="M38" i="20"/>
  <c r="I342" i="17"/>
  <c r="I399" i="17"/>
  <c r="M186" i="17"/>
  <c r="I188" i="17"/>
  <c r="G61" i="28"/>
  <c r="H30" i="9"/>
  <c r="J30" i="9" s="1"/>
  <c r="H35" i="19"/>
  <c r="I251" i="17"/>
  <c r="L7" i="15"/>
  <c r="M400" i="17"/>
  <c r="I170" i="17"/>
  <c r="I5" i="20"/>
  <c r="I245" i="2"/>
  <c r="I321" i="17"/>
  <c r="M374" i="17"/>
  <c r="M297" i="17"/>
  <c r="M312" i="17"/>
  <c r="K55" i="21"/>
  <c r="I12" i="8"/>
  <c r="K12" i="8" s="1"/>
  <c r="M362" i="17"/>
  <c r="J3" i="21"/>
  <c r="G22" i="28"/>
  <c r="J6" i="16"/>
  <c r="H15" i="19"/>
  <c r="J15" i="19" s="1"/>
  <c r="L6" i="15"/>
  <c r="L4" i="15"/>
  <c r="L18" i="19"/>
  <c r="M35" i="20"/>
  <c r="M24" i="21"/>
  <c r="M391" i="17"/>
  <c r="I8" i="20"/>
  <c r="K8" i="20" s="1"/>
  <c r="H13" i="14"/>
  <c r="I62" i="17"/>
  <c r="M45" i="20"/>
  <c r="I361" i="17"/>
  <c r="I340" i="17"/>
  <c r="M5" i="21"/>
  <c r="H45" i="12"/>
  <c r="I33" i="17"/>
  <c r="I27" i="21"/>
  <c r="J27" i="21" s="1"/>
  <c r="M14" i="21"/>
  <c r="M154" i="17"/>
  <c r="L53" i="9"/>
  <c r="I5" i="8"/>
  <c r="I149" i="17"/>
  <c r="H15" i="9"/>
  <c r="J15" i="9" s="1"/>
  <c r="M24" i="8"/>
  <c r="M211" i="17"/>
  <c r="I33" i="20"/>
  <c r="J33" i="20" s="1"/>
  <c r="M337" i="17"/>
  <c r="M185" i="17"/>
  <c r="H7" i="16"/>
  <c r="I7" i="16" s="1"/>
  <c r="H5" i="16"/>
  <c r="I5" i="16" s="1"/>
  <c r="I3" i="14"/>
  <c r="M8" i="20"/>
  <c r="I22" i="14"/>
  <c r="I19" i="21"/>
  <c r="J19" i="21" s="1"/>
  <c r="I36" i="8"/>
  <c r="K36" i="8" s="1"/>
  <c r="M34" i="8"/>
  <c r="H32" i="19"/>
  <c r="I32" i="19" s="1"/>
  <c r="L11" i="15"/>
  <c r="G23" i="14"/>
  <c r="H23" i="14" s="1"/>
  <c r="I13" i="15"/>
  <c r="G67" i="28"/>
  <c r="M349" i="17"/>
  <c r="I178" i="17"/>
  <c r="I404" i="17"/>
  <c r="J25" i="16"/>
  <c r="M219" i="17"/>
  <c r="H50" i="9"/>
  <c r="I50" i="9" s="1"/>
  <c r="H26" i="12"/>
  <c r="J26" i="12" s="1"/>
  <c r="M314" i="17"/>
  <c r="G7" i="14"/>
  <c r="I42" i="8"/>
  <c r="K42" i="8" s="1"/>
  <c r="H33" i="12"/>
  <c r="I33" i="12" s="1"/>
  <c r="K49" i="21"/>
  <c r="I41" i="21"/>
  <c r="K41" i="21" s="1"/>
  <c r="I44" i="20"/>
  <c r="K44" i="20" s="1"/>
  <c r="I383" i="17"/>
  <c r="I281" i="17"/>
  <c r="I20" i="20"/>
  <c r="K20" i="20" s="1"/>
  <c r="M322" i="17"/>
  <c r="G63" i="28"/>
  <c r="I169" i="17"/>
  <c r="K13" i="21"/>
  <c r="L13" i="15"/>
  <c r="I113" i="17"/>
  <c r="I317" i="17"/>
  <c r="M165" i="17"/>
  <c r="M193" i="17"/>
  <c r="J13" i="16"/>
  <c r="I24" i="21"/>
  <c r="K34" i="21"/>
  <c r="G20" i="28"/>
  <c r="I291" i="17"/>
  <c r="L2" i="15"/>
  <c r="I141" i="17"/>
  <c r="I40" i="21"/>
  <c r="J40" i="21" s="1"/>
  <c r="I265" i="17"/>
  <c r="H6" i="12"/>
  <c r="J6" i="12" s="1"/>
  <c r="I17" i="8"/>
  <c r="J17" i="8" s="1"/>
  <c r="I17" i="21"/>
  <c r="K17" i="21" s="1"/>
  <c r="M49" i="21"/>
  <c r="M179" i="17"/>
  <c r="M31" i="20"/>
  <c r="M24" i="20"/>
  <c r="K52" i="21"/>
  <c r="G27" i="28"/>
  <c r="G47" i="28"/>
  <c r="I393" i="17"/>
  <c r="I35" i="20"/>
  <c r="K35" i="20" s="1"/>
  <c r="M55" i="21"/>
  <c r="M39" i="21"/>
  <c r="H3" i="19"/>
  <c r="J3" i="19" s="1"/>
  <c r="I388" i="17"/>
  <c r="H29" i="9"/>
  <c r="I29" i="9" s="1"/>
  <c r="J3" i="20"/>
  <c r="I377" i="17"/>
  <c r="M73" i="17"/>
  <c r="H25" i="12"/>
  <c r="J25" i="12" s="1"/>
  <c r="M40" i="21"/>
  <c r="M48" i="21"/>
  <c r="I179" i="17"/>
  <c r="M221" i="17"/>
  <c r="I20" i="21"/>
  <c r="J20" i="21" s="1"/>
  <c r="J2" i="15"/>
  <c r="I12" i="15"/>
  <c r="M355" i="17"/>
  <c r="M13" i="21"/>
  <c r="H4" i="19"/>
  <c r="I4" i="19" s="1"/>
  <c r="I9" i="20"/>
  <c r="K9" i="20" s="1"/>
  <c r="H8" i="19"/>
  <c r="J8" i="19" s="1"/>
  <c r="M372" i="17"/>
  <c r="K10" i="14"/>
  <c r="I381" i="17"/>
  <c r="M385" i="17"/>
  <c r="H16" i="10"/>
  <c r="M205" i="17"/>
  <c r="H29" i="12"/>
  <c r="I45" i="21"/>
  <c r="J45" i="21" s="1"/>
  <c r="I362" i="17"/>
  <c r="L35" i="19"/>
  <c r="M218" i="17"/>
  <c r="I97" i="17"/>
  <c r="I211" i="17"/>
  <c r="K4" i="21"/>
  <c r="K50" i="21"/>
  <c r="J50" i="21"/>
  <c r="J10" i="21"/>
  <c r="I134" i="17"/>
  <c r="H14" i="10"/>
  <c r="J14" i="10" s="1"/>
  <c r="I10" i="20"/>
  <c r="J10" i="20" s="1"/>
  <c r="I290" i="17"/>
  <c r="I255" i="17"/>
  <c r="J57" i="21"/>
  <c r="I11" i="15"/>
  <c r="J29" i="16"/>
  <c r="I402" i="17"/>
  <c r="I209" i="17"/>
  <c r="H20" i="16"/>
  <c r="I20" i="16" s="1"/>
  <c r="G72" i="28"/>
  <c r="G21" i="28"/>
  <c r="M209" i="17"/>
  <c r="I50" i="17"/>
  <c r="M399" i="17"/>
  <c r="I247" i="17"/>
  <c r="I90" i="17"/>
  <c r="L52" i="9"/>
  <c r="J8" i="21"/>
  <c r="J56" i="21"/>
  <c r="I22" i="16"/>
  <c r="K16" i="21"/>
  <c r="I14" i="16"/>
  <c r="I26" i="21"/>
  <c r="J26" i="21" s="1"/>
  <c r="I349" i="17"/>
  <c r="H18" i="19"/>
  <c r="J18" i="19" s="1"/>
  <c r="I24" i="17"/>
  <c r="H53" i="9"/>
  <c r="I53" i="9" s="1"/>
  <c r="H30" i="16"/>
  <c r="I30" i="16" s="1"/>
  <c r="I6" i="8"/>
  <c r="K6" i="8" s="1"/>
  <c r="M39" i="20"/>
  <c r="K53" i="21"/>
  <c r="K35" i="21"/>
  <c r="J9" i="21"/>
  <c r="M268" i="17"/>
  <c r="M19" i="8"/>
  <c r="M25" i="20"/>
  <c r="M395" i="17"/>
  <c r="I311" i="17"/>
  <c r="S228" i="6"/>
  <c r="M241" i="17" s="1"/>
  <c r="L27" i="16"/>
  <c r="M98" i="17"/>
  <c r="S48" i="6"/>
  <c r="L47" i="12" s="1"/>
  <c r="S230" i="6"/>
  <c r="L21" i="10" s="1"/>
  <c r="S5" i="6"/>
  <c r="L4" i="12" s="1"/>
  <c r="S247" i="6"/>
  <c r="M259" i="17" s="1"/>
  <c r="J16" i="16"/>
  <c r="M61" i="17"/>
  <c r="L42" i="12"/>
  <c r="I23" i="16"/>
  <c r="D185" i="2"/>
  <c r="L41" i="12"/>
  <c r="J19" i="16"/>
  <c r="S45" i="6"/>
  <c r="L44" i="12" s="1"/>
  <c r="M16" i="20"/>
  <c r="M386" i="17"/>
  <c r="M3" i="20"/>
  <c r="M373" i="17"/>
  <c r="L6" i="19"/>
  <c r="M339" i="17"/>
  <c r="L30" i="19"/>
  <c r="M363" i="17"/>
  <c r="L11" i="19"/>
  <c r="M344" i="17"/>
  <c r="L21" i="19"/>
  <c r="M354" i="17"/>
  <c r="L14" i="19"/>
  <c r="M347" i="17"/>
  <c r="S52" i="6"/>
  <c r="M70" i="17" s="1"/>
  <c r="H21" i="19"/>
  <c r="J27" i="16"/>
  <c r="I332" i="17"/>
  <c r="G24" i="14"/>
  <c r="G18" i="14"/>
  <c r="I326" i="17"/>
  <c r="G10" i="14"/>
  <c r="I318" i="17"/>
  <c r="M150" i="17"/>
  <c r="L49" i="9"/>
  <c r="S19" i="6"/>
  <c r="M37" i="17" s="1"/>
  <c r="S262" i="6"/>
  <c r="M25" i="8" s="1"/>
  <c r="S11" i="6"/>
  <c r="M29" i="17" s="1"/>
  <c r="S265" i="6"/>
  <c r="M277" i="17" s="1"/>
  <c r="P41" i="6"/>
  <c r="S41" i="6" s="1"/>
  <c r="M59" i="17" s="1"/>
  <c r="L54" i="9"/>
  <c r="M155" i="17"/>
  <c r="G16" i="14"/>
  <c r="M366" i="17"/>
  <c r="M16" i="21"/>
  <c r="K16" i="14"/>
  <c r="M177" i="17"/>
  <c r="M407" i="17"/>
  <c r="G6" i="14"/>
  <c r="I314" i="17"/>
  <c r="M36" i="21"/>
  <c r="I5" i="15"/>
  <c r="I2" i="21"/>
  <c r="J8" i="16"/>
  <c r="I389" i="17"/>
  <c r="M166" i="17"/>
  <c r="M17" i="20"/>
  <c r="M387" i="17"/>
  <c r="M272" i="17"/>
  <c r="M23" i="8"/>
  <c r="M388" i="17"/>
  <c r="M18" i="20"/>
  <c r="M91" i="17"/>
  <c r="L20" i="16"/>
  <c r="T215" i="2"/>
  <c r="S215" i="2"/>
  <c r="Q215" i="2"/>
  <c r="L289" i="2"/>
  <c r="O66" i="28" s="1"/>
  <c r="S4" i="6"/>
  <c r="M22" i="17" s="1"/>
  <c r="M43" i="2"/>
  <c r="K43" i="2"/>
  <c r="L43" i="2"/>
  <c r="J43" i="2"/>
  <c r="M5" i="20"/>
  <c r="M375" i="17"/>
  <c r="M32" i="8"/>
  <c r="M281" i="17"/>
  <c r="L30" i="16"/>
  <c r="M101" i="17"/>
  <c r="I35" i="12"/>
  <c r="K3" i="14"/>
  <c r="L25" i="19"/>
  <c r="M31" i="21"/>
  <c r="K43" i="21"/>
  <c r="J59" i="21"/>
  <c r="S63" i="6"/>
  <c r="L9" i="16" s="1"/>
  <c r="S33" i="6"/>
  <c r="L32" i="12" s="1"/>
  <c r="I237" i="2"/>
  <c r="M245" i="2"/>
  <c r="M237" i="2"/>
  <c r="M244" i="2"/>
  <c r="I244" i="2"/>
  <c r="K244" i="2"/>
  <c r="K237" i="2"/>
  <c r="K245" i="2"/>
  <c r="L237" i="2"/>
  <c r="L244" i="2"/>
  <c r="L245" i="2"/>
  <c r="J237" i="2"/>
  <c r="J245" i="2"/>
  <c r="J244" i="2"/>
  <c r="S50" i="6"/>
  <c r="M68" i="17" s="1"/>
  <c r="S280" i="6"/>
  <c r="M292" i="17" s="1"/>
  <c r="S39" i="6"/>
  <c r="L38" i="12" s="1"/>
  <c r="L17" i="19"/>
  <c r="M61" i="21"/>
  <c r="S29" i="6"/>
  <c r="L28" i="12" s="1"/>
  <c r="S24" i="6"/>
  <c r="M42" i="17" s="1"/>
  <c r="L20" i="12"/>
  <c r="M39" i="17"/>
  <c r="P182" i="6"/>
  <c r="S182" i="6" s="1"/>
  <c r="P73" i="6"/>
  <c r="S73" i="6" s="1"/>
  <c r="P231" i="6"/>
  <c r="S231" i="6" s="1"/>
  <c r="P188" i="6"/>
  <c r="S188" i="6" s="1"/>
  <c r="P183" i="6"/>
  <c r="S183" i="6" s="1"/>
  <c r="K248" i="2"/>
  <c r="M248" i="2"/>
  <c r="L248" i="2"/>
  <c r="J248" i="2"/>
  <c r="P270" i="6"/>
  <c r="S270" i="6" s="1"/>
  <c r="Q256" i="2"/>
  <c r="P311" i="6"/>
  <c r="S311" i="6" s="1"/>
  <c r="T46" i="2"/>
  <c r="S46" i="2" s="1"/>
  <c r="R48" i="2" s="1"/>
  <c r="S37" i="6"/>
  <c r="M55" i="17" s="1"/>
  <c r="U229" i="2"/>
  <c r="I228" i="2"/>
  <c r="K252" i="2"/>
  <c r="R229" i="2"/>
  <c r="L252" i="2"/>
  <c r="M252" i="2"/>
  <c r="J252" i="2"/>
  <c r="M272" i="2"/>
  <c r="P49" i="28" s="1"/>
  <c r="M289" i="2"/>
  <c r="P66" i="28" s="1"/>
  <c r="K289" i="2"/>
  <c r="N66" i="28" s="1"/>
  <c r="P213" i="6"/>
  <c r="S213" i="6" s="1"/>
  <c r="V229" i="2"/>
  <c r="P212" i="6"/>
  <c r="S212" i="6" s="1"/>
  <c r="P214" i="6"/>
  <c r="S214" i="6" s="1"/>
  <c r="I250" i="2"/>
  <c r="R252" i="2"/>
  <c r="M250" i="2"/>
  <c r="K250" i="2"/>
  <c r="L250" i="2"/>
  <c r="J250" i="2"/>
  <c r="Z285" i="2"/>
  <c r="D268" i="2" s="1"/>
  <c r="I14" i="8" s="1"/>
  <c r="J14" i="8" s="1"/>
  <c r="T244" i="2"/>
  <c r="K232" i="2" s="1"/>
  <c r="P47" i="6"/>
  <c r="S47" i="6" s="1"/>
  <c r="S100" i="6"/>
  <c r="M116" i="17" s="1"/>
  <c r="S93" i="6"/>
  <c r="L7" i="9" s="1"/>
  <c r="S16" i="6"/>
  <c r="L15" i="12" s="1"/>
  <c r="S15" i="6"/>
  <c r="M33" i="17" s="1"/>
  <c r="M381" i="17"/>
  <c r="M11" i="20"/>
  <c r="M45" i="17"/>
  <c r="L26" i="12"/>
  <c r="L32" i="19"/>
  <c r="S91" i="6"/>
  <c r="L5" i="9" s="1"/>
  <c r="M41" i="20"/>
  <c r="S111" i="6"/>
  <c r="M127" i="17" s="1"/>
  <c r="I25" i="8"/>
  <c r="K25" i="8" s="1"/>
  <c r="M336" i="17"/>
  <c r="S121" i="6"/>
  <c r="M137" i="17" s="1"/>
  <c r="S245" i="6"/>
  <c r="M257" i="17" s="1"/>
  <c r="H4" i="9"/>
  <c r="I4" i="9" s="1"/>
  <c r="K21" i="14"/>
  <c r="J30" i="21"/>
  <c r="M331" i="17"/>
  <c r="G39" i="28"/>
  <c r="L56" i="9"/>
  <c r="S227" i="6"/>
  <c r="S32" i="6"/>
  <c r="M50" i="17" s="1"/>
  <c r="S246" i="6"/>
  <c r="M258" i="17" s="1"/>
  <c r="S89" i="6"/>
  <c r="M105" i="17" s="1"/>
  <c r="J47" i="21"/>
  <c r="M4" i="21"/>
  <c r="S243" i="6"/>
  <c r="M255" i="17" s="1"/>
  <c r="L6" i="16"/>
  <c r="S104" i="6"/>
  <c r="M120" i="17" s="1"/>
  <c r="S218" i="6"/>
  <c r="L9" i="10" s="1"/>
  <c r="S106" i="6"/>
  <c r="M122" i="17" s="1"/>
  <c r="S263" i="6"/>
  <c r="M275" i="17" s="1"/>
  <c r="S119" i="6"/>
  <c r="L33" i="9" s="1"/>
  <c r="S65" i="6"/>
  <c r="L11" i="16" s="1"/>
  <c r="H24" i="16"/>
  <c r="L51" i="9"/>
  <c r="M152" i="17"/>
  <c r="I8" i="8"/>
  <c r="J8" i="8" s="1"/>
  <c r="J42" i="21"/>
  <c r="I34" i="8"/>
  <c r="L18" i="16"/>
  <c r="M89" i="17"/>
  <c r="M97" i="17"/>
  <c r="L26" i="16"/>
  <c r="S31" i="6"/>
  <c r="M49" i="17" s="1"/>
  <c r="S99" i="6"/>
  <c r="L13" i="9" s="1"/>
  <c r="K58" i="21"/>
  <c r="I173" i="17"/>
  <c r="K11" i="21"/>
  <c r="I15" i="8"/>
  <c r="K15" i="8" s="1"/>
  <c r="S117" i="6"/>
  <c r="L31" i="9" s="1"/>
  <c r="S124" i="6"/>
  <c r="L38" i="9" s="1"/>
  <c r="J26" i="16"/>
  <c r="I264" i="17"/>
  <c r="H40" i="12"/>
  <c r="I40" i="12" s="1"/>
  <c r="M14" i="20"/>
  <c r="S274" i="6"/>
  <c r="M286" i="17" s="1"/>
  <c r="S234" i="6"/>
  <c r="L25" i="10" s="1"/>
  <c r="S12" i="6"/>
  <c r="S264" i="6"/>
  <c r="M276" i="17" s="1"/>
  <c r="S70" i="6"/>
  <c r="M87" i="17" s="1"/>
  <c r="S116" i="6"/>
  <c r="S122" i="6"/>
  <c r="M138" i="17" s="1"/>
  <c r="M83" i="17"/>
  <c r="S275" i="6"/>
  <c r="M38" i="8" s="1"/>
  <c r="S88" i="6"/>
  <c r="L2" i="9" s="1"/>
  <c r="G65" i="28"/>
  <c r="S98" i="6"/>
  <c r="M114" i="17" s="1"/>
  <c r="S14" i="6"/>
  <c r="M32" i="17" s="1"/>
  <c r="S277" i="6"/>
  <c r="M40" i="8" s="1"/>
  <c r="S10" i="6"/>
  <c r="M28" i="17" s="1"/>
  <c r="I10" i="15"/>
  <c r="J48" i="21"/>
  <c r="S25" i="6"/>
  <c r="M43" i="17" s="1"/>
  <c r="S101" i="6"/>
  <c r="L15" i="9" s="1"/>
  <c r="S131" i="6"/>
  <c r="L45" i="9" s="1"/>
  <c r="S123" i="6"/>
  <c r="L37" i="9" s="1"/>
  <c r="S90" i="6"/>
  <c r="L4" i="9" s="1"/>
  <c r="S7" i="6"/>
  <c r="L6" i="12" s="1"/>
  <c r="S250" i="6"/>
  <c r="M13" i="8" s="1"/>
  <c r="G56" i="28"/>
  <c r="S128" i="6"/>
  <c r="S220" i="6"/>
  <c r="M233" i="17" s="1"/>
  <c r="S223" i="6"/>
  <c r="L14" i="10" s="1"/>
  <c r="S112" i="6"/>
  <c r="M128" i="17" s="1"/>
  <c r="S114" i="6"/>
  <c r="L28" i="9" s="1"/>
  <c r="S28" i="6"/>
  <c r="L27" i="12" s="1"/>
  <c r="S108" i="6"/>
  <c r="M124" i="17" s="1"/>
  <c r="AB197" i="2"/>
  <c r="AB198" i="2" s="1"/>
  <c r="J3" i="16"/>
  <c r="I3" i="16"/>
  <c r="I376" i="17"/>
  <c r="S94" i="6"/>
  <c r="M110" i="17" s="1"/>
  <c r="S22" i="6"/>
  <c r="M40" i="17" s="1"/>
  <c r="I74" i="17"/>
  <c r="S6" i="6"/>
  <c r="L5" i="12" s="1"/>
  <c r="S279" i="6"/>
  <c r="M291" i="17" s="1"/>
  <c r="S129" i="6"/>
  <c r="M145" i="17" s="1"/>
  <c r="S240" i="6"/>
  <c r="M3" i="8" s="1"/>
  <c r="I232" i="17"/>
  <c r="S125" i="6"/>
  <c r="M141" i="17" s="1"/>
  <c r="I7" i="15"/>
  <c r="S83" i="6"/>
  <c r="L3" i="16"/>
  <c r="S20" i="6"/>
  <c r="L19" i="12" s="1"/>
  <c r="S103" i="6"/>
  <c r="L17" i="9" s="1"/>
  <c r="S110" i="6"/>
  <c r="M126" i="17" s="1"/>
  <c r="S276" i="6"/>
  <c r="M288" i="17" s="1"/>
  <c r="S248" i="6"/>
  <c r="M260" i="17" s="1"/>
  <c r="I320" i="17"/>
  <c r="G12" i="14"/>
  <c r="J28" i="16"/>
  <c r="S266" i="6"/>
  <c r="M278" i="17" s="1"/>
  <c r="S273" i="6"/>
  <c r="S225" i="6"/>
  <c r="L16" i="10" s="1"/>
  <c r="M78" i="17"/>
  <c r="L7" i="16"/>
  <c r="I11" i="16"/>
  <c r="S253" i="6"/>
  <c r="M265" i="17" s="1"/>
  <c r="S92" i="6"/>
  <c r="L6" i="9" s="1"/>
  <c r="S254" i="6"/>
  <c r="M266" i="17" s="1"/>
  <c r="S120" i="6"/>
  <c r="S96" i="6"/>
  <c r="M112" i="17" s="1"/>
  <c r="S239" i="6"/>
  <c r="S252" i="6"/>
  <c r="M264" i="17" s="1"/>
  <c r="J15" i="16"/>
  <c r="S229" i="6"/>
  <c r="L20" i="10" s="1"/>
  <c r="S226" i="6"/>
  <c r="M239" i="17" s="1"/>
  <c r="S244" i="6"/>
  <c r="M256" i="17" s="1"/>
  <c r="S232" i="6"/>
  <c r="S221" i="6"/>
  <c r="M234" i="17" s="1"/>
  <c r="S219" i="6"/>
  <c r="M232" i="17" s="1"/>
  <c r="S113" i="6"/>
  <c r="S17" i="6"/>
  <c r="L16" i="12" s="1"/>
  <c r="S224" i="6"/>
  <c r="M237" i="17" s="1"/>
  <c r="S23" i="6"/>
  <c r="L22" i="12" s="1"/>
  <c r="S105" i="6"/>
  <c r="S13" i="6"/>
  <c r="M31" i="17" s="1"/>
  <c r="K12" i="21"/>
  <c r="I37" i="8"/>
  <c r="J37" i="8" s="1"/>
  <c r="S107" i="6"/>
  <c r="M123" i="17" s="1"/>
  <c r="S109" i="6"/>
  <c r="M125" i="17" s="1"/>
  <c r="I286" i="17"/>
  <c r="I9" i="15"/>
  <c r="I287" i="17"/>
  <c r="S242" i="6"/>
  <c r="M254" i="17" s="1"/>
  <c r="S126" i="6"/>
  <c r="S9" i="6"/>
  <c r="L8" i="12" s="1"/>
  <c r="S34" i="6"/>
  <c r="L33" i="12" s="1"/>
  <c r="S18" i="6"/>
  <c r="S115" i="6"/>
  <c r="L29" i="9" s="1"/>
  <c r="S35" i="6"/>
  <c r="S8" i="6"/>
  <c r="S241" i="6"/>
  <c r="M4" i="8" s="1"/>
  <c r="S222" i="6"/>
  <c r="L13" i="10" s="1"/>
  <c r="L10" i="16"/>
  <c r="M81" i="17"/>
  <c r="L28" i="16"/>
  <c r="M99" i="17"/>
  <c r="M92" i="17"/>
  <c r="L21" i="16"/>
  <c r="M79" i="17"/>
  <c r="L8" i="16"/>
  <c r="L5" i="16"/>
  <c r="M76" i="17"/>
  <c r="L25" i="16"/>
  <c r="M96" i="17"/>
  <c r="M85" i="17"/>
  <c r="L14" i="16"/>
  <c r="L24" i="16"/>
  <c r="M95" i="17"/>
  <c r="M75" i="17"/>
  <c r="L4" i="16"/>
  <c r="M88" i="17"/>
  <c r="L17" i="16"/>
  <c r="M93" i="17"/>
  <c r="L22" i="16"/>
  <c r="M86" i="17"/>
  <c r="L15" i="16"/>
  <c r="S132" i="6"/>
  <c r="S127" i="6"/>
  <c r="S118" i="6"/>
  <c r="S281" i="6"/>
  <c r="S30" i="6"/>
  <c r="S257" i="6"/>
  <c r="W235" i="2"/>
  <c r="R235" i="2"/>
  <c r="Y235" i="2"/>
  <c r="Z235" i="2"/>
  <c r="AC235" i="2"/>
  <c r="AA235" i="2"/>
  <c r="AB235" i="2"/>
  <c r="S130" i="6"/>
  <c r="S36" i="6"/>
  <c r="S3" i="6"/>
  <c r="R239" i="2"/>
  <c r="AA239" i="2"/>
  <c r="Y239" i="2"/>
  <c r="AB239" i="2"/>
  <c r="Z239" i="2"/>
  <c r="W239" i="2"/>
  <c r="AC239" i="2"/>
  <c r="S38" i="6"/>
  <c r="G42" i="28"/>
  <c r="I38" i="8"/>
  <c r="J38" i="8" s="1"/>
  <c r="S95" i="6"/>
  <c r="I260" i="17"/>
  <c r="S97" i="6"/>
  <c r="I275" i="17"/>
  <c r="G57" i="28"/>
  <c r="I272" i="17"/>
  <c r="I23" i="8"/>
  <c r="J23" i="8" s="1"/>
  <c r="C7" i="17"/>
  <c r="I3" i="15"/>
  <c r="G7" i="17"/>
  <c r="K18" i="1" s="1"/>
  <c r="D7" i="17"/>
  <c r="K30" i="20"/>
  <c r="J30" i="20"/>
  <c r="K21" i="20"/>
  <c r="J21" i="20"/>
  <c r="J31" i="12"/>
  <c r="I31" i="12"/>
  <c r="I20" i="10"/>
  <c r="J20" i="10"/>
  <c r="J25" i="19"/>
  <c r="I25" i="19"/>
  <c r="J11" i="19"/>
  <c r="I11" i="19"/>
  <c r="J24" i="9"/>
  <c r="I24" i="9"/>
  <c r="I22" i="12"/>
  <c r="J22" i="12"/>
  <c r="I50" i="12"/>
  <c r="J50" i="12"/>
  <c r="J10" i="19"/>
  <c r="I10" i="19"/>
  <c r="J51" i="12"/>
  <c r="I51" i="12"/>
  <c r="I3" i="12"/>
  <c r="J3" i="12"/>
  <c r="K42" i="20"/>
  <c r="J42" i="20"/>
  <c r="I43" i="12"/>
  <c r="J43" i="12"/>
  <c r="J4" i="19"/>
  <c r="I10" i="12"/>
  <c r="J10" i="12"/>
  <c r="K33" i="20"/>
  <c r="I11" i="12"/>
  <c r="J11" i="12"/>
  <c r="I11" i="9"/>
  <c r="J11" i="9"/>
  <c r="J5" i="9"/>
  <c r="I5" i="9"/>
  <c r="J22" i="20"/>
  <c r="K22" i="20"/>
  <c r="J9" i="19"/>
  <c r="I9" i="19"/>
  <c r="J15" i="12"/>
  <c r="I15" i="12"/>
  <c r="I18" i="9"/>
  <c r="J18" i="9"/>
  <c r="H19" i="14"/>
  <c r="I19" i="14"/>
  <c r="I20" i="14"/>
  <c r="H20" i="14"/>
  <c r="I2" i="19"/>
  <c r="J2" i="19"/>
  <c r="J13" i="19"/>
  <c r="I13" i="19"/>
  <c r="I17" i="12"/>
  <c r="J17" i="12"/>
  <c r="I52" i="9"/>
  <c r="J52" i="9"/>
  <c r="K11" i="20"/>
  <c r="J11" i="20"/>
  <c r="J46" i="12"/>
  <c r="I46" i="12"/>
  <c r="J5" i="12"/>
  <c r="I5" i="12"/>
  <c r="J27" i="19"/>
  <c r="I27" i="19"/>
  <c r="K19" i="20"/>
  <c r="J19" i="20"/>
  <c r="J22" i="9"/>
  <c r="I22" i="9"/>
  <c r="I25" i="9"/>
  <c r="J25" i="9"/>
  <c r="I22" i="19"/>
  <c r="J22" i="19"/>
  <c r="I21" i="10"/>
  <c r="J21" i="10"/>
  <c r="J18" i="12"/>
  <c r="I18" i="12"/>
  <c r="I32" i="12"/>
  <c r="J32" i="12"/>
  <c r="I55" i="9"/>
  <c r="J55" i="9"/>
  <c r="J36" i="12"/>
  <c r="I36" i="12"/>
  <c r="J20" i="9"/>
  <c r="I20" i="9"/>
  <c r="H2" i="14"/>
  <c r="J3" i="9"/>
  <c r="I3" i="9"/>
  <c r="J4" i="12"/>
  <c r="I4" i="12"/>
  <c r="I9" i="14"/>
  <c r="H9" i="14"/>
  <c r="J4" i="15"/>
  <c r="I4" i="15"/>
  <c r="I20" i="19"/>
  <c r="J20" i="19"/>
  <c r="K25" i="20"/>
  <c r="J25" i="20"/>
  <c r="J42" i="12"/>
  <c r="I42" i="12"/>
  <c r="K2" i="20"/>
  <c r="J2" i="20"/>
  <c r="I12" i="19"/>
  <c r="J12" i="19"/>
  <c r="J38" i="20"/>
  <c r="K38" i="20"/>
  <c r="J24" i="12"/>
  <c r="J35" i="19"/>
  <c r="I35" i="19"/>
  <c r="J29" i="12"/>
  <c r="I29" i="12"/>
  <c r="I21" i="12"/>
  <c r="J21" i="12"/>
  <c r="I36" i="9"/>
  <c r="J36" i="9"/>
  <c r="K17" i="20"/>
  <c r="J17" i="20"/>
  <c r="J46" i="9"/>
  <c r="I46" i="9"/>
  <c r="J54" i="9"/>
  <c r="I54" i="9"/>
  <c r="I6" i="19"/>
  <c r="J6" i="19"/>
  <c r="K34" i="20"/>
  <c r="J34" i="20"/>
  <c r="I34" i="9"/>
  <c r="J34" i="9"/>
  <c r="K13" i="20"/>
  <c r="J13" i="20"/>
  <c r="J13" i="9"/>
  <c r="I13" i="9"/>
  <c r="I29" i="19"/>
  <c r="J29" i="19"/>
  <c r="I48" i="12"/>
  <c r="J48" i="12"/>
  <c r="J29" i="9"/>
  <c r="I35" i="9"/>
  <c r="J35" i="9"/>
  <c r="J16" i="9"/>
  <c r="I16" i="9"/>
  <c r="K37" i="20"/>
  <c r="J37" i="20"/>
  <c r="J23" i="12"/>
  <c r="I23" i="12"/>
  <c r="K12" i="20"/>
  <c r="J12" i="20"/>
  <c r="J7" i="19"/>
  <c r="I7" i="19"/>
  <c r="J10" i="9"/>
  <c r="I10" i="9"/>
  <c r="J33" i="9"/>
  <c r="I33" i="9"/>
  <c r="K16" i="20"/>
  <c r="J16" i="20"/>
  <c r="I17" i="19"/>
  <c r="J17" i="19"/>
  <c r="J44" i="12"/>
  <c r="I44" i="12"/>
  <c r="J45" i="12"/>
  <c r="I45" i="12"/>
  <c r="K40" i="20"/>
  <c r="J40" i="20"/>
  <c r="I24" i="19"/>
  <c r="J24" i="19"/>
  <c r="I40" i="9"/>
  <c r="J40" i="9"/>
  <c r="J8" i="12"/>
  <c r="I8" i="12"/>
  <c r="J37" i="9"/>
  <c r="I37" i="9"/>
  <c r="J32" i="20"/>
  <c r="K32" i="20"/>
  <c r="J36" i="20"/>
  <c r="K36" i="20"/>
  <c r="J43" i="9"/>
  <c r="I43" i="9"/>
  <c r="J26" i="19"/>
  <c r="I26" i="19"/>
  <c r="I44" i="9"/>
  <c r="J44" i="9"/>
  <c r="I21" i="9"/>
  <c r="J21" i="9"/>
  <c r="J14" i="19"/>
  <c r="I14" i="19"/>
  <c r="J13" i="10"/>
  <c r="I13" i="10"/>
  <c r="J51" i="9"/>
  <c r="I51" i="9"/>
  <c r="J10" i="10"/>
  <c r="I10" i="10"/>
  <c r="I56" i="9"/>
  <c r="J56" i="9"/>
  <c r="J28" i="20"/>
  <c r="K28" i="20"/>
  <c r="J12" i="10"/>
  <c r="I12" i="10"/>
  <c r="I28" i="19"/>
  <c r="J28" i="19"/>
  <c r="I31" i="9"/>
  <c r="J31" i="9"/>
  <c r="I7" i="12"/>
  <c r="J7" i="12"/>
  <c r="I41" i="9"/>
  <c r="J41" i="9"/>
  <c r="I23" i="9"/>
  <c r="J23" i="9"/>
  <c r="J18" i="20"/>
  <c r="K18" i="20"/>
  <c r="J34" i="12"/>
  <c r="I34" i="12"/>
  <c r="J7" i="9"/>
  <c r="I7" i="9"/>
  <c r="J14" i="9"/>
  <c r="I14" i="9"/>
  <c r="J17" i="9"/>
  <c r="I17" i="9"/>
  <c r="K31" i="20"/>
  <c r="J31" i="20"/>
  <c r="I5" i="19"/>
  <c r="J5" i="19"/>
  <c r="I15" i="10"/>
  <c r="J15" i="10"/>
  <c r="J32" i="9"/>
  <c r="I32" i="9"/>
  <c r="K46" i="20"/>
  <c r="J46" i="20"/>
  <c r="J43" i="20"/>
  <c r="K43" i="20"/>
  <c r="I49" i="9"/>
  <c r="J49" i="9"/>
  <c r="I39" i="12"/>
  <c r="J39" i="12"/>
  <c r="I12" i="9"/>
  <c r="J12" i="9"/>
  <c r="I39" i="9"/>
  <c r="J39" i="9"/>
  <c r="J27" i="20"/>
  <c r="K27" i="20"/>
  <c r="I30" i="12"/>
  <c r="J30" i="12"/>
  <c r="J8" i="9"/>
  <c r="I8" i="9"/>
  <c r="F7" i="17"/>
  <c r="J18" i="1" s="1"/>
  <c r="J6" i="20"/>
  <c r="K6" i="20"/>
  <c r="J9" i="20"/>
  <c r="K15" i="20"/>
  <c r="J15" i="20"/>
  <c r="I36" i="19"/>
  <c r="J36" i="19"/>
  <c r="I16" i="12"/>
  <c r="J16" i="12"/>
  <c r="I28" i="9"/>
  <c r="J28" i="9"/>
  <c r="J12" i="12"/>
  <c r="I12" i="12"/>
  <c r="I5" i="14"/>
  <c r="H5" i="14"/>
  <c r="I9" i="9"/>
  <c r="J9" i="9"/>
  <c r="H7" i="17"/>
  <c r="L18" i="1" s="1"/>
  <c r="J48" i="9"/>
  <c r="I48" i="9"/>
  <c r="J19" i="9"/>
  <c r="I19" i="9"/>
  <c r="K7" i="20"/>
  <c r="J7" i="20"/>
  <c r="J2" i="12"/>
  <c r="I2" i="12"/>
  <c r="I14" i="14"/>
  <c r="H14" i="14"/>
  <c r="J25" i="10"/>
  <c r="I25" i="10"/>
  <c r="I49" i="12"/>
  <c r="J49" i="12"/>
  <c r="I19" i="12"/>
  <c r="J19" i="12"/>
  <c r="I57" i="9"/>
  <c r="J57" i="9"/>
  <c r="K10" i="20"/>
  <c r="I26" i="9"/>
  <c r="J26" i="9"/>
  <c r="I2" i="9"/>
  <c r="J2" i="9"/>
  <c r="I41" i="12"/>
  <c r="J14" i="12"/>
  <c r="I14" i="12"/>
  <c r="I9" i="10"/>
  <c r="J9" i="10"/>
  <c r="J16" i="19"/>
  <c r="I16" i="19"/>
  <c r="J23" i="20"/>
  <c r="K23" i="20"/>
  <c r="J23" i="19"/>
  <c r="I23" i="19"/>
  <c r="J39" i="20"/>
  <c r="K39" i="20"/>
  <c r="J9" i="12"/>
  <c r="I9" i="12"/>
  <c r="J45" i="9"/>
  <c r="I45" i="9"/>
  <c r="J38" i="9"/>
  <c r="I38" i="9"/>
  <c r="J42" i="9"/>
  <c r="I42" i="9"/>
  <c r="K29" i="20"/>
  <c r="J29" i="20"/>
  <c r="K2" i="8"/>
  <c r="J2" i="8"/>
  <c r="J32" i="8"/>
  <c r="K32" i="8"/>
  <c r="J40" i="8"/>
  <c r="K40" i="8"/>
  <c r="J44" i="8"/>
  <c r="K44" i="8"/>
  <c r="J3" i="8"/>
  <c r="K3" i="8"/>
  <c r="K7" i="8"/>
  <c r="J7" i="8"/>
  <c r="S4" i="17"/>
  <c r="S5" i="17"/>
  <c r="S6" i="17"/>
  <c r="S7" i="17"/>
  <c r="S11" i="17"/>
  <c r="S8" i="17"/>
  <c r="S9" i="17"/>
  <c r="S10" i="17"/>
  <c r="J19" i="8"/>
  <c r="K19" i="8"/>
  <c r="K207" i="2"/>
  <c r="M207" i="2"/>
  <c r="I207" i="2"/>
  <c r="L207" i="2"/>
  <c r="E207" i="2"/>
  <c r="G207" i="2"/>
  <c r="F207" i="2"/>
  <c r="J207" i="2"/>
  <c r="K18" i="21"/>
  <c r="J18" i="21"/>
  <c r="K11" i="8"/>
  <c r="J11" i="8"/>
  <c r="J5" i="8"/>
  <c r="K5" i="8"/>
  <c r="J21" i="8"/>
  <c r="K21" i="8"/>
  <c r="J41" i="8"/>
  <c r="K41" i="8"/>
  <c r="K29" i="21"/>
  <c r="J29" i="21"/>
  <c r="K17" i="8"/>
  <c r="K30" i="8"/>
  <c r="J30" i="8"/>
  <c r="J20" i="8"/>
  <c r="K20" i="8"/>
  <c r="J12" i="8"/>
  <c r="K54" i="21"/>
  <c r="J54" i="21"/>
  <c r="K10" i="8"/>
  <c r="J10" i="8"/>
  <c r="K28" i="21"/>
  <c r="J28" i="21"/>
  <c r="J34" i="8"/>
  <c r="K34" i="8"/>
  <c r="J22" i="8"/>
  <c r="K22" i="8"/>
  <c r="J15" i="21"/>
  <c r="K15" i="21"/>
  <c r="K28" i="8"/>
  <c r="J28" i="8"/>
  <c r="J43" i="8"/>
  <c r="K43" i="8"/>
  <c r="K24" i="8"/>
  <c r="J24" i="8"/>
  <c r="J13" i="8"/>
  <c r="K13" i="8"/>
  <c r="K24" i="21"/>
  <c r="J24" i="21"/>
  <c r="J16" i="8"/>
  <c r="K16" i="8"/>
  <c r="K29" i="8"/>
  <c r="J29" i="8"/>
  <c r="J26" i="8"/>
  <c r="K26" i="8"/>
  <c r="J62" i="21"/>
  <c r="K62" i="21"/>
  <c r="J9" i="8"/>
  <c r="K9" i="8"/>
  <c r="J31" i="8"/>
  <c r="K31" i="8"/>
  <c r="K19" i="21" l="1"/>
  <c r="J23" i="21"/>
  <c r="J42" i="8"/>
  <c r="J32" i="21"/>
  <c r="K6" i="21"/>
  <c r="K40" i="21"/>
  <c r="H21" i="14"/>
  <c r="I21" i="14"/>
  <c r="J27" i="9"/>
  <c r="L43" i="12"/>
  <c r="M62" i="17"/>
  <c r="J36" i="8"/>
  <c r="D214" i="2"/>
  <c r="I51" i="21" s="1"/>
  <c r="H8" i="14"/>
  <c r="I8" i="14"/>
  <c r="K39" i="8"/>
  <c r="M58" i="17"/>
  <c r="J24" i="20"/>
  <c r="I28" i="12"/>
  <c r="X198" i="2"/>
  <c r="M201" i="2" s="1"/>
  <c r="P26" i="28" s="1"/>
  <c r="J8" i="20"/>
  <c r="I13" i="12"/>
  <c r="U198" i="2"/>
  <c r="K41" i="20"/>
  <c r="I15" i="9"/>
  <c r="I6" i="9"/>
  <c r="R198" i="2"/>
  <c r="F201" i="2" s="1"/>
  <c r="I26" i="28" s="1"/>
  <c r="K272" i="2"/>
  <c r="N49" i="28" s="1"/>
  <c r="I30" i="9"/>
  <c r="P259" i="2"/>
  <c r="P255" i="6" s="1"/>
  <c r="S255" i="6" s="1"/>
  <c r="D207" i="2"/>
  <c r="I203" i="17" s="1"/>
  <c r="J272" i="2"/>
  <c r="J289" i="2"/>
  <c r="D289" i="2" s="1"/>
  <c r="J46" i="21"/>
  <c r="M21" i="8"/>
  <c r="J32" i="19"/>
  <c r="I3" i="19"/>
  <c r="S198" i="2"/>
  <c r="G201" i="2" s="1"/>
  <c r="J26" i="28" s="1"/>
  <c r="I10" i="16"/>
  <c r="M64" i="17"/>
  <c r="L45" i="12"/>
  <c r="K20" i="21"/>
  <c r="I23" i="14"/>
  <c r="I15" i="19"/>
  <c r="J33" i="12"/>
  <c r="J39" i="21"/>
  <c r="Q198" i="2"/>
  <c r="E200" i="2" s="1"/>
  <c r="K37" i="8"/>
  <c r="I18" i="19"/>
  <c r="M118" i="17"/>
  <c r="L31" i="12"/>
  <c r="M51" i="17"/>
  <c r="J4" i="9"/>
  <c r="K8" i="8"/>
  <c r="L10" i="12"/>
  <c r="Y198" i="2"/>
  <c r="N200" i="2" s="1"/>
  <c r="Q25" i="28" s="1"/>
  <c r="K60" i="21"/>
  <c r="K27" i="21"/>
  <c r="J15" i="8"/>
  <c r="K4" i="8"/>
  <c r="J6" i="8"/>
  <c r="J17" i="21"/>
  <c r="J20" i="20"/>
  <c r="K23" i="8"/>
  <c r="K38" i="8"/>
  <c r="M23" i="17"/>
  <c r="J30" i="16"/>
  <c r="J44" i="20"/>
  <c r="J50" i="9"/>
  <c r="K45" i="21"/>
  <c r="J7" i="16"/>
  <c r="L23" i="12"/>
  <c r="W198" i="2"/>
  <c r="L201" i="2" s="1"/>
  <c r="O26" i="28" s="1"/>
  <c r="L50" i="12"/>
  <c r="M69" i="17"/>
  <c r="M10" i="8"/>
  <c r="K21" i="21"/>
  <c r="J40" i="12"/>
  <c r="I26" i="12"/>
  <c r="I6" i="12"/>
  <c r="I8" i="19"/>
  <c r="J53" i="9"/>
  <c r="J5" i="16"/>
  <c r="J41" i="21"/>
  <c r="M63" i="17"/>
  <c r="M243" i="17"/>
  <c r="I7" i="14"/>
  <c r="H7" i="14"/>
  <c r="J35" i="20"/>
  <c r="T198" i="2"/>
  <c r="H200" i="2" s="1"/>
  <c r="K25" i="28" s="1"/>
  <c r="J25" i="8"/>
  <c r="I25" i="12"/>
  <c r="J20" i="16"/>
  <c r="I14" i="10"/>
  <c r="L3" i="9"/>
  <c r="L19" i="10"/>
  <c r="K14" i="8"/>
  <c r="K26" i="21"/>
  <c r="L36" i="12"/>
  <c r="M115" i="17"/>
  <c r="M66" i="17"/>
  <c r="M27" i="8"/>
  <c r="L3" i="12"/>
  <c r="M28" i="8"/>
  <c r="M274" i="17"/>
  <c r="L18" i="12"/>
  <c r="L51" i="12"/>
  <c r="I22" i="21"/>
  <c r="G19" i="28"/>
  <c r="I181" i="17"/>
  <c r="L35" i="9"/>
  <c r="M80" i="17"/>
  <c r="H10" i="14"/>
  <c r="I10" i="14"/>
  <c r="D43" i="2"/>
  <c r="I39" i="17" s="1"/>
  <c r="M247" i="17"/>
  <c r="M57" i="17"/>
  <c r="I18" i="14"/>
  <c r="H18" i="14"/>
  <c r="I24" i="14"/>
  <c r="H24" i="14"/>
  <c r="J21" i="19"/>
  <c r="I21" i="19"/>
  <c r="J51" i="21"/>
  <c r="K51" i="21"/>
  <c r="I210" i="17"/>
  <c r="D248" i="2"/>
  <c r="H22" i="10" s="1"/>
  <c r="M289" i="17"/>
  <c r="L40" i="12"/>
  <c r="L8" i="9"/>
  <c r="M37" i="8"/>
  <c r="L14" i="9"/>
  <c r="M47" i="17"/>
  <c r="M109" i="17"/>
  <c r="J2" i="21"/>
  <c r="K2" i="21"/>
  <c r="L24" i="9"/>
  <c r="M231" i="17"/>
  <c r="H6" i="14"/>
  <c r="I6" i="14"/>
  <c r="L12" i="9"/>
  <c r="H16" i="14"/>
  <c r="I16" i="14"/>
  <c r="X214" i="2"/>
  <c r="X215" i="2"/>
  <c r="Q190" i="6" s="1"/>
  <c r="S190" i="6" s="1"/>
  <c r="R49" i="2"/>
  <c r="D245" i="2"/>
  <c r="I241" i="17" s="1"/>
  <c r="L49" i="12"/>
  <c r="M26" i="8"/>
  <c r="L30" i="12"/>
  <c r="D244" i="2"/>
  <c r="I240" i="17" s="1"/>
  <c r="M9" i="8"/>
  <c r="D237" i="2"/>
  <c r="D252" i="2"/>
  <c r="H26" i="10" s="1"/>
  <c r="P305" i="6"/>
  <c r="S305" i="6" s="1"/>
  <c r="K7" i="14" s="1"/>
  <c r="K234" i="2"/>
  <c r="L14" i="12"/>
  <c r="M234" i="2"/>
  <c r="I263" i="17"/>
  <c r="L232" i="2"/>
  <c r="M34" i="17"/>
  <c r="J234" i="2"/>
  <c r="L24" i="12"/>
  <c r="J232" i="2"/>
  <c r="M43" i="8"/>
  <c r="M236" i="17"/>
  <c r="L234" i="2"/>
  <c r="L19" i="16"/>
  <c r="M90" i="17"/>
  <c r="P233" i="6"/>
  <c r="S233" i="6" s="1"/>
  <c r="D250" i="2"/>
  <c r="M196" i="17"/>
  <c r="M37" i="21"/>
  <c r="K228" i="2"/>
  <c r="L228" i="2"/>
  <c r="M228" i="2"/>
  <c r="J228" i="2"/>
  <c r="R51" i="2"/>
  <c r="L5" i="10"/>
  <c r="M227" i="17"/>
  <c r="R50" i="2"/>
  <c r="L3" i="10"/>
  <c r="M225" i="17"/>
  <c r="Q211" i="6"/>
  <c r="P211" i="6"/>
  <c r="L4" i="10"/>
  <c r="M226" i="17"/>
  <c r="M321" i="17"/>
  <c r="K13" i="14"/>
  <c r="L25" i="9"/>
  <c r="K287" i="2"/>
  <c r="N64" i="28" s="1"/>
  <c r="P256" i="2"/>
  <c r="L287" i="2"/>
  <c r="O64" i="28" s="1"/>
  <c r="M287" i="2"/>
  <c r="P64" i="28" s="1"/>
  <c r="J287" i="2"/>
  <c r="M232" i="2"/>
  <c r="M282" i="17"/>
  <c r="M33" i="8"/>
  <c r="L21" i="12"/>
  <c r="G45" i="28"/>
  <c r="J233" i="2"/>
  <c r="M11" i="8"/>
  <c r="K233" i="2"/>
  <c r="M8" i="8"/>
  <c r="M233" i="2"/>
  <c r="L22" i="9"/>
  <c r="L233" i="2"/>
  <c r="M104" i="17"/>
  <c r="M38" i="21"/>
  <c r="M197" i="17"/>
  <c r="M6" i="8"/>
  <c r="L16" i="16"/>
  <c r="M107" i="17"/>
  <c r="M65" i="17"/>
  <c r="L46" i="12"/>
  <c r="M202" i="17"/>
  <c r="M43" i="21"/>
  <c r="M46" i="17"/>
  <c r="P216" i="6"/>
  <c r="S216" i="6" s="1"/>
  <c r="P217" i="6"/>
  <c r="S217" i="6" s="1"/>
  <c r="P235" i="6"/>
  <c r="S235" i="6" s="1"/>
  <c r="P215" i="6"/>
  <c r="S215" i="6" s="1"/>
  <c r="L22" i="10"/>
  <c r="M244" i="17"/>
  <c r="M262" i="17"/>
  <c r="L23" i="9"/>
  <c r="L12" i="12"/>
  <c r="L18" i="9"/>
  <c r="L20" i="9"/>
  <c r="L18" i="10"/>
  <c r="M240" i="17"/>
  <c r="J24" i="16"/>
  <c r="I24" i="16"/>
  <c r="M140" i="17"/>
  <c r="M119" i="17"/>
  <c r="M253" i="17"/>
  <c r="M25" i="17"/>
  <c r="M130" i="17"/>
  <c r="M38" i="17"/>
  <c r="M135" i="17"/>
  <c r="M82" i="17"/>
  <c r="M252" i="17"/>
  <c r="L43" i="9"/>
  <c r="M235" i="17"/>
  <c r="M39" i="8"/>
  <c r="L9" i="12"/>
  <c r="L13" i="12"/>
  <c r="M29" i="8"/>
  <c r="M24" i="17"/>
  <c r="M139" i="17"/>
  <c r="M147" i="17"/>
  <c r="M117" i="17"/>
  <c r="L26" i="9"/>
  <c r="M42" i="8"/>
  <c r="L30" i="9"/>
  <c r="M132" i="17"/>
  <c r="L36" i="9"/>
  <c r="M287" i="17"/>
  <c r="L11" i="10"/>
  <c r="M30" i="17"/>
  <c r="L11" i="12"/>
  <c r="L21" i="9"/>
  <c r="M15" i="8"/>
  <c r="M133" i="17"/>
  <c r="L17" i="10"/>
  <c r="M108" i="17"/>
  <c r="M131" i="17"/>
  <c r="L39" i="9"/>
  <c r="M52" i="17"/>
  <c r="M35" i="17"/>
  <c r="M106" i="17"/>
  <c r="M27" i="17"/>
  <c r="M41" i="17"/>
  <c r="L42" i="9"/>
  <c r="M144" i="17"/>
  <c r="L15" i="10"/>
  <c r="M238" i="17"/>
  <c r="I12" i="14"/>
  <c r="H12" i="14"/>
  <c r="L10" i="9"/>
  <c r="M100" i="17"/>
  <c r="L29" i="16"/>
  <c r="M17" i="8"/>
  <c r="M16" i="8"/>
  <c r="M242" i="17"/>
  <c r="M36" i="8"/>
  <c r="M285" i="17"/>
  <c r="L27" i="9"/>
  <c r="M129" i="17"/>
  <c r="L40" i="9"/>
  <c r="M142" i="17"/>
  <c r="L23" i="10"/>
  <c r="M245" i="17"/>
  <c r="M5" i="8"/>
  <c r="M2" i="8"/>
  <c r="M251" i="17"/>
  <c r="L34" i="9"/>
  <c r="M136" i="17"/>
  <c r="L10" i="10"/>
  <c r="M7" i="8"/>
  <c r="M26" i="17"/>
  <c r="L7" i="12"/>
  <c r="M121" i="17"/>
  <c r="L19" i="9"/>
  <c r="M53" i="17"/>
  <c r="L34" i="12"/>
  <c r="L12" i="10"/>
  <c r="L17" i="12"/>
  <c r="M36" i="17"/>
  <c r="M146" i="17"/>
  <c r="L44" i="9"/>
  <c r="M111" i="17"/>
  <c r="L9" i="9"/>
  <c r="L37" i="12"/>
  <c r="M56" i="17"/>
  <c r="S238" i="2"/>
  <c r="T238" i="2"/>
  <c r="T234" i="2"/>
  <c r="S234" i="2"/>
  <c r="M269" i="17"/>
  <c r="M20" i="8"/>
  <c r="M48" i="17"/>
  <c r="L29" i="12"/>
  <c r="M293" i="17"/>
  <c r="M44" i="8"/>
  <c r="M134" i="17"/>
  <c r="L32" i="9"/>
  <c r="M21" i="17"/>
  <c r="L2" i="12"/>
  <c r="L41" i="9"/>
  <c r="M143" i="17"/>
  <c r="M54" i="17"/>
  <c r="L35" i="12"/>
  <c r="L11" i="9"/>
  <c r="M113" i="17"/>
  <c r="L46" i="9"/>
  <c r="M148" i="17"/>
  <c r="J201" i="2"/>
  <c r="M26" i="28" s="1"/>
  <c r="J200" i="2"/>
  <c r="M25" i="28" s="1"/>
  <c r="K201" i="2"/>
  <c r="N26" i="28" s="1"/>
  <c r="K200" i="2"/>
  <c r="N25" i="28" s="1"/>
  <c r="Q17" i="17"/>
  <c r="P17" i="17" s="1"/>
  <c r="M200" i="2" l="1"/>
  <c r="P25" i="28" s="1"/>
  <c r="F200" i="2"/>
  <c r="I25" i="28" s="1"/>
  <c r="P272" i="6"/>
  <c r="S272" i="6" s="1"/>
  <c r="M35" i="8" s="1"/>
  <c r="G200" i="2"/>
  <c r="J25" i="28" s="1"/>
  <c r="P267" i="6"/>
  <c r="S267" i="6" s="1"/>
  <c r="M279" i="17" s="1"/>
  <c r="P251" i="6"/>
  <c r="S251" i="6" s="1"/>
  <c r="M263" i="17" s="1"/>
  <c r="M66" i="28"/>
  <c r="I284" i="17"/>
  <c r="I16" i="17" s="1"/>
  <c r="M15" i="1" s="1"/>
  <c r="H5" i="17" s="1"/>
  <c r="L16" i="1" s="1"/>
  <c r="M49" i="28"/>
  <c r="D272" i="2"/>
  <c r="I18" i="8" s="1"/>
  <c r="L200" i="2"/>
  <c r="O25" i="28" s="1"/>
  <c r="E201" i="2"/>
  <c r="H26" i="28" s="1"/>
  <c r="N201" i="2"/>
  <c r="Q26" i="28" s="1"/>
  <c r="H201" i="2"/>
  <c r="K26" i="28" s="1"/>
  <c r="H20" i="12"/>
  <c r="J20" i="12" s="1"/>
  <c r="I244" i="17"/>
  <c r="M315" i="17"/>
  <c r="D232" i="2"/>
  <c r="I228" i="17" s="1"/>
  <c r="J22" i="21"/>
  <c r="K22" i="21"/>
  <c r="H19" i="10"/>
  <c r="I19" i="10" s="1"/>
  <c r="H18" i="10"/>
  <c r="J18" i="10" s="1"/>
  <c r="D234" i="2"/>
  <c r="H8" i="10" s="1"/>
  <c r="M45" i="21"/>
  <c r="M204" i="17"/>
  <c r="D233" i="2"/>
  <c r="I229" i="17" s="1"/>
  <c r="S211" i="6"/>
  <c r="M224" i="17" s="1"/>
  <c r="I248" i="17"/>
  <c r="H11" i="10"/>
  <c r="I233" i="17"/>
  <c r="M248" i="17"/>
  <c r="L26" i="10"/>
  <c r="L8" i="10"/>
  <c r="M230" i="17"/>
  <c r="M229" i="17"/>
  <c r="L7" i="10"/>
  <c r="M14" i="8"/>
  <c r="M18" i="8"/>
  <c r="M267" i="17"/>
  <c r="M30" i="8"/>
  <c r="D228" i="2"/>
  <c r="I22" i="10"/>
  <c r="J22" i="10"/>
  <c r="H24" i="10"/>
  <c r="I246" i="17"/>
  <c r="M246" i="17"/>
  <c r="L24" i="10"/>
  <c r="M64" i="28"/>
  <c r="D287" i="2"/>
  <c r="L6" i="10"/>
  <c r="M228" i="17"/>
  <c r="I26" i="10"/>
  <c r="J26" i="10"/>
  <c r="Z240" i="2"/>
  <c r="T239" i="2"/>
  <c r="W240" i="2"/>
  <c r="Y240" i="2"/>
  <c r="AB240" i="2"/>
  <c r="X240" i="2"/>
  <c r="AA240" i="2"/>
  <c r="AC240" i="2"/>
  <c r="T235" i="2"/>
  <c r="AA236" i="2"/>
  <c r="Y236" i="2"/>
  <c r="W236" i="2"/>
  <c r="AB236" i="2"/>
  <c r="Z236" i="2"/>
  <c r="X236" i="2"/>
  <c r="AC236" i="2"/>
  <c r="I44" i="21"/>
  <c r="J44" i="21" s="1"/>
  <c r="H25" i="28"/>
  <c r="G66" i="28" l="1"/>
  <c r="M284" i="17"/>
  <c r="M16" i="17" s="1"/>
  <c r="Q15" i="1" s="1"/>
  <c r="J18" i="8"/>
  <c r="K18" i="8"/>
  <c r="C5" i="17"/>
  <c r="B5" i="17"/>
  <c r="D5" i="17"/>
  <c r="F5" i="17"/>
  <c r="J16" i="1" s="1"/>
  <c r="G5" i="17"/>
  <c r="K16" i="1" s="1"/>
  <c r="G49" i="28"/>
  <c r="I267" i="17"/>
  <c r="I35" i="8"/>
  <c r="J35" i="8" s="1"/>
  <c r="D200" i="2"/>
  <c r="G25" i="28" s="1"/>
  <c r="I20" i="12"/>
  <c r="K44" i="21"/>
  <c r="D201" i="2"/>
  <c r="I38" i="21" s="1"/>
  <c r="I230" i="17"/>
  <c r="I18" i="10"/>
  <c r="H6" i="10"/>
  <c r="J6" i="10" s="1"/>
  <c r="J19" i="10"/>
  <c r="L2" i="10"/>
  <c r="H7" i="10"/>
  <c r="I7" i="10" s="1"/>
  <c r="J11" i="10"/>
  <c r="I11" i="10"/>
  <c r="G64" i="28"/>
  <c r="I282" i="17"/>
  <c r="I33" i="8"/>
  <c r="I24" i="10"/>
  <c r="J24" i="10"/>
  <c r="H2" i="10"/>
  <c r="I224" i="17"/>
  <c r="V234" i="2"/>
  <c r="U234" i="2"/>
  <c r="V235" i="2"/>
  <c r="V238" i="2"/>
  <c r="D230" i="2" s="1"/>
  <c r="V239" i="2"/>
  <c r="U238" i="2"/>
  <c r="K35" i="8" l="1"/>
  <c r="I196" i="17"/>
  <c r="I37" i="21"/>
  <c r="J37" i="21" s="1"/>
  <c r="I197" i="17"/>
  <c r="I6" i="10"/>
  <c r="G26" i="28"/>
  <c r="J7" i="10"/>
  <c r="I2" i="10"/>
  <c r="J2" i="10"/>
  <c r="H4" i="10"/>
  <c r="I226" i="17"/>
  <c r="D229" i="2"/>
  <c r="D231" i="2"/>
  <c r="K38" i="21"/>
  <c r="J38" i="21"/>
  <c r="K37" i="21" l="1"/>
  <c r="I227" i="17"/>
  <c r="H5" i="10"/>
  <c r="H3" i="10"/>
  <c r="I225" i="17"/>
  <c r="J4" i="10"/>
  <c r="I4" i="10"/>
  <c r="I3" i="10" l="1"/>
  <c r="J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Chan</author>
    <author>CHAN, Koon Ho</author>
    <author>Michael</author>
  </authors>
  <commentList>
    <comment ref="E25" authorId="0" shapeId="0" xr:uid="{00000000-0006-0000-0000-000001000000}">
      <text>
        <r>
          <rPr>
            <b/>
            <sz val="9"/>
            <color indexed="81"/>
            <rFont val="細明體"/>
            <family val="3"/>
            <charset val="136"/>
          </rPr>
          <t>英文</t>
        </r>
        <r>
          <rPr>
            <b/>
            <sz val="9"/>
            <color indexed="81"/>
            <rFont val="Tahoma"/>
            <family val="2"/>
          </rPr>
          <t xml:space="preserve">x1.5
</t>
        </r>
      </text>
    </comment>
    <comment ref="E35" authorId="0" shapeId="0" xr:uid="{00000000-0006-0000-0000-000002000000}">
      <text>
        <r>
          <rPr>
            <sz val="9"/>
            <color indexed="81"/>
            <rFont val="細明體"/>
            <family val="3"/>
            <charset val="136"/>
          </rPr>
          <t>英文</t>
        </r>
        <r>
          <rPr>
            <sz val="9"/>
            <color indexed="81"/>
            <rFont val="Tahoma"/>
            <family val="2"/>
          </rPr>
          <t xml:space="preserve">x2
</t>
        </r>
      </text>
    </comment>
    <comment ref="E36" authorId="0" shapeId="0" xr:uid="{00000000-0006-0000-0000-000003000000}">
      <text>
        <r>
          <rPr>
            <sz val="9"/>
            <color indexed="81"/>
            <rFont val="細明體"/>
            <family val="3"/>
            <charset val="136"/>
          </rPr>
          <t>英文</t>
        </r>
        <r>
          <rPr>
            <sz val="9"/>
            <color indexed="81"/>
            <rFont val="Tahoma"/>
            <family val="2"/>
          </rPr>
          <t xml:space="preserve">x2
</t>
        </r>
      </text>
    </comment>
    <comment ref="E37" authorId="0" shapeId="0" xr:uid="{00000000-0006-0000-0000-000004000000}">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 xml:space="preserve">x1.5
</t>
        </r>
      </text>
    </comment>
    <comment ref="E38" authorId="0" shapeId="0" xr:uid="{00000000-0006-0000-0000-000005000000}">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39" authorId="0" shapeId="0" xr:uid="{00000000-0006-0000-0000-000006000000}">
      <text>
        <r>
          <rPr>
            <b/>
            <sz val="9"/>
            <color indexed="81"/>
            <rFont val="細明體"/>
            <family val="3"/>
            <charset val="136"/>
          </rPr>
          <t>英文</t>
        </r>
        <r>
          <rPr>
            <b/>
            <sz val="9"/>
            <color indexed="81"/>
            <rFont val="Tahoma"/>
            <family val="2"/>
          </rPr>
          <t xml:space="preserve">x2, </t>
        </r>
        <r>
          <rPr>
            <b/>
            <sz val="9"/>
            <color indexed="81"/>
            <rFont val="細明體"/>
            <family val="3"/>
            <charset val="136"/>
          </rPr>
          <t>數學</t>
        </r>
        <r>
          <rPr>
            <b/>
            <sz val="9"/>
            <color indexed="81"/>
            <rFont val="Tahoma"/>
            <family val="2"/>
          </rPr>
          <t xml:space="preserve">x2.5, </t>
        </r>
        <r>
          <rPr>
            <b/>
            <sz val="9"/>
            <color indexed="81"/>
            <rFont val="細明體"/>
            <family val="3"/>
            <charset val="136"/>
          </rPr>
          <t>化學</t>
        </r>
        <r>
          <rPr>
            <b/>
            <sz val="9"/>
            <color indexed="81"/>
            <rFont val="Tahoma"/>
            <family val="2"/>
          </rPr>
          <t>/</t>
        </r>
        <r>
          <rPr>
            <b/>
            <sz val="9"/>
            <color indexed="81"/>
            <rFont val="細明體"/>
            <family val="3"/>
            <charset val="136"/>
          </rPr>
          <t>物理</t>
        </r>
        <r>
          <rPr>
            <b/>
            <sz val="9"/>
            <color indexed="81"/>
            <rFont val="Tahoma"/>
            <family val="2"/>
          </rPr>
          <t>/</t>
        </r>
        <r>
          <rPr>
            <b/>
            <sz val="9"/>
            <color indexed="81"/>
            <rFont val="細明體"/>
            <family val="3"/>
            <charset val="136"/>
          </rPr>
          <t>組合科學</t>
        </r>
        <r>
          <rPr>
            <b/>
            <sz val="9"/>
            <color indexed="81"/>
            <rFont val="Tahoma"/>
            <family val="2"/>
          </rPr>
          <t>(</t>
        </r>
        <r>
          <rPr>
            <b/>
            <sz val="9"/>
            <color indexed="81"/>
            <rFont val="細明體"/>
            <family val="3"/>
            <charset val="136"/>
          </rPr>
          <t>物理、化學</t>
        </r>
        <r>
          <rPr>
            <b/>
            <sz val="9"/>
            <color indexed="81"/>
            <rFont val="Tahoma"/>
            <family val="2"/>
          </rPr>
          <t>)x2.5</t>
        </r>
      </text>
    </comment>
    <comment ref="E41" authorId="0" shapeId="0" xr:uid="{00000000-0006-0000-0000-000007000000}">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E42" authorId="0" shapeId="0" xr:uid="{00000000-0006-0000-0000-000008000000}">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E43" authorId="0" shapeId="0" xr:uid="{00000000-0006-0000-0000-000009000000}">
      <text>
        <r>
          <rPr>
            <b/>
            <sz val="9"/>
            <color indexed="81"/>
            <rFont val="細明體"/>
            <family val="3"/>
            <charset val="136"/>
          </rPr>
          <t>英文</t>
        </r>
        <r>
          <rPr>
            <b/>
            <sz val="9"/>
            <color indexed="81"/>
            <rFont val="Tahoma"/>
            <family val="2"/>
          </rPr>
          <t>x2</t>
        </r>
        <r>
          <rPr>
            <b/>
            <sz val="9"/>
            <color indexed="81"/>
            <rFont val="細明體"/>
            <family val="3"/>
            <charset val="136"/>
          </rPr>
          <t>，數學</t>
        </r>
        <r>
          <rPr>
            <b/>
            <sz val="9"/>
            <color indexed="81"/>
            <rFont val="Tahoma"/>
            <family val="2"/>
          </rPr>
          <t>x2</t>
        </r>
        <r>
          <rPr>
            <sz val="9"/>
            <color indexed="81"/>
            <rFont val="Tahoma"/>
            <family val="2"/>
          </rPr>
          <t xml:space="preserve">
</t>
        </r>
      </text>
    </comment>
    <comment ref="E44" authorId="0" shapeId="0" xr:uid="{00000000-0006-0000-0000-00000A000000}">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45" authorId="0" shapeId="0" xr:uid="{00000000-0006-0000-0000-00000B000000}">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46" authorId="0" shapeId="0" xr:uid="{00000000-0006-0000-0000-00000C000000}">
      <text>
        <r>
          <rPr>
            <b/>
            <sz val="9"/>
            <color indexed="81"/>
            <rFont val="Tahoma"/>
            <family val="2"/>
          </rPr>
          <t>(2020</t>
        </r>
        <r>
          <rPr>
            <b/>
            <sz val="9"/>
            <color indexed="81"/>
            <rFont val="細明體"/>
            <family val="3"/>
            <charset val="136"/>
          </rPr>
          <t>年改為所有科目</t>
        </r>
        <r>
          <rPr>
            <b/>
            <sz val="9"/>
            <color indexed="81"/>
            <rFont val="Tahoma"/>
            <family val="2"/>
          </rPr>
          <t xml:space="preserve">x1)
</t>
        </r>
        <r>
          <rPr>
            <b/>
            <sz val="9"/>
            <color indexed="81"/>
            <rFont val="細明體"/>
            <family val="3"/>
            <charset val="136"/>
          </rPr>
          <t>英文</t>
        </r>
        <r>
          <rPr>
            <b/>
            <sz val="9"/>
            <color indexed="81"/>
            <rFont val="Tahoma"/>
            <family val="2"/>
          </rPr>
          <t>x2</t>
        </r>
        <r>
          <rPr>
            <b/>
            <sz val="9"/>
            <color indexed="81"/>
            <rFont val="細明體"/>
            <family val="3"/>
            <charset val="136"/>
          </rPr>
          <t>，通識</t>
        </r>
        <r>
          <rPr>
            <b/>
            <sz val="9"/>
            <color indexed="81"/>
            <rFont val="Tahoma"/>
            <family val="2"/>
          </rPr>
          <t>x1.5</t>
        </r>
      </text>
    </comment>
    <comment ref="E47" authorId="0" shapeId="0" xr:uid="{00000000-0006-0000-0000-00000D000000}">
      <text>
        <r>
          <rPr>
            <b/>
            <sz val="9"/>
            <color indexed="81"/>
            <rFont val="Tahoma"/>
            <family val="2"/>
          </rPr>
          <t xml:space="preserve">x2: </t>
        </r>
        <r>
          <rPr>
            <b/>
            <sz val="9"/>
            <color indexed="81"/>
            <rFont val="細明體"/>
            <family val="3"/>
            <charset val="136"/>
          </rPr>
          <t xml:space="preserve">中文，英文
</t>
        </r>
        <r>
          <rPr>
            <b/>
            <sz val="9"/>
            <color indexed="81"/>
            <rFont val="Tahoma"/>
            <family val="2"/>
          </rPr>
          <t xml:space="preserve">x1.5: </t>
        </r>
        <r>
          <rPr>
            <b/>
            <sz val="9"/>
            <color indexed="81"/>
            <rFont val="細明體"/>
            <family val="3"/>
            <charset val="136"/>
          </rPr>
          <t>通識</t>
        </r>
        <r>
          <rPr>
            <b/>
            <sz val="9"/>
            <color indexed="81"/>
            <rFont val="Tahoma"/>
            <family val="2"/>
          </rPr>
          <t>/</t>
        </r>
        <r>
          <rPr>
            <b/>
            <sz val="9"/>
            <color indexed="81"/>
            <rFont val="細明體"/>
            <family val="3"/>
            <charset val="136"/>
          </rPr>
          <t>中國歷史</t>
        </r>
        <r>
          <rPr>
            <b/>
            <sz val="9"/>
            <color indexed="81"/>
            <rFont val="Tahoma"/>
            <family val="2"/>
          </rPr>
          <t>/</t>
        </r>
        <r>
          <rPr>
            <b/>
            <sz val="9"/>
            <color indexed="81"/>
            <rFont val="細明體"/>
            <family val="3"/>
            <charset val="136"/>
          </rPr>
          <t>中國文學</t>
        </r>
        <r>
          <rPr>
            <b/>
            <sz val="9"/>
            <color indexed="81"/>
            <rFont val="Tahoma"/>
            <family val="2"/>
          </rPr>
          <t>/</t>
        </r>
        <r>
          <rPr>
            <b/>
            <sz val="9"/>
            <color indexed="81"/>
            <rFont val="細明體"/>
            <family val="3"/>
            <charset val="136"/>
          </rPr>
          <t>歷史</t>
        </r>
        <r>
          <rPr>
            <b/>
            <sz val="9"/>
            <color indexed="81"/>
            <rFont val="Tahoma"/>
            <family val="2"/>
          </rPr>
          <t>/</t>
        </r>
        <r>
          <rPr>
            <b/>
            <sz val="9"/>
            <color indexed="81"/>
            <rFont val="細明體"/>
            <family val="3"/>
            <charset val="136"/>
          </rPr>
          <t>視覺藝術</t>
        </r>
      </text>
    </comment>
    <comment ref="E48" authorId="0" shapeId="0" xr:uid="{00000000-0006-0000-0000-00000E000000}">
      <text>
        <r>
          <rPr>
            <b/>
            <sz val="9"/>
            <color indexed="81"/>
            <rFont val="細明體"/>
            <family val="3"/>
            <charset val="136"/>
          </rPr>
          <t>英文</t>
        </r>
        <r>
          <rPr>
            <b/>
            <sz val="9"/>
            <color indexed="81"/>
            <rFont val="Tahoma"/>
            <family val="2"/>
          </rPr>
          <t>x2.5</t>
        </r>
        <r>
          <rPr>
            <b/>
            <sz val="9"/>
            <color indexed="81"/>
            <rFont val="細明體"/>
            <family val="3"/>
            <charset val="136"/>
          </rPr>
          <t>，通識</t>
        </r>
        <r>
          <rPr>
            <b/>
            <sz val="9"/>
            <color indexed="81"/>
            <rFont val="Tahoma"/>
            <family val="2"/>
          </rPr>
          <t>x1.5</t>
        </r>
        <r>
          <rPr>
            <b/>
            <sz val="9"/>
            <color indexed="81"/>
            <rFont val="細明體"/>
            <family val="3"/>
            <charset val="136"/>
          </rPr>
          <t>，英國文學</t>
        </r>
        <r>
          <rPr>
            <b/>
            <sz val="9"/>
            <color indexed="81"/>
            <rFont val="Tahoma"/>
            <family val="2"/>
          </rPr>
          <t xml:space="preserve">x1.5
</t>
        </r>
        <r>
          <rPr>
            <sz val="9"/>
            <color indexed="81"/>
            <rFont val="Tahoma"/>
            <family val="2"/>
          </rPr>
          <t xml:space="preserve">
</t>
        </r>
      </text>
    </comment>
    <comment ref="E49" authorId="0" shapeId="0" xr:uid="{00000000-0006-0000-0000-00000F000000}">
      <text>
        <r>
          <rPr>
            <b/>
            <sz val="9"/>
            <color indexed="81"/>
            <rFont val="細明體"/>
            <family val="3"/>
            <charset val="136"/>
          </rPr>
          <t>中文</t>
        </r>
        <r>
          <rPr>
            <b/>
            <sz val="9"/>
            <color indexed="81"/>
            <rFont val="Tahoma"/>
            <family val="2"/>
          </rPr>
          <t>x1.5</t>
        </r>
        <r>
          <rPr>
            <b/>
            <sz val="9"/>
            <color indexed="81"/>
            <rFont val="細明體"/>
            <family val="3"/>
            <charset val="136"/>
          </rPr>
          <t>，英文</t>
        </r>
        <r>
          <rPr>
            <b/>
            <sz val="9"/>
            <color indexed="81"/>
            <rFont val="Tahoma"/>
            <family val="2"/>
          </rPr>
          <t>x2</t>
        </r>
        <r>
          <rPr>
            <sz val="9"/>
            <color indexed="81"/>
            <rFont val="Tahoma"/>
            <family val="2"/>
          </rPr>
          <t xml:space="preserve">
</t>
        </r>
      </text>
    </comment>
    <comment ref="E50" authorId="0" shapeId="0" xr:uid="{00000000-0006-0000-0000-000010000000}">
      <text>
        <r>
          <rPr>
            <b/>
            <sz val="9"/>
            <color indexed="81"/>
            <rFont val="細明體"/>
            <family val="3"/>
            <charset val="136"/>
          </rPr>
          <t>中文</t>
        </r>
        <r>
          <rPr>
            <b/>
            <sz val="9"/>
            <color indexed="81"/>
            <rFont val="Tahoma"/>
            <family val="2"/>
          </rPr>
          <t>x1.25</t>
        </r>
        <r>
          <rPr>
            <b/>
            <sz val="9"/>
            <color indexed="81"/>
            <rFont val="細明體"/>
            <family val="3"/>
            <charset val="136"/>
          </rPr>
          <t>，英文</t>
        </r>
        <r>
          <rPr>
            <b/>
            <sz val="9"/>
            <color indexed="81"/>
            <rFont val="Tahoma"/>
            <family val="2"/>
          </rPr>
          <t>x1.25</t>
        </r>
        <r>
          <rPr>
            <sz val="9"/>
            <color indexed="81"/>
            <rFont val="Tahoma"/>
            <family val="2"/>
          </rPr>
          <t xml:space="preserve">
</t>
        </r>
      </text>
    </comment>
    <comment ref="E51" authorId="0" shapeId="0" xr:uid="{00000000-0006-0000-0000-000011000000}">
      <text>
        <r>
          <rPr>
            <b/>
            <sz val="9"/>
            <color indexed="81"/>
            <rFont val="細明體"/>
            <family val="3"/>
            <charset val="136"/>
          </rPr>
          <t>英文</t>
        </r>
        <r>
          <rPr>
            <b/>
            <sz val="9"/>
            <color indexed="81"/>
            <rFont val="Tahoma"/>
            <family val="2"/>
          </rPr>
          <t>x2</t>
        </r>
        <r>
          <rPr>
            <b/>
            <sz val="9"/>
            <color indexed="81"/>
            <rFont val="細明體"/>
            <family val="3"/>
            <charset val="136"/>
          </rPr>
          <t>，通識</t>
        </r>
        <r>
          <rPr>
            <b/>
            <sz val="9"/>
            <color indexed="81"/>
            <rFont val="Tahoma"/>
            <family val="2"/>
          </rPr>
          <t>x1.5</t>
        </r>
        <r>
          <rPr>
            <sz val="9"/>
            <color indexed="81"/>
            <rFont val="Tahoma"/>
            <family val="2"/>
          </rPr>
          <t xml:space="preserve">
</t>
        </r>
      </text>
    </comment>
    <comment ref="E52" authorId="0" shapeId="0" xr:uid="{00000000-0006-0000-0000-000012000000}">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53" authorId="0" shapeId="0" xr:uid="{00000000-0006-0000-0000-000013000000}">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54" authorId="0" shapeId="0" xr:uid="{00000000-0006-0000-0000-000014000000}">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55" authorId="0" shapeId="0" xr:uid="{00000000-0006-0000-0000-000015000000}">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56" authorId="1" shapeId="0" xr:uid="{00000000-0006-0000-0000-000016000000}">
      <text>
        <r>
          <rPr>
            <b/>
            <sz val="9"/>
            <color indexed="81"/>
            <rFont val="Tahoma"/>
            <family val="2"/>
          </rPr>
          <t xml:space="preserve">2021年新科目
x2.5:數學、物理、生物、化學、經濟、M1/2
x2:英文
</t>
        </r>
      </text>
    </comment>
    <comment ref="E57" authorId="1" shapeId="0" xr:uid="{00000000-0006-0000-0000-000017000000}">
      <text>
        <r>
          <rPr>
            <b/>
            <sz val="9"/>
            <color indexed="81"/>
            <rFont val="Tahoma"/>
            <family val="2"/>
          </rPr>
          <t xml:space="preserve">2021年新科目
x2.5:英文、數學、物理、M1/2、組合科學(含物理)、綜合科學
x1.5: 中文
</t>
        </r>
      </text>
    </comment>
    <comment ref="E58" authorId="0" shapeId="0" xr:uid="{00000000-0006-0000-0000-000018000000}">
      <text>
        <r>
          <rPr>
            <b/>
            <sz val="9"/>
            <color indexed="81"/>
            <rFont val="Tahoma"/>
            <family val="2"/>
          </rPr>
          <t xml:space="preserve">x2: </t>
        </r>
        <r>
          <rPr>
            <b/>
            <sz val="9"/>
            <color indexed="81"/>
            <rFont val="細明體"/>
            <family val="3"/>
            <charset val="136"/>
          </rPr>
          <t>英文，化學</t>
        </r>
        <r>
          <rPr>
            <b/>
            <sz val="9"/>
            <color indexed="81"/>
            <rFont val="Tahoma"/>
            <family val="2"/>
          </rPr>
          <t xml:space="preserve">x2
x1.5: </t>
        </r>
        <r>
          <rPr>
            <b/>
            <sz val="9"/>
            <color indexed="81"/>
            <rFont val="細明體"/>
            <family val="3"/>
            <charset val="136"/>
          </rPr>
          <t>數學，組合科學</t>
        </r>
        <r>
          <rPr>
            <b/>
            <sz val="9"/>
            <color indexed="81"/>
            <rFont val="Tahoma"/>
            <family val="2"/>
          </rPr>
          <t>(</t>
        </r>
        <r>
          <rPr>
            <b/>
            <sz val="9"/>
            <color indexed="81"/>
            <rFont val="細明體"/>
            <family val="3"/>
            <charset val="136"/>
          </rPr>
          <t>化學</t>
        </r>
        <r>
          <rPr>
            <b/>
            <sz val="9"/>
            <color indexed="81"/>
            <rFont val="Tahoma"/>
            <family val="2"/>
          </rPr>
          <t>)</t>
        </r>
      </text>
    </comment>
    <comment ref="E59" authorId="0" shapeId="0" xr:uid="{00000000-0006-0000-0000-000019000000}">
      <text>
        <r>
          <rPr>
            <b/>
            <sz val="9"/>
            <color indexed="81"/>
            <rFont val="細明體"/>
            <family val="3"/>
            <charset val="136"/>
          </rPr>
          <t>英文</t>
        </r>
        <r>
          <rPr>
            <b/>
            <sz val="9"/>
            <color indexed="81"/>
            <rFont val="Tahoma"/>
            <family val="2"/>
          </rPr>
          <t>x2</t>
        </r>
        <r>
          <rPr>
            <sz val="9"/>
            <color indexed="81"/>
            <rFont val="Tahoma"/>
            <family val="2"/>
          </rPr>
          <t xml:space="preserve">
</t>
        </r>
      </text>
    </comment>
    <comment ref="E60" authorId="0" shapeId="0" xr:uid="{00000000-0006-0000-0000-00001A000000}">
      <text>
        <r>
          <rPr>
            <b/>
            <sz val="9"/>
            <color indexed="81"/>
            <rFont val="Tahoma"/>
            <family val="2"/>
          </rPr>
          <t xml:space="preserve">x2: </t>
        </r>
        <r>
          <rPr>
            <b/>
            <sz val="9"/>
            <color indexed="81"/>
            <rFont val="細明體"/>
            <family val="3"/>
            <charset val="136"/>
          </rPr>
          <t>英文，數學，組合科學</t>
        </r>
        <r>
          <rPr>
            <b/>
            <sz val="9"/>
            <color indexed="81"/>
            <rFont val="Tahoma"/>
            <family val="2"/>
          </rPr>
          <t>(</t>
        </r>
        <r>
          <rPr>
            <b/>
            <sz val="9"/>
            <color indexed="81"/>
            <rFont val="細明體"/>
            <family val="3"/>
            <charset val="136"/>
          </rPr>
          <t>物理、化學</t>
        </r>
        <r>
          <rPr>
            <b/>
            <sz val="9"/>
            <color indexed="81"/>
            <rFont val="Tahoma"/>
            <family val="2"/>
          </rPr>
          <t>)</t>
        </r>
        <r>
          <rPr>
            <b/>
            <sz val="9"/>
            <color indexed="81"/>
            <rFont val="細明體"/>
            <family val="3"/>
            <charset val="136"/>
          </rPr>
          <t>，組合科學</t>
        </r>
        <r>
          <rPr>
            <b/>
            <sz val="9"/>
            <color indexed="81"/>
            <rFont val="Tahoma"/>
            <family val="2"/>
          </rPr>
          <t>(</t>
        </r>
        <r>
          <rPr>
            <b/>
            <sz val="9"/>
            <color indexed="81"/>
            <rFont val="細明體"/>
            <family val="3"/>
            <charset val="136"/>
          </rPr>
          <t>物理、生物</t>
        </r>
        <r>
          <rPr>
            <b/>
            <sz val="9"/>
            <color indexed="81"/>
            <rFont val="Tahoma"/>
            <family val="2"/>
          </rPr>
          <t>)</t>
        </r>
        <r>
          <rPr>
            <b/>
            <sz val="9"/>
            <color indexed="81"/>
            <rFont val="細明體"/>
            <family val="3"/>
            <charset val="136"/>
          </rPr>
          <t>，物理，</t>
        </r>
        <r>
          <rPr>
            <b/>
            <sz val="9"/>
            <color indexed="81"/>
            <rFont val="Tahoma"/>
            <family val="2"/>
          </rPr>
          <t>ICT</t>
        </r>
        <r>
          <rPr>
            <b/>
            <sz val="9"/>
            <color indexed="81"/>
            <rFont val="細明體"/>
            <family val="3"/>
            <charset val="136"/>
          </rPr>
          <t>，</t>
        </r>
        <r>
          <rPr>
            <b/>
            <sz val="9"/>
            <color indexed="81"/>
            <rFont val="Tahoma"/>
            <family val="2"/>
          </rPr>
          <t xml:space="preserve">M1/2
x1.5: </t>
        </r>
        <r>
          <rPr>
            <b/>
            <sz val="9"/>
            <color indexed="81"/>
            <rFont val="細明體"/>
            <family val="3"/>
            <charset val="136"/>
          </rPr>
          <t>組合科學</t>
        </r>
        <r>
          <rPr>
            <b/>
            <sz val="9"/>
            <color indexed="81"/>
            <rFont val="Tahoma"/>
            <family val="2"/>
          </rPr>
          <t>(</t>
        </r>
        <r>
          <rPr>
            <b/>
            <sz val="9"/>
            <color indexed="81"/>
            <rFont val="細明體"/>
            <family val="3"/>
            <charset val="136"/>
          </rPr>
          <t>生物、化學</t>
        </r>
        <r>
          <rPr>
            <b/>
            <sz val="9"/>
            <color indexed="81"/>
            <rFont val="Tahoma"/>
            <family val="2"/>
          </rPr>
          <t>)</t>
        </r>
        <r>
          <rPr>
            <b/>
            <sz val="9"/>
            <color indexed="81"/>
            <rFont val="細明體"/>
            <family val="3"/>
            <charset val="136"/>
          </rPr>
          <t>，生物，化學，綜合科學</t>
        </r>
        <r>
          <rPr>
            <sz val="9"/>
            <color indexed="81"/>
            <rFont val="Tahoma"/>
            <family val="2"/>
          </rPr>
          <t xml:space="preserve">
</t>
        </r>
      </text>
    </comment>
    <comment ref="E61" authorId="0" shapeId="0" xr:uid="{00000000-0006-0000-0000-00001B000000}">
      <text>
        <r>
          <rPr>
            <b/>
            <sz val="9"/>
            <color indexed="81"/>
            <rFont val="Tahoma"/>
            <family val="2"/>
          </rPr>
          <t xml:space="preserve">x2.5: </t>
        </r>
        <r>
          <rPr>
            <b/>
            <sz val="9"/>
            <color indexed="81"/>
            <rFont val="細明體"/>
            <family val="3"/>
            <charset val="136"/>
          </rPr>
          <t>數學</t>
        </r>
        <r>
          <rPr>
            <b/>
            <sz val="9"/>
            <color indexed="81"/>
            <rFont val="Tahoma"/>
            <family val="2"/>
          </rPr>
          <t xml:space="preserve">
x2: </t>
        </r>
        <r>
          <rPr>
            <b/>
            <sz val="9"/>
            <color indexed="81"/>
            <rFont val="細明體"/>
            <family val="3"/>
            <charset val="136"/>
          </rPr>
          <t>英文、</t>
        </r>
        <r>
          <rPr>
            <b/>
            <sz val="9"/>
            <color indexed="81"/>
            <rFont val="Tahoma"/>
            <family val="2"/>
          </rPr>
          <t xml:space="preserve">M1/2
x1.5: </t>
        </r>
        <r>
          <rPr>
            <b/>
            <sz val="9"/>
            <color indexed="81"/>
            <rFont val="細明體"/>
            <family val="3"/>
            <charset val="136"/>
          </rPr>
          <t>組合科學，生物，化學，物理</t>
        </r>
        <r>
          <rPr>
            <sz val="9"/>
            <color indexed="81"/>
            <rFont val="Tahoma"/>
            <family val="2"/>
          </rPr>
          <t xml:space="preserve">
</t>
        </r>
      </text>
    </comment>
    <comment ref="E62" authorId="0" shapeId="0" xr:uid="{00000000-0006-0000-0000-00001C000000}">
      <text>
        <r>
          <rPr>
            <b/>
            <sz val="9"/>
            <color indexed="81"/>
            <rFont val="Tahoma"/>
            <family val="2"/>
          </rPr>
          <t xml:space="preserve">x2: </t>
        </r>
        <r>
          <rPr>
            <b/>
            <sz val="9"/>
            <color indexed="81"/>
            <rFont val="細明體"/>
            <family val="3"/>
            <charset val="136"/>
          </rPr>
          <t>英文，數學，物理</t>
        </r>
        <r>
          <rPr>
            <b/>
            <sz val="9"/>
            <color indexed="81"/>
            <rFont val="Tahoma"/>
            <family val="2"/>
          </rPr>
          <t xml:space="preserve">
x1.5: </t>
        </r>
        <r>
          <rPr>
            <b/>
            <sz val="9"/>
            <color indexed="81"/>
            <rFont val="細明體"/>
            <family val="3"/>
            <charset val="136"/>
          </rPr>
          <t>組合科學</t>
        </r>
        <r>
          <rPr>
            <b/>
            <sz val="9"/>
            <color indexed="81"/>
            <rFont val="Tahoma"/>
            <family val="2"/>
          </rPr>
          <t>(</t>
        </r>
        <r>
          <rPr>
            <b/>
            <sz val="9"/>
            <color indexed="81"/>
            <rFont val="細明體"/>
            <family val="3"/>
            <charset val="136"/>
          </rPr>
          <t>生物、化學</t>
        </r>
        <r>
          <rPr>
            <b/>
            <sz val="9"/>
            <color indexed="81"/>
            <rFont val="Tahoma"/>
            <family val="2"/>
          </rPr>
          <t>)</t>
        </r>
        <r>
          <rPr>
            <b/>
            <sz val="9"/>
            <color indexed="81"/>
            <rFont val="細明體"/>
            <family val="3"/>
            <charset val="136"/>
          </rPr>
          <t>，化學，</t>
        </r>
        <r>
          <rPr>
            <b/>
            <sz val="9"/>
            <color indexed="81"/>
            <rFont val="Tahoma"/>
            <family val="2"/>
          </rPr>
          <t>DAT</t>
        </r>
        <r>
          <rPr>
            <b/>
            <sz val="9"/>
            <color indexed="81"/>
            <rFont val="細明體"/>
            <family val="3"/>
            <charset val="136"/>
          </rPr>
          <t>，</t>
        </r>
        <r>
          <rPr>
            <b/>
            <sz val="9"/>
            <color indexed="81"/>
            <rFont val="Tahoma"/>
            <family val="2"/>
          </rPr>
          <t>M1/2</t>
        </r>
        <r>
          <rPr>
            <sz val="9"/>
            <color indexed="81"/>
            <rFont val="Tahoma"/>
            <family val="2"/>
          </rPr>
          <t xml:space="preserve">
</t>
        </r>
      </text>
    </comment>
    <comment ref="E63" authorId="0" shapeId="0" xr:uid="{00000000-0006-0000-0000-00001D000000}">
      <text>
        <r>
          <rPr>
            <b/>
            <sz val="9"/>
            <color indexed="81"/>
            <rFont val="Tahoma"/>
            <family val="2"/>
          </rPr>
          <t xml:space="preserve">x2: </t>
        </r>
        <r>
          <rPr>
            <b/>
            <sz val="9"/>
            <color indexed="81"/>
            <rFont val="細明體"/>
            <family val="3"/>
            <charset val="136"/>
          </rPr>
          <t xml:space="preserve">英文，物理
</t>
        </r>
        <r>
          <rPr>
            <b/>
            <sz val="9"/>
            <color indexed="81"/>
            <rFont val="Tahoma"/>
            <family val="2"/>
          </rPr>
          <t xml:space="preserve">x1.5: M1/2
x1.25: </t>
        </r>
        <r>
          <rPr>
            <b/>
            <sz val="9"/>
            <color indexed="81"/>
            <rFont val="細明體"/>
            <family val="3"/>
            <charset val="136"/>
          </rPr>
          <t xml:space="preserve">數學
</t>
        </r>
        <r>
          <rPr>
            <sz val="9"/>
            <color indexed="81"/>
            <rFont val="Tahoma"/>
            <family val="2"/>
          </rPr>
          <t xml:space="preserve">
</t>
        </r>
      </text>
    </comment>
    <comment ref="E64" authorId="0" shapeId="0" xr:uid="{00000000-0006-0000-0000-00001E000000}">
      <text>
        <r>
          <rPr>
            <b/>
            <sz val="9"/>
            <color indexed="81"/>
            <rFont val="Tahoma"/>
            <family val="2"/>
          </rPr>
          <t xml:space="preserve">x2: </t>
        </r>
        <r>
          <rPr>
            <b/>
            <sz val="9"/>
            <color indexed="81"/>
            <rFont val="細明體"/>
            <family val="3"/>
            <charset val="136"/>
          </rPr>
          <t xml:space="preserve">英文，物理
</t>
        </r>
        <r>
          <rPr>
            <b/>
            <sz val="9"/>
            <color indexed="81"/>
            <rFont val="Tahoma"/>
            <family val="2"/>
          </rPr>
          <t>x1.5: M1/2</t>
        </r>
        <r>
          <rPr>
            <b/>
            <sz val="9"/>
            <color indexed="81"/>
            <rFont val="細明體"/>
            <family val="3"/>
            <charset val="136"/>
          </rPr>
          <t xml:space="preserve">，化學
</t>
        </r>
        <r>
          <rPr>
            <sz val="9"/>
            <color indexed="81"/>
            <rFont val="Tahoma"/>
            <family val="2"/>
          </rPr>
          <t xml:space="preserve">
</t>
        </r>
      </text>
    </comment>
    <comment ref="E65" authorId="0" shapeId="0" xr:uid="{00000000-0006-0000-0000-00001F000000}">
      <text>
        <r>
          <rPr>
            <b/>
            <sz val="9"/>
            <color indexed="81"/>
            <rFont val="Tahoma"/>
            <family val="2"/>
          </rPr>
          <t xml:space="preserve">x2: </t>
        </r>
        <r>
          <rPr>
            <b/>
            <sz val="9"/>
            <color indexed="81"/>
            <rFont val="細明體"/>
            <family val="3"/>
            <charset val="136"/>
          </rPr>
          <t xml:space="preserve">英文，數學，化學，物理，生物，組合科學
</t>
        </r>
        <r>
          <rPr>
            <sz val="9"/>
            <color indexed="81"/>
            <rFont val="Tahoma"/>
            <family val="2"/>
          </rPr>
          <t xml:space="preserve">
</t>
        </r>
      </text>
    </comment>
    <comment ref="E68" authorId="0" shapeId="0" xr:uid="{00000000-0006-0000-0000-000020000000}">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E69" authorId="0" shapeId="0" xr:uid="{00000000-0006-0000-0000-000021000000}">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E70" authorId="0" shapeId="0" xr:uid="{00000000-0006-0000-0000-000022000000}">
      <text>
        <r>
          <rPr>
            <b/>
            <sz val="9"/>
            <color indexed="81"/>
            <rFont val="Tahoma"/>
            <family val="2"/>
          </rPr>
          <t xml:space="preserve">x2: </t>
        </r>
        <r>
          <rPr>
            <b/>
            <sz val="9"/>
            <color indexed="81"/>
            <rFont val="細明體"/>
            <family val="3"/>
            <charset val="136"/>
          </rPr>
          <t xml:space="preserve">英文，物理，化學，生物，組合科學，
</t>
        </r>
        <r>
          <rPr>
            <b/>
            <sz val="9"/>
            <color indexed="81"/>
            <rFont val="Tahoma"/>
            <family val="2"/>
          </rPr>
          <t xml:space="preserve">x1.5: </t>
        </r>
        <r>
          <rPr>
            <b/>
            <sz val="9"/>
            <color indexed="81"/>
            <rFont val="細明體"/>
            <family val="3"/>
            <charset val="136"/>
          </rPr>
          <t>數學，</t>
        </r>
        <r>
          <rPr>
            <b/>
            <sz val="9"/>
            <color indexed="81"/>
            <rFont val="Tahoma"/>
            <family val="2"/>
          </rPr>
          <t>BAFS</t>
        </r>
        <r>
          <rPr>
            <b/>
            <sz val="9"/>
            <color indexed="81"/>
            <rFont val="細明體"/>
            <family val="3"/>
            <charset val="136"/>
          </rPr>
          <t>，</t>
        </r>
        <r>
          <rPr>
            <b/>
            <sz val="9"/>
            <color indexed="81"/>
            <rFont val="Tahoma"/>
            <family val="2"/>
          </rPr>
          <t>ICT</t>
        </r>
        <r>
          <rPr>
            <b/>
            <sz val="9"/>
            <color indexed="81"/>
            <rFont val="細明體"/>
            <family val="3"/>
            <charset val="136"/>
          </rPr>
          <t>，</t>
        </r>
        <r>
          <rPr>
            <b/>
            <sz val="9"/>
            <color indexed="81"/>
            <rFont val="Tahoma"/>
            <family val="2"/>
          </rPr>
          <t>DAT</t>
        </r>
        <r>
          <rPr>
            <b/>
            <sz val="9"/>
            <color indexed="81"/>
            <rFont val="細明體"/>
            <family val="3"/>
            <charset val="136"/>
          </rPr>
          <t>，</t>
        </r>
        <r>
          <rPr>
            <b/>
            <sz val="9"/>
            <color indexed="81"/>
            <rFont val="Tahoma"/>
            <family val="2"/>
          </rPr>
          <t>M1/2</t>
        </r>
        <r>
          <rPr>
            <b/>
            <sz val="9"/>
            <color indexed="81"/>
            <rFont val="細明體"/>
            <family val="3"/>
            <charset val="136"/>
          </rPr>
          <t>，綜合科學</t>
        </r>
        <r>
          <rPr>
            <sz val="9"/>
            <color indexed="81"/>
            <rFont val="Tahoma"/>
            <family val="2"/>
          </rPr>
          <t xml:space="preserve">
</t>
        </r>
      </text>
    </comment>
    <comment ref="E81" authorId="0" shapeId="0" xr:uid="{00000000-0006-0000-0000-000023000000}">
      <text>
        <r>
          <rPr>
            <b/>
            <sz val="9"/>
            <color indexed="81"/>
            <rFont val="Tahoma"/>
            <family val="2"/>
          </rPr>
          <t>x2:</t>
        </r>
        <r>
          <rPr>
            <b/>
            <sz val="9"/>
            <color indexed="81"/>
            <rFont val="細明體"/>
            <family val="3"/>
            <charset val="136"/>
          </rPr>
          <t xml:space="preserve">
</t>
        </r>
        <r>
          <rPr>
            <sz val="9"/>
            <color indexed="81"/>
            <rFont val="細明體"/>
            <family val="3"/>
            <charset val="136"/>
          </rPr>
          <t>英文、英語文學</t>
        </r>
        <r>
          <rPr>
            <b/>
            <sz val="9"/>
            <color indexed="81"/>
            <rFont val="細明體"/>
            <family val="3"/>
            <charset val="136"/>
          </rPr>
          <t xml:space="preserve">
</t>
        </r>
        <r>
          <rPr>
            <b/>
            <sz val="9"/>
            <color indexed="81"/>
            <rFont val="Tahoma"/>
            <family val="2"/>
          </rPr>
          <t xml:space="preserve">
x1.5:
</t>
        </r>
        <r>
          <rPr>
            <sz val="9"/>
            <color indexed="81"/>
            <rFont val="細明體"/>
            <family val="3"/>
            <charset val="136"/>
          </rPr>
          <t>中文、中國文學、通識、數學</t>
        </r>
      </text>
    </comment>
    <comment ref="E83" authorId="0" shapeId="0" xr:uid="{00000000-0006-0000-0000-000024000000}">
      <text>
        <r>
          <rPr>
            <b/>
            <sz val="9"/>
            <color indexed="81"/>
            <rFont val="Tahoma"/>
            <family val="2"/>
          </rPr>
          <t xml:space="preserve">x1.5:
英文 
</t>
        </r>
      </text>
    </comment>
    <comment ref="E84" authorId="0" shapeId="0" xr:uid="{00000000-0006-0000-0000-000025000000}">
      <text>
        <r>
          <rPr>
            <b/>
            <sz val="9"/>
            <color indexed="81"/>
            <rFont val="Tahoma"/>
            <family val="2"/>
          </rPr>
          <t xml:space="preserve">x1.5:
英文 
</t>
        </r>
      </text>
    </comment>
    <comment ref="E85" authorId="0" shapeId="0" xr:uid="{00000000-0006-0000-0000-000026000000}">
      <text>
        <r>
          <rPr>
            <b/>
            <sz val="9"/>
            <color indexed="81"/>
            <rFont val="Tahoma"/>
            <family val="2"/>
          </rPr>
          <t xml:space="preserve">Best 5 </t>
        </r>
        <r>
          <rPr>
            <b/>
            <sz val="9"/>
            <color indexed="81"/>
            <rFont val="細明體"/>
            <family val="3"/>
            <charset val="136"/>
          </rPr>
          <t xml:space="preserve">(包括中、英文)
</t>
        </r>
        <r>
          <rPr>
            <b/>
            <sz val="9"/>
            <color indexed="81"/>
            <rFont val="Tahoma"/>
            <family val="2"/>
          </rPr>
          <t>x1.25:
中文、英文</t>
        </r>
      </text>
    </comment>
    <comment ref="E86" authorId="0" shapeId="0" xr:uid="{00000000-0006-0000-0000-000027000000}">
      <text>
        <r>
          <rPr>
            <b/>
            <sz val="9"/>
            <color indexed="81"/>
            <rFont val="Tahoma"/>
            <family val="2"/>
          </rPr>
          <t xml:space="preserve">Best 5 </t>
        </r>
        <r>
          <rPr>
            <b/>
            <sz val="9"/>
            <color indexed="81"/>
            <rFont val="細明體"/>
            <family val="3"/>
            <charset val="136"/>
          </rPr>
          <t xml:space="preserve">(包括中、英文)
</t>
        </r>
        <r>
          <rPr>
            <b/>
            <sz val="9"/>
            <color indexed="81"/>
            <rFont val="Tahoma"/>
            <family val="2"/>
          </rPr>
          <t>x1.25:
中文、英文</t>
        </r>
      </text>
    </comment>
    <comment ref="E87" authorId="0" shapeId="0" xr:uid="{00000000-0006-0000-0000-000028000000}">
      <text>
        <r>
          <rPr>
            <b/>
            <sz val="9"/>
            <color indexed="81"/>
            <rFont val="Tahoma"/>
            <family val="2"/>
          </rPr>
          <t>Best 5 (</t>
        </r>
        <r>
          <rPr>
            <b/>
            <sz val="9"/>
            <color indexed="81"/>
            <rFont val="細明體"/>
            <family val="3"/>
            <charset val="136"/>
          </rPr>
          <t>包括英文</t>
        </r>
        <r>
          <rPr>
            <b/>
            <sz val="9"/>
            <color indexed="81"/>
            <rFont val="Tahoma"/>
            <family val="2"/>
          </rPr>
          <t>)</t>
        </r>
        <r>
          <rPr>
            <sz val="9"/>
            <color indexed="81"/>
            <rFont val="Tahoma"/>
            <family val="2"/>
          </rPr>
          <t xml:space="preserve">
</t>
        </r>
      </text>
    </comment>
    <comment ref="E88" authorId="0" shapeId="0" xr:uid="{00000000-0006-0000-0000-000029000000}">
      <text>
        <r>
          <rPr>
            <b/>
            <sz val="9"/>
            <color indexed="81"/>
            <rFont val="Tahoma"/>
            <family val="2"/>
          </rPr>
          <t>2021</t>
        </r>
        <r>
          <rPr>
            <b/>
            <sz val="9"/>
            <color indexed="81"/>
            <rFont val="細明體"/>
            <family val="3"/>
            <charset val="136"/>
          </rPr>
          <t>年新科目</t>
        </r>
        <r>
          <rPr>
            <b/>
            <sz val="9"/>
            <color indexed="81"/>
            <rFont val="Tahoma"/>
            <family val="2"/>
          </rPr>
          <t xml:space="preserve">
Best 5 </t>
        </r>
        <r>
          <rPr>
            <b/>
            <sz val="9"/>
            <color indexed="81"/>
            <rFont val="細明體"/>
            <family val="3"/>
            <charset val="136"/>
          </rPr>
          <t xml:space="preserve">(包括中、英文)
</t>
        </r>
        <r>
          <rPr>
            <b/>
            <sz val="9"/>
            <color indexed="81"/>
            <rFont val="Tahoma"/>
            <family val="2"/>
          </rPr>
          <t>x1.25:
中文、英文</t>
        </r>
      </text>
    </comment>
    <comment ref="E89" authorId="0" shapeId="0" xr:uid="{00000000-0006-0000-0000-00002A000000}">
      <text>
        <r>
          <rPr>
            <b/>
            <sz val="9"/>
            <color indexed="81"/>
            <rFont val="Tahoma"/>
            <family val="2"/>
          </rPr>
          <t>2021</t>
        </r>
        <r>
          <rPr>
            <b/>
            <sz val="9"/>
            <color indexed="81"/>
            <rFont val="細明體"/>
            <family val="3"/>
            <charset val="136"/>
          </rPr>
          <t>年新科目</t>
        </r>
        <r>
          <rPr>
            <b/>
            <sz val="9"/>
            <color indexed="81"/>
            <rFont val="Tahoma"/>
            <family val="2"/>
          </rPr>
          <t xml:space="preserve">
Best 5 </t>
        </r>
        <r>
          <rPr>
            <b/>
            <sz val="9"/>
            <color indexed="81"/>
            <rFont val="細明體"/>
            <family val="3"/>
            <charset val="136"/>
          </rPr>
          <t xml:space="preserve">(包括中、英文)
</t>
        </r>
        <r>
          <rPr>
            <b/>
            <sz val="9"/>
            <color indexed="81"/>
            <rFont val="Tahoma"/>
            <family val="2"/>
          </rPr>
          <t>x1.25:
中文、英文</t>
        </r>
      </text>
    </comment>
    <comment ref="E90" authorId="0" shapeId="0" xr:uid="{00000000-0006-0000-0000-00002B000000}">
      <text>
        <r>
          <rPr>
            <b/>
            <sz val="9"/>
            <color indexed="81"/>
            <rFont val="Tahoma"/>
            <family val="2"/>
          </rPr>
          <t xml:space="preserve">x1.5: </t>
        </r>
        <r>
          <rPr>
            <sz val="9"/>
            <color indexed="81"/>
            <rFont val="細明體"/>
            <family val="3"/>
            <charset val="136"/>
          </rPr>
          <t>中文、英文、生物</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中史、中國文學、化學、組合科學、數學、物理</t>
        </r>
      </text>
    </comment>
    <comment ref="E91" authorId="0" shapeId="0" xr:uid="{00000000-0006-0000-0000-00002C000000}">
      <text>
        <r>
          <rPr>
            <b/>
            <sz val="9"/>
            <color indexed="81"/>
            <rFont val="Tahoma"/>
            <family val="2"/>
          </rPr>
          <t xml:space="preserve">x1.5: </t>
        </r>
        <r>
          <rPr>
            <sz val="9"/>
            <color indexed="81"/>
            <rFont val="細明體"/>
            <family val="3"/>
            <charset val="136"/>
          </rPr>
          <t>中文、英文、化學</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生物、中國文學、組合科學、數學、物理</t>
        </r>
      </text>
    </comment>
    <comment ref="E92" authorId="1" shapeId="0" xr:uid="{00000000-0006-0000-0000-00002D000000}">
      <text>
        <r>
          <rPr>
            <b/>
            <sz val="9"/>
            <color indexed="81"/>
            <rFont val="Tahoma"/>
            <family val="2"/>
          </rPr>
          <t>2021年將以4C2X收生
此處仍以Best 6作估算，請注意</t>
        </r>
      </text>
    </comment>
    <comment ref="E93" authorId="0" shapeId="0" xr:uid="{00000000-0006-0000-0000-00002E000000}">
      <text>
        <r>
          <rPr>
            <b/>
            <sz val="9"/>
            <color indexed="81"/>
            <rFont val="Tahoma"/>
            <family val="2"/>
          </rPr>
          <t xml:space="preserve">x2:
英文 
</t>
        </r>
      </text>
    </comment>
    <comment ref="E95" authorId="0" shapeId="0" xr:uid="{00000000-0006-0000-0000-00002F000000}">
      <text>
        <r>
          <rPr>
            <b/>
            <sz val="9"/>
            <color indexed="81"/>
            <rFont val="Tahoma"/>
            <family val="2"/>
          </rPr>
          <t>Best 5 (</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t>
        </r>
        <r>
          <rPr>
            <b/>
            <sz val="9"/>
            <color indexed="81"/>
            <rFont val="Tahoma"/>
            <family val="2"/>
          </rPr>
          <t>x1.2:
英文</t>
        </r>
      </text>
    </comment>
    <comment ref="E96" authorId="0" shapeId="0" xr:uid="{00000000-0006-0000-0000-000030000000}">
      <text>
        <r>
          <rPr>
            <b/>
            <sz val="9"/>
            <color indexed="81"/>
            <rFont val="Tahoma"/>
            <family val="2"/>
          </rPr>
          <t>Best 5 (</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t>
        </r>
        <r>
          <rPr>
            <b/>
            <sz val="9"/>
            <color indexed="81"/>
            <rFont val="Tahoma"/>
            <family val="2"/>
          </rPr>
          <t>x1.2:
英文</t>
        </r>
      </text>
    </comment>
    <comment ref="E97" authorId="0" shapeId="0" xr:uid="{00000000-0006-0000-0000-000031000000}">
      <text>
        <r>
          <rPr>
            <b/>
            <sz val="9"/>
            <color indexed="81"/>
            <rFont val="Tahoma"/>
            <family val="2"/>
          </rPr>
          <t>x2:
英文
x1.5:
通識</t>
        </r>
      </text>
    </comment>
    <comment ref="E98" authorId="0" shapeId="0" xr:uid="{00000000-0006-0000-0000-000032000000}">
      <text>
        <r>
          <rPr>
            <b/>
            <sz val="9"/>
            <color indexed="81"/>
            <rFont val="Tahoma"/>
            <family val="2"/>
          </rPr>
          <t xml:space="preserve">x1.5:
中文、英文 </t>
        </r>
      </text>
    </comment>
    <comment ref="E99" authorId="0" shapeId="0" xr:uid="{00000000-0006-0000-0000-000033000000}">
      <text>
        <r>
          <rPr>
            <b/>
            <sz val="9"/>
            <color indexed="81"/>
            <rFont val="Tahoma"/>
            <family val="2"/>
          </rPr>
          <t>x2:
英文</t>
        </r>
        <r>
          <rPr>
            <b/>
            <sz val="9"/>
            <color indexed="81"/>
            <rFont val="細明體"/>
            <family val="3"/>
            <charset val="136"/>
          </rPr>
          <t xml:space="preserve">
</t>
        </r>
        <r>
          <rPr>
            <b/>
            <sz val="9"/>
            <color indexed="81"/>
            <rFont val="Tahoma"/>
            <family val="2"/>
          </rPr>
          <t xml:space="preserve">x1.2: </t>
        </r>
        <r>
          <rPr>
            <sz val="9"/>
            <color indexed="81"/>
            <rFont val="Tahoma"/>
            <family val="2"/>
          </rPr>
          <t>中國歷史、經濟、倫理及宗教科、地理、歷史、旅遊及款待</t>
        </r>
      </text>
    </comment>
    <comment ref="E100" authorId="0" shapeId="0" xr:uid="{00000000-0006-0000-0000-000034000000}">
      <text>
        <r>
          <rPr>
            <b/>
            <sz val="9"/>
            <color indexed="81"/>
            <rFont val="Tahoma"/>
            <family val="2"/>
          </rPr>
          <t>Best 5 (</t>
        </r>
        <r>
          <rPr>
            <b/>
            <sz val="9"/>
            <color indexed="81"/>
            <rFont val="細明體"/>
            <family val="3"/>
            <charset val="136"/>
          </rPr>
          <t>包括英文</t>
        </r>
        <r>
          <rPr>
            <b/>
            <sz val="9"/>
            <color indexed="81"/>
            <rFont val="Tahoma"/>
            <family val="2"/>
          </rPr>
          <t>)</t>
        </r>
        <r>
          <rPr>
            <sz val="9"/>
            <color indexed="81"/>
            <rFont val="Tahoma"/>
            <family val="2"/>
          </rPr>
          <t xml:space="preserve">
</t>
        </r>
      </text>
    </comment>
    <comment ref="E162" authorId="0" shapeId="0" xr:uid="{00000000-0006-0000-0000-000035000000}">
      <text>
        <r>
          <rPr>
            <b/>
            <sz val="9"/>
            <color indexed="81"/>
            <rFont val="Tahoma"/>
            <family val="2"/>
          </rPr>
          <t xml:space="preserve">Chinese with heavier weighting
</t>
        </r>
      </text>
    </comment>
    <comment ref="E165" authorId="0" shapeId="0" xr:uid="{00000000-0006-0000-0000-000036000000}">
      <text>
        <r>
          <rPr>
            <b/>
            <sz val="9"/>
            <color indexed="81"/>
            <rFont val="Tahoma"/>
            <family val="2"/>
          </rPr>
          <t>Literature in English is preferred
English with heavier weighting</t>
        </r>
      </text>
    </comment>
    <comment ref="E166" authorId="0" shapeId="0" xr:uid="{00000000-0006-0000-0000-000037000000}">
      <text>
        <r>
          <rPr>
            <b/>
            <sz val="9"/>
            <color indexed="81"/>
            <rFont val="Tahoma"/>
            <family val="2"/>
          </rPr>
          <t>Visual Arts is preferred</t>
        </r>
        <r>
          <rPr>
            <sz val="9"/>
            <color indexed="81"/>
            <rFont val="Tahoma"/>
            <family val="2"/>
          </rPr>
          <t xml:space="preserve">
</t>
        </r>
      </text>
    </comment>
    <comment ref="E170" authorId="0" shapeId="0" xr:uid="{00000000-0006-0000-0000-000038000000}">
      <text>
        <r>
          <rPr>
            <b/>
            <sz val="9"/>
            <color indexed="81"/>
            <rFont val="Tahoma"/>
            <family val="2"/>
          </rPr>
          <t xml:space="preserve">Music is preferred
</t>
        </r>
      </text>
    </comment>
    <comment ref="E171" authorId="0" shapeId="0" xr:uid="{00000000-0006-0000-0000-000039000000}">
      <text>
        <r>
          <rPr>
            <b/>
            <sz val="9"/>
            <color indexed="81"/>
            <rFont val="Tahoma"/>
            <family val="2"/>
          </rPr>
          <t>English and Chinese must be included</t>
        </r>
      </text>
    </comment>
    <comment ref="E175" authorId="0" shapeId="0" xr:uid="{00000000-0006-0000-0000-00003A000000}">
      <text>
        <r>
          <rPr>
            <b/>
            <sz val="9"/>
            <color indexed="81"/>
            <rFont val="Tahoma"/>
            <family val="2"/>
          </rPr>
          <t>(a) English Language at Level 4 or above is preferred</t>
        </r>
      </text>
    </comment>
    <comment ref="E188" authorId="0" shapeId="0" xr:uid="{00000000-0006-0000-0000-00003B000000}">
      <text>
        <r>
          <rPr>
            <b/>
            <sz val="9"/>
            <color indexed="81"/>
            <rFont val="細明體"/>
            <family val="3"/>
            <charset val="136"/>
          </rPr>
          <t>中文、英文</t>
        </r>
        <r>
          <rPr>
            <b/>
            <sz val="9"/>
            <color indexed="81"/>
            <rFont val="Tahoma"/>
            <family val="2"/>
          </rPr>
          <t xml:space="preserve"> x 1.2, </t>
        </r>
        <r>
          <rPr>
            <b/>
            <sz val="9"/>
            <color indexed="81"/>
            <rFont val="細明體"/>
            <family val="3"/>
            <charset val="136"/>
          </rPr>
          <t>數學、</t>
        </r>
        <r>
          <rPr>
            <b/>
            <sz val="9"/>
            <color indexed="81"/>
            <rFont val="Tahoma"/>
            <family val="2"/>
          </rPr>
          <t>M1/2 x 1.5</t>
        </r>
      </text>
    </comment>
    <comment ref="E190" authorId="0" shapeId="0" xr:uid="{00000000-0006-0000-0000-00003C000000}">
      <text>
        <r>
          <rPr>
            <b/>
            <sz val="9"/>
            <color indexed="81"/>
            <rFont val="Tahoma"/>
            <family val="2"/>
          </rPr>
          <t>Mathematics (x 1.5)
• M1 or M2 (x 1.75)
• Biology, Chemistry, Combined Science, DAT, ICT, Physics (x 1.5)
• Liberal Studies (x 0.5)</t>
        </r>
        <r>
          <rPr>
            <sz val="9"/>
            <color indexed="81"/>
            <rFont val="Tahoma"/>
            <family val="2"/>
          </rPr>
          <t xml:space="preserve">
</t>
        </r>
      </text>
    </comment>
    <comment ref="E195" authorId="0" shapeId="0" xr:uid="{00000000-0006-0000-0000-00003D000000}">
      <text>
        <r>
          <rPr>
            <b/>
            <sz val="9"/>
            <color indexed="81"/>
            <rFont val="Tahoma"/>
            <family val="2"/>
          </rPr>
          <t>The following subjects are preferred:
• M1/M2
• Biology
• Chemistry
• Combined Science
• ICT
• Physics
^ Candidates with Level 4 in Mathematics (Compulsory Part) and good results in other HKDSE subjects will be exceptionally considered on a case by case basis.</t>
        </r>
        <r>
          <rPr>
            <sz val="9"/>
            <color indexed="81"/>
            <rFont val="Tahoma"/>
            <family val="2"/>
          </rPr>
          <t xml:space="preserve">
</t>
        </r>
      </text>
    </comment>
    <comment ref="E198" authorId="0" shapeId="0" xr:uid="{00000000-0006-0000-0000-00003E000000}">
      <text>
        <r>
          <rPr>
            <b/>
            <sz val="9"/>
            <color indexed="81"/>
            <rFont val="Tahoma"/>
            <family val="2"/>
          </rPr>
          <t>Subjects with heavier weighting:
• Biology, Chemistry, Combined Science, Integrated Science, Physics</t>
        </r>
      </text>
    </comment>
    <comment ref="E201" authorId="0" shapeId="0" xr:uid="{00000000-0006-0000-0000-00003F000000}">
      <text>
        <r>
          <rPr>
            <b/>
            <sz val="9"/>
            <color indexed="81"/>
            <rFont val="Tahoma"/>
            <family val="2"/>
          </rPr>
          <t>Preferred subjects for one of the two electives:
• Biology
• Chemistry
• Combined Science
• Integrated Science
• Physics</t>
        </r>
      </text>
    </comment>
    <comment ref="E203" authorId="0" shapeId="0" xr:uid="{00000000-0006-0000-0000-000040000000}">
      <text>
        <r>
          <rPr>
            <sz val="9"/>
            <color indexed="81"/>
            <rFont val="Tahoma"/>
            <family val="2"/>
          </rPr>
          <t>(a) Category A subjects only
(b) Preferred subjects:
• M1/M2
• Biology
• Chemistry
• Combined Science
• Economics
• Geography
• ICT
• Integrated Science
• Physics
• Tech and Living (FST)</t>
        </r>
      </text>
    </comment>
    <comment ref="E204" authorId="0" shapeId="0" xr:uid="{00000000-0006-0000-0000-000041000000}">
      <text>
        <r>
          <rPr>
            <b/>
            <sz val="9"/>
            <color indexed="81"/>
            <rFont val="Tahoma"/>
            <family val="2"/>
          </rPr>
          <t>Subjects with heavier weighting:
• English
• Mathematics
• M1 or M2
• Biology, Chemistry, Combined Science, Geography, Integrated Science, Physics</t>
        </r>
      </text>
    </comment>
    <comment ref="E205" authorId="0" shapeId="0" xr:uid="{00000000-0006-0000-0000-000042000000}">
      <text>
        <r>
          <rPr>
            <b/>
            <sz val="9"/>
            <color indexed="81"/>
            <rFont val="Tahoma"/>
            <family val="2"/>
          </rPr>
          <t>The programme places much heavier emphasis on M1 or M2</t>
        </r>
        <r>
          <rPr>
            <sz val="9"/>
            <color indexed="81"/>
            <rFont val="Tahoma"/>
            <family val="2"/>
          </rPr>
          <t xml:space="preserve">
</t>
        </r>
      </text>
    </comment>
    <comment ref="E206" authorId="0" shapeId="0" xr:uid="{00000000-0006-0000-0000-000043000000}">
      <text>
        <r>
          <rPr>
            <b/>
            <sz val="9"/>
            <color indexed="81"/>
            <rFont val="Tahoma"/>
            <family val="2"/>
          </rPr>
          <t>Subjects with heavier weighting:
• Mathematics
• M1 or M2
• Physics</t>
        </r>
        <r>
          <rPr>
            <sz val="9"/>
            <color indexed="81"/>
            <rFont val="Tahoma"/>
            <family val="2"/>
          </rPr>
          <t xml:space="preserve">
</t>
        </r>
      </text>
    </comment>
    <comment ref="E224" authorId="0" shapeId="0" xr:uid="{00000000-0006-0000-0000-000044000000}">
      <text>
        <r>
          <rPr>
            <b/>
            <sz val="9"/>
            <color indexed="81"/>
            <rFont val="細明體"/>
            <family val="3"/>
            <charset val="136"/>
          </rPr>
          <t>英文</t>
        </r>
        <r>
          <rPr>
            <b/>
            <sz val="9"/>
            <color indexed="81"/>
            <rFont val="Tahoma"/>
            <family val="2"/>
          </rPr>
          <t xml:space="preserve"> x1 </t>
        </r>
        <r>
          <rPr>
            <b/>
            <sz val="9"/>
            <color indexed="81"/>
            <rFont val="細明體"/>
            <family val="3"/>
            <charset val="136"/>
          </rPr>
          <t>數學</t>
        </r>
        <r>
          <rPr>
            <b/>
            <sz val="9"/>
            <color indexed="81"/>
            <rFont val="Tahoma"/>
            <family val="2"/>
          </rPr>
          <t xml:space="preserve"> x1
+</t>
        </r>
        <r>
          <rPr>
            <b/>
            <sz val="9"/>
            <color indexed="81"/>
            <rFont val="細明體"/>
            <family val="3"/>
            <charset val="136"/>
          </rPr>
          <t xml:space="preserve">
最佳兩科</t>
        </r>
        <r>
          <rPr>
            <b/>
            <sz val="9"/>
            <color indexed="81"/>
            <rFont val="Tahoma"/>
            <family val="2"/>
          </rPr>
          <t xml:space="preserve"> x1
(</t>
        </r>
        <r>
          <rPr>
            <sz val="9"/>
            <color indexed="81"/>
            <rFont val="Tahoma"/>
            <family val="2"/>
          </rPr>
          <t xml:space="preserve">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b/>
            <sz val="9"/>
            <color indexed="81"/>
            <rFont val="細明體"/>
            <family val="3"/>
            <charset val="136"/>
          </rPr>
          <t>最佳一科</t>
        </r>
        <r>
          <rPr>
            <b/>
            <sz val="9"/>
            <color indexed="81"/>
            <rFont val="Tahoma"/>
            <family val="2"/>
          </rPr>
          <t xml:space="preserve"> x1</t>
        </r>
        <r>
          <rPr>
            <sz val="9"/>
            <color indexed="81"/>
            <rFont val="Tahoma"/>
            <family val="2"/>
          </rPr>
          <t xml:space="preserve">
</t>
        </r>
      </text>
    </comment>
    <comment ref="E225" authorId="0" shapeId="0" xr:uid="{00000000-0006-0000-0000-000045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E226" authorId="0" shapeId="0" xr:uid="{00000000-0006-0000-0000-000046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x2
(M1/2 /</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 x1</t>
        </r>
      </text>
    </comment>
    <comment ref="E227" authorId="0" shapeId="0" xr:uid="{00000000-0006-0000-0000-000047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E228" authorId="0" shapeId="0" xr:uid="{00000000-0006-0000-0000-000048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E229" authorId="0" shapeId="0" xr:uid="{00000000-0006-0000-0000-000049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/DAT)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t>
        </r>
      </text>
    </comment>
    <comment ref="E230" authorId="0" shapeId="0" xr:uid="{00000000-0006-0000-0000-00004A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E231" authorId="0" shapeId="0" xr:uid="{00000000-0006-0000-0000-00004B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232" authorId="0" shapeId="0" xr:uid="{00000000-0006-0000-0000-00004C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233" authorId="0" shapeId="0" xr:uid="{00000000-0006-0000-0000-00004D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E234" authorId="0" shapeId="0" xr:uid="{00000000-0006-0000-0000-00004E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235" authorId="0" shapeId="0" xr:uid="{00000000-0006-0000-0000-00004F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236" authorId="0" shapeId="0" xr:uid="{00000000-0006-0000-0000-000050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237" authorId="0" shapeId="0" xr:uid="{00000000-0006-0000-0000-000051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238" authorId="0" shapeId="0" xr:uid="{00000000-0006-0000-0000-000052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239" authorId="0" shapeId="0" xr:uid="{00000000-0006-0000-0000-000053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E240" authorId="0" shapeId="0" xr:uid="{00000000-0006-0000-0000-000054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E241" authorId="0" shapeId="0" xr:uid="{00000000-0006-0000-0000-000055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E242" authorId="0" shapeId="0" xr:uid="{00000000-0006-0000-0000-000056000000}">
      <text>
        <r>
          <rPr>
            <sz val="9"/>
            <color indexed="81"/>
            <rFont val="細明體"/>
            <family val="3"/>
            <charset val="136"/>
          </rPr>
          <t>英文</t>
        </r>
        <r>
          <rPr>
            <sz val="9"/>
            <color indexed="81"/>
            <rFont val="Tahoma"/>
            <family val="2"/>
          </rPr>
          <t xml:space="preserve"> x2 </t>
        </r>
        <r>
          <rPr>
            <sz val="9"/>
            <color indexed="81"/>
            <rFont val="細明體"/>
            <family val="3"/>
            <charset val="136"/>
          </rPr>
          <t>中文</t>
        </r>
        <r>
          <rPr>
            <sz val="9"/>
            <color indexed="81"/>
            <rFont val="Tahoma"/>
            <family val="2"/>
          </rPr>
          <t xml:space="preserve"> x1.5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E243" authorId="0" shapeId="0" xr:uid="{00000000-0006-0000-0000-000057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E244" authorId="0" shapeId="0" xr:uid="{00000000-0006-0000-0000-000058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最佳下列理科</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E245" authorId="0" shapeId="0" xr:uid="{00000000-0006-0000-0000-000059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E246" authorId="0" shapeId="0" xr:uid="{00000000-0006-0000-0000-00005A000000}">
      <text>
        <r>
          <rPr>
            <b/>
            <sz val="9"/>
            <color indexed="81"/>
            <rFont val="細明體"/>
            <family val="3"/>
            <charset val="136"/>
          </rPr>
          <t>英文</t>
        </r>
        <r>
          <rPr>
            <b/>
            <sz val="9"/>
            <color indexed="81"/>
            <rFont val="Tahoma"/>
            <family val="2"/>
          </rPr>
          <t xml:space="preserve"> x2 </t>
        </r>
        <r>
          <rPr>
            <b/>
            <sz val="9"/>
            <color indexed="81"/>
            <rFont val="細明體"/>
            <family val="3"/>
            <charset val="136"/>
          </rPr>
          <t>數學</t>
        </r>
        <r>
          <rPr>
            <b/>
            <sz val="9"/>
            <color indexed="81"/>
            <rFont val="Tahoma"/>
            <family val="2"/>
          </rPr>
          <t xml:space="preserve"> x2</t>
        </r>
        <r>
          <rPr>
            <sz val="9"/>
            <color indexed="81"/>
            <rFont val="Tahoma"/>
            <family val="2"/>
          </rPr>
          <t xml:space="preserve">
+
</t>
        </r>
        <r>
          <rPr>
            <b/>
            <sz val="9"/>
            <color indexed="81"/>
            <rFont val="Tahoma"/>
            <family val="2"/>
          </rPr>
          <t>M1/2 x 2</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最佳下列科目</t>
        </r>
        <r>
          <rPr>
            <b/>
            <sz val="9"/>
            <color indexed="81"/>
            <rFont val="Tahoma"/>
            <family val="2"/>
          </rPr>
          <t xml:space="preserve"> x1.5</t>
        </r>
        <r>
          <rPr>
            <sz val="9"/>
            <color indexed="81"/>
            <rFont val="Tahoma"/>
            <family val="2"/>
          </rPr>
          <t xml:space="preserve">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綜合科學</t>
        </r>
        <r>
          <rPr>
            <sz val="9"/>
            <color indexed="81"/>
            <rFont val="Tahoma"/>
            <family val="2"/>
          </rPr>
          <t>/</t>
        </r>
        <r>
          <rPr>
            <sz val="9"/>
            <color indexed="81"/>
            <rFont val="細明體"/>
            <family val="3"/>
            <charset val="136"/>
          </rPr>
          <t>經濟</t>
        </r>
        <r>
          <rPr>
            <sz val="9"/>
            <color indexed="81"/>
            <rFont val="Tahoma"/>
            <family val="2"/>
          </rPr>
          <t xml:space="preserve">)
+
</t>
        </r>
        <r>
          <rPr>
            <b/>
            <sz val="9"/>
            <color indexed="81"/>
            <rFont val="細明體"/>
            <family val="3"/>
            <charset val="136"/>
          </rPr>
          <t>最佳</t>
        </r>
        <r>
          <rPr>
            <b/>
            <sz val="9"/>
            <color indexed="81"/>
            <rFont val="Tahoma"/>
            <family val="2"/>
          </rPr>
          <t>3</t>
        </r>
        <r>
          <rPr>
            <b/>
            <sz val="9"/>
            <color indexed="81"/>
            <rFont val="細明體"/>
            <family val="3"/>
            <charset val="136"/>
          </rPr>
          <t>科</t>
        </r>
        <r>
          <rPr>
            <b/>
            <sz val="9"/>
            <color indexed="81"/>
            <rFont val="Tahoma"/>
            <family val="2"/>
          </rPr>
          <t xml:space="preserve"> x1</t>
        </r>
        <r>
          <rPr>
            <sz val="9"/>
            <color indexed="81"/>
            <rFont val="Tahoma"/>
            <family val="2"/>
          </rPr>
          <t xml:space="preserve">
</t>
        </r>
      </text>
    </comment>
    <comment ref="E247" authorId="0" shapeId="0" xr:uid="{00000000-0006-0000-0000-00005B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E248" authorId="0" shapeId="0" xr:uid="{00000000-0006-0000-0000-00005C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(M1/2 x1.5)
</t>
        </r>
      </text>
    </comment>
    <comment ref="E251" authorId="0" shapeId="0" xr:uid="{00000000-0006-0000-0000-00005D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text>
    </comment>
    <comment ref="E252" authorId="2" shapeId="0" xr:uid="{00000000-0006-0000-0000-00005E000000}">
      <text>
        <r>
          <rPr>
            <sz val="9"/>
            <color indexed="81"/>
            <rFont val="Tahoma"/>
            <family val="2"/>
          </rPr>
          <t xml:space="preserve">Consideration of both Category A and C subjects, </t>
        </r>
        <r>
          <rPr>
            <b/>
            <sz val="9"/>
            <color indexed="81"/>
            <rFont val="Tahoma"/>
            <family val="2"/>
          </rPr>
          <t>excluding M1/M2.</t>
        </r>
      </text>
    </comment>
    <comment ref="E253" authorId="2" shapeId="0" xr:uid="{00000000-0006-0000-0000-00005F000000}">
      <text>
        <r>
          <rPr>
            <sz val="9"/>
            <color indexed="81"/>
            <rFont val="Tahoma"/>
            <family val="2"/>
          </rPr>
          <t>Consideration of both Category A and C subjects,</t>
        </r>
        <r>
          <rPr>
            <b/>
            <sz val="9"/>
            <color indexed="81"/>
            <rFont val="Tahoma"/>
            <family val="2"/>
          </rPr>
          <t xml:space="preserve"> excluding M1/M2.</t>
        </r>
      </text>
    </comment>
    <comment ref="E254" authorId="2" shapeId="0" xr:uid="{00000000-0006-0000-0000-000060000000}">
      <text>
        <r>
          <rPr>
            <sz val="9"/>
            <color indexed="81"/>
            <rFont val="Tahoma"/>
            <family val="2"/>
          </rPr>
          <t xml:space="preserve">Consideration of both Category A and C subjects, </t>
        </r>
        <r>
          <rPr>
            <b/>
            <sz val="9"/>
            <color indexed="81"/>
            <rFont val="Tahoma"/>
            <family val="2"/>
          </rPr>
          <t xml:space="preserve">excluding M1/M2.
</t>
        </r>
      </text>
    </comment>
    <comment ref="E255" authorId="2" shapeId="0" xr:uid="{00000000-0006-0000-0000-000061000000}">
      <text>
        <r>
          <rPr>
            <sz val="9"/>
            <color indexed="81"/>
            <rFont val="Tahoma"/>
            <family val="2"/>
          </rPr>
          <t xml:space="preserve">Consideration of both Category A and C subjects, </t>
        </r>
        <r>
          <rPr>
            <b/>
            <sz val="9"/>
            <color indexed="81"/>
            <rFont val="Tahoma"/>
            <family val="2"/>
          </rPr>
          <t xml:space="preserve">excluding M1/M2.
</t>
        </r>
        <r>
          <rPr>
            <sz val="9"/>
            <color indexed="81"/>
            <rFont val="Tahoma"/>
            <family val="2"/>
          </rPr>
          <t xml:space="preserve">
The best 5 subjects must </t>
        </r>
        <r>
          <rPr>
            <b/>
            <sz val="9"/>
            <color indexed="81"/>
            <rFont val="Tahoma"/>
            <family val="2"/>
          </rPr>
          <t>include English Language</t>
        </r>
        <r>
          <rPr>
            <sz val="9"/>
            <color indexed="81"/>
            <rFont val="Tahoma"/>
            <family val="2"/>
          </rPr>
          <t xml:space="preserve">
</t>
        </r>
      </text>
    </comment>
    <comment ref="E256" authorId="0" shapeId="0" xr:uid="{00000000-0006-0000-0000-000062000000}">
      <text>
        <r>
          <rPr>
            <sz val="9"/>
            <color indexed="81"/>
            <rFont val="Tahoma"/>
            <family val="2"/>
          </rPr>
          <t xml:space="preserve">The best 6 subjects must include English Language, Mathematics.
M1/M2 can be included.
Weighting: English Language, Mathematics
</t>
        </r>
      </text>
    </comment>
    <comment ref="E257" authorId="0" shapeId="0" xr:uid="{00000000-0006-0000-0000-000063000000}">
      <text>
        <r>
          <rPr>
            <sz val="9"/>
            <color indexed="81"/>
            <rFont val="Tahoma"/>
            <family val="2"/>
          </rPr>
          <t xml:space="preserve">The best 6 subjects must include English Language, Mathematics.
M1/M2 can be included in lieu of Mathematics.
Weighting: English Language, Mathematics, M1/M2
</t>
        </r>
      </text>
    </comment>
    <comment ref="E258" authorId="0" shapeId="0" xr:uid="{00000000-0006-0000-0000-000064000000}">
      <text>
        <r>
          <rPr>
            <sz val="9"/>
            <color indexed="81"/>
            <rFont val="Tahoma"/>
            <family val="2"/>
          </rPr>
          <t xml:space="preserve">The best 6 subjects must include English Language, Mathematics.
M1/M2 can be included in lieu of Mathematics.
Weighting: English Language, Mathematics, M1/M2
</t>
        </r>
      </text>
    </comment>
    <comment ref="E259" authorId="0" shapeId="0" xr:uid="{00000000-0006-0000-0000-000065000000}">
      <text>
        <r>
          <rPr>
            <sz val="9"/>
            <color indexed="81"/>
            <rFont val="Tahoma"/>
            <family val="2"/>
          </rPr>
          <t xml:space="preserve">The best 6 subjects must include English Language, Mathematics.
M1/M2 can be included.
Weighting: English Language, Mathematics
</t>
        </r>
      </text>
    </comment>
    <comment ref="E260" authorId="0" shapeId="0" xr:uid="{00000000-0006-0000-0000-000066000000}">
      <text>
        <r>
          <rPr>
            <sz val="9"/>
            <color indexed="81"/>
            <rFont val="Tahoma"/>
            <family val="2"/>
          </rPr>
          <t xml:space="preserve">The best 6 subjects must include English Language, Mathematics.
M1/M2 can be included in lieu of Mathematics.
Weighting: English Language, Mathematics, M1/M2
</t>
        </r>
      </text>
    </comment>
    <comment ref="E261" authorId="2" shapeId="0" xr:uid="{00000000-0006-0000-0000-000067000000}">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plus the best three among the remaining subjects.
</t>
        </r>
        <r>
          <rPr>
            <sz val="9"/>
            <color indexed="81"/>
            <rFont val="細明體"/>
            <family val="3"/>
            <charset val="136"/>
          </rPr>
          <t>最高比重</t>
        </r>
        <r>
          <rPr>
            <sz val="9"/>
            <color indexed="81"/>
            <rFont val="Tahoma"/>
            <family val="2"/>
          </rPr>
          <t xml:space="preserve">: English Language
</t>
        </r>
        <r>
          <rPr>
            <sz val="9"/>
            <color indexed="81"/>
            <rFont val="細明體"/>
            <family val="3"/>
            <charset val="136"/>
          </rPr>
          <t>較高比重</t>
        </r>
        <r>
          <rPr>
            <sz val="9"/>
            <color indexed="81"/>
            <rFont val="Tahoma"/>
            <family val="2"/>
          </rPr>
          <t>: Mathematics, M1/M2</t>
        </r>
      </text>
    </comment>
    <comment ref="E262" authorId="0" shapeId="0" xr:uid="{00000000-0006-0000-0000-000068000000}">
      <text>
        <r>
          <rPr>
            <sz val="9"/>
            <color indexed="81"/>
            <rFont val="Tahoma"/>
            <family val="2"/>
          </rPr>
          <t xml:space="preserve">The best 6 subjects must include English Language, Mathematics.
M1/M2 can be included in lieu of Mathematics.
Weighting: English Language, Mathematics, M1/M2
</t>
        </r>
      </text>
    </comment>
    <comment ref="E263" authorId="2" shapeId="0" xr:uid="{00000000-0006-0000-0000-000069000000}">
      <text>
        <r>
          <rPr>
            <sz val="9"/>
            <color indexed="81"/>
            <rFont val="Tahoma"/>
            <family val="2"/>
          </rPr>
          <t xml:space="preserve">The bes t 6 subjects must include a </t>
        </r>
        <r>
          <rPr>
            <b/>
            <sz val="9"/>
            <color indexed="81"/>
            <rFont val="Tahoma"/>
            <family val="2"/>
          </rPr>
          <t>Science elective</t>
        </r>
        <r>
          <rPr>
            <sz val="9"/>
            <color indexed="81"/>
            <rFont val="Tahoma"/>
            <family val="2"/>
          </rPr>
          <t xml:space="preserve"> subject*
Weighting: Science electives*, </t>
        </r>
        <r>
          <rPr>
            <b/>
            <sz val="9"/>
            <color indexed="81"/>
            <rFont val="Tahoma"/>
            <family val="2"/>
          </rPr>
          <t>excluding Integrated Science</t>
        </r>
        <r>
          <rPr>
            <sz val="9"/>
            <color indexed="81"/>
            <rFont val="Tahoma"/>
            <family val="2"/>
          </rPr>
          <t xml:space="preserve">
*:Biology, Chemistry, Physics, Combined Science, Integrated Science.</t>
        </r>
      </text>
    </comment>
    <comment ref="E264" authorId="2" shapeId="0" xr:uid="{00000000-0006-0000-0000-00006A000000}">
      <text>
        <r>
          <rPr>
            <sz val="9"/>
            <color indexed="81"/>
            <rFont val="Tahoma"/>
            <family val="2"/>
          </rPr>
          <t>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sz val="9"/>
            <color indexed="81"/>
            <rFont val="Tahoma"/>
            <family val="2"/>
          </rPr>
          <t xml:space="preserve">: English Language
</t>
        </r>
        <r>
          <rPr>
            <b/>
            <sz val="9"/>
            <color indexed="81"/>
            <rFont val="細明體"/>
            <family val="3"/>
            <charset val="136"/>
          </rPr>
          <t>較高比重</t>
        </r>
        <r>
          <rPr>
            <sz val="9"/>
            <color indexed="81"/>
            <rFont val="Tahoma"/>
            <family val="2"/>
          </rPr>
          <t xml:space="preserve">: Liberal Studies
</t>
        </r>
      </text>
    </comment>
    <comment ref="E265" authorId="2" shapeId="0" xr:uid="{00000000-0006-0000-0000-00006B000000}">
      <text>
        <r>
          <rPr>
            <sz val="9"/>
            <color indexed="81"/>
            <rFont val="Tahoma"/>
            <family val="2"/>
          </rPr>
          <t xml:space="preserve">The best 5 subjects must include </t>
        </r>
        <r>
          <rPr>
            <b/>
            <sz val="9"/>
            <color indexed="81"/>
            <rFont val="Tahoma"/>
            <family val="2"/>
          </rPr>
          <t>Chinese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Tahoma"/>
            <family val="2"/>
          </rPr>
          <t xml:space="preserve">Chinese Language
</t>
        </r>
        <r>
          <rPr>
            <b/>
            <sz val="9"/>
            <color indexed="81"/>
            <rFont val="細明體"/>
            <family val="3"/>
            <charset val="136"/>
          </rPr>
          <t>較高比重</t>
        </r>
        <r>
          <rPr>
            <b/>
            <sz val="9"/>
            <color indexed="81"/>
            <rFont val="Tahoma"/>
            <family val="2"/>
          </rPr>
          <t>:</t>
        </r>
        <r>
          <rPr>
            <sz val="9"/>
            <color indexed="81"/>
            <rFont val="Tahoma"/>
            <family val="2"/>
          </rPr>
          <t xml:space="preserve"> Liberal Studies
</t>
        </r>
      </text>
    </comment>
    <comment ref="E266" authorId="2" shapeId="0" xr:uid="{00000000-0006-0000-0000-00006C000000}">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and </t>
        </r>
        <r>
          <rPr>
            <b/>
            <sz val="9"/>
            <color indexed="81"/>
            <rFont val="Tahoma"/>
            <family val="2"/>
          </rPr>
          <t>Chinese Language</t>
        </r>
        <r>
          <rPr>
            <sz val="9"/>
            <color indexed="81"/>
            <rFont val="Tahoma"/>
            <family val="2"/>
          </rPr>
          <t xml:space="preserve">.
</t>
        </r>
        <r>
          <rPr>
            <sz val="9"/>
            <color indexed="81"/>
            <rFont val="細明體"/>
            <family val="3"/>
            <charset val="136"/>
          </rPr>
          <t>最高比重</t>
        </r>
        <r>
          <rPr>
            <sz val="9"/>
            <color indexed="81"/>
            <rFont val="Tahoma"/>
            <family val="2"/>
          </rPr>
          <t xml:space="preserve">: </t>
        </r>
        <r>
          <rPr>
            <b/>
            <sz val="9"/>
            <color indexed="81"/>
            <rFont val="Tahoma"/>
            <family val="2"/>
          </rPr>
          <t>English Language</t>
        </r>
        <r>
          <rPr>
            <sz val="9"/>
            <color indexed="81"/>
            <rFont val="Tahoma"/>
            <family val="2"/>
          </rPr>
          <t xml:space="preserve">
</t>
        </r>
        <r>
          <rPr>
            <sz val="9"/>
            <color indexed="81"/>
            <rFont val="細明體"/>
            <family val="3"/>
            <charset val="136"/>
          </rPr>
          <t>較高比重</t>
        </r>
        <r>
          <rPr>
            <sz val="9"/>
            <color indexed="81"/>
            <rFont val="Tahoma"/>
            <family val="2"/>
          </rPr>
          <t xml:space="preserve">: </t>
        </r>
        <r>
          <rPr>
            <b/>
            <sz val="9"/>
            <color indexed="81"/>
            <rFont val="Tahoma"/>
            <family val="2"/>
          </rPr>
          <t>Chinese Language</t>
        </r>
        <r>
          <rPr>
            <sz val="9"/>
            <color indexed="81"/>
            <rFont val="Tahoma"/>
            <family val="2"/>
          </rPr>
          <t xml:space="preserve">
</t>
        </r>
      </text>
    </comment>
    <comment ref="E267" authorId="2" shapeId="0" xr:uid="{00000000-0006-0000-0000-00006D000000}">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t>
        </r>
        <r>
          <rPr>
            <b/>
            <sz val="9"/>
            <color indexed="81"/>
            <rFont val="Tahoma"/>
            <family val="2"/>
          </rPr>
          <t>Mathematics</t>
        </r>
        <r>
          <rPr>
            <sz val="9"/>
            <color indexed="81"/>
            <rFont val="Tahoma"/>
            <family val="2"/>
          </rPr>
          <t xml:space="preserve"> and
the </t>
        </r>
        <r>
          <rPr>
            <b/>
            <sz val="9"/>
            <color indexed="81"/>
            <rFont val="Tahoma"/>
            <family val="2"/>
          </rPr>
          <t>best Science elective subject</t>
        </r>
        <r>
          <rPr>
            <sz val="9"/>
            <color indexed="81"/>
            <rFont val="Tahoma"/>
            <family val="2"/>
          </rPr>
          <t xml:space="preserve">*
M1/M2 can be included.
</t>
        </r>
        <r>
          <rPr>
            <b/>
            <sz val="9"/>
            <color indexed="81"/>
            <rFont val="細明體"/>
            <family val="3"/>
            <charset val="136"/>
          </rPr>
          <t>最高比重</t>
        </r>
        <r>
          <rPr>
            <b/>
            <sz val="9"/>
            <color indexed="81"/>
            <rFont val="Tahoma"/>
            <family val="2"/>
          </rPr>
          <t>:</t>
        </r>
        <r>
          <rPr>
            <sz val="9"/>
            <color indexed="81"/>
            <rFont val="Tahoma"/>
            <family val="2"/>
          </rPr>
          <t xml:space="preserve"> 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 Biology, Chemistry, Physics, Combined Science, Integrated Science.
</t>
        </r>
      </text>
    </comment>
    <comment ref="E269" authorId="2" shapeId="0" xr:uid="{00000000-0006-0000-0000-00006E000000}">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E270" authorId="2" shapeId="0" xr:uid="{00000000-0006-0000-0000-00006F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r>
          <rPr>
            <b/>
            <sz val="9"/>
            <color indexed="81"/>
            <rFont val="Tahoma"/>
            <family val="2"/>
          </rPr>
          <t xml:space="preserve">
</t>
        </r>
        <r>
          <rPr>
            <sz val="9"/>
            <color indexed="81"/>
            <rFont val="Tahoma"/>
            <family val="2"/>
          </rPr>
          <t xml:space="preserve">
The best 5 subjects must include </t>
        </r>
        <r>
          <rPr>
            <b/>
            <sz val="9"/>
            <color indexed="81"/>
            <rFont val="Tahoma"/>
            <family val="2"/>
          </rPr>
          <t xml:space="preserve">English Language and Mathematics.
</t>
        </r>
      </text>
    </comment>
    <comment ref="E271" authorId="2" shapeId="0" xr:uid="{00000000-0006-0000-0000-000070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 xml:space="preserve">English Language </t>
        </r>
        <r>
          <rPr>
            <sz val="9"/>
            <color indexed="81"/>
            <rFont val="Tahoma"/>
            <family val="2"/>
          </rPr>
          <t>and</t>
        </r>
        <r>
          <rPr>
            <b/>
            <sz val="9"/>
            <color indexed="81"/>
            <rFont val="Tahoma"/>
            <family val="2"/>
          </rPr>
          <t xml:space="preserve"> Mathematics</t>
        </r>
        <r>
          <rPr>
            <sz val="9"/>
            <color indexed="81"/>
            <rFont val="Tahoma"/>
            <family val="2"/>
          </rPr>
          <t xml:space="preserve">.
</t>
        </r>
      </text>
    </comment>
    <comment ref="E272" authorId="2" shapeId="0" xr:uid="{00000000-0006-0000-0000-000071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Mathematics.</t>
        </r>
        <r>
          <rPr>
            <sz val="9"/>
            <color indexed="81"/>
            <rFont val="Tahoma"/>
            <family val="2"/>
          </rPr>
          <t xml:space="preserve">
</t>
        </r>
      </text>
    </comment>
    <comment ref="E273" authorId="2" shapeId="0" xr:uid="{00000000-0006-0000-0000-000072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English Language</t>
        </r>
        <r>
          <rPr>
            <sz val="9"/>
            <color indexed="81"/>
            <rFont val="Tahoma"/>
            <family val="2"/>
          </rPr>
          <t xml:space="preserve"> and </t>
        </r>
        <r>
          <rPr>
            <b/>
            <sz val="9"/>
            <color indexed="81"/>
            <rFont val="Tahoma"/>
            <family val="2"/>
          </rPr>
          <t>Mathematics</t>
        </r>
        <r>
          <rPr>
            <sz val="9"/>
            <color indexed="81"/>
            <rFont val="Tahoma"/>
            <family val="2"/>
          </rPr>
          <t>.</t>
        </r>
      </text>
    </comment>
    <comment ref="E274" authorId="2" shapeId="0" xr:uid="{00000000-0006-0000-0000-000073000000}">
      <text>
        <r>
          <rPr>
            <sz val="9"/>
            <color indexed="81"/>
            <rFont val="Tahoma"/>
            <family val="2"/>
          </rPr>
          <t xml:space="preserve">The best 6 subjects must include </t>
        </r>
        <r>
          <rPr>
            <b/>
            <sz val="9"/>
            <color indexed="81"/>
            <rFont val="Tahoma"/>
            <family val="2"/>
          </rPr>
          <t>English Language</t>
        </r>
        <r>
          <rPr>
            <sz val="9"/>
            <color indexed="81"/>
            <rFont val="Tahoma"/>
            <family val="2"/>
          </rPr>
          <t xml:space="preserve">
</t>
        </r>
      </text>
    </comment>
    <comment ref="E275" authorId="2" shapeId="0" xr:uid="{00000000-0006-0000-0000-000074000000}">
      <text>
        <r>
          <rPr>
            <sz val="9"/>
            <color indexed="81"/>
            <rFont val="Tahoma"/>
            <family val="2"/>
          </rPr>
          <t xml:space="preserve">The best 6 subjects must include </t>
        </r>
        <r>
          <rPr>
            <b/>
            <sz val="9"/>
            <color indexed="81"/>
            <rFont val="Tahoma"/>
            <family val="2"/>
          </rPr>
          <t>English Language</t>
        </r>
      </text>
    </comment>
    <comment ref="E277" authorId="2" shapeId="0" xr:uid="{00000000-0006-0000-0000-000075000000}">
      <text>
        <r>
          <rPr>
            <sz val="9"/>
            <color indexed="81"/>
            <rFont val="Tahoma"/>
            <family val="2"/>
          </rPr>
          <t xml:space="preserve">The score of </t>
        </r>
        <r>
          <rPr>
            <b/>
            <sz val="9"/>
            <color indexed="81"/>
            <rFont val="Tahoma"/>
            <family val="2"/>
          </rPr>
          <t xml:space="preserve">Mathematics compulsory </t>
        </r>
        <r>
          <rPr>
            <sz val="9"/>
            <color indexed="81"/>
            <rFont val="Tahoma"/>
            <family val="2"/>
          </rPr>
          <t xml:space="preserve">part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[MA+(M1/M2*0.5)]/1.5</t>
        </r>
      </text>
    </comment>
    <comment ref="E278" authorId="2" shapeId="0" xr:uid="{00000000-0006-0000-0000-000076000000}">
      <text>
        <r>
          <rPr>
            <sz val="9"/>
            <color indexed="81"/>
            <rFont val="Tahoma"/>
            <family val="2"/>
          </rPr>
          <t xml:space="preserve">Consideration of both Category A and C subjects, </t>
        </r>
        <r>
          <rPr>
            <b/>
            <sz val="9"/>
            <color indexed="81"/>
            <rFont val="Tahoma"/>
            <family val="2"/>
          </rPr>
          <t xml:space="preserve">excluding M1/M2.
</t>
        </r>
      </text>
    </comment>
    <comment ref="E279" authorId="2" shapeId="0" xr:uid="{00000000-0006-0000-0000-000077000000}">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E280" authorId="2" shapeId="0" xr:uid="{00000000-0006-0000-0000-000078000000}">
      <text>
        <r>
          <rPr>
            <sz val="9"/>
            <color indexed="81"/>
            <rFont val="Tahoma"/>
            <family val="2"/>
          </rPr>
          <t xml:space="preserve">The score of </t>
        </r>
        <r>
          <rPr>
            <b/>
            <sz val="9"/>
            <color indexed="81"/>
            <rFont val="Tahoma"/>
            <family val="2"/>
          </rPr>
          <t>Mathematics compulsory part</t>
        </r>
        <r>
          <rPr>
            <sz val="9"/>
            <color indexed="81"/>
            <rFont val="Tahoma"/>
            <family val="2"/>
          </rPr>
          <t xml:space="preserve">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 xml:space="preserve">
[MA+(M1/M2*0.5)]/1.5</t>
        </r>
        <r>
          <rPr>
            <sz val="9"/>
            <color indexed="81"/>
            <rFont val="Tahoma"/>
            <family val="2"/>
          </rPr>
          <t xml:space="preserve">
</t>
        </r>
      </text>
    </comment>
    <comment ref="E281" authorId="2" shapeId="0" xr:uid="{00000000-0006-0000-0000-000079000000}">
      <text>
        <r>
          <rPr>
            <sz val="9"/>
            <color indexed="81"/>
            <rFont val="Tahoma"/>
            <family val="2"/>
          </rPr>
          <t xml:space="preserve">The score of </t>
        </r>
        <r>
          <rPr>
            <b/>
            <sz val="9"/>
            <color indexed="81"/>
            <rFont val="Tahoma"/>
            <family val="2"/>
          </rPr>
          <t xml:space="preserve">Mathematics compulsory part </t>
        </r>
        <r>
          <rPr>
            <sz val="9"/>
            <color indexed="81"/>
            <rFont val="Tahoma"/>
            <family val="2"/>
          </rPr>
          <t>(MA) or the</t>
        </r>
        <r>
          <rPr>
            <b/>
            <sz val="9"/>
            <color indexed="81"/>
            <rFont val="Tahoma"/>
            <family val="2"/>
          </rPr>
          <t xml:space="preserve"> combined score of
MA and M1/M2</t>
        </r>
        <r>
          <rPr>
            <sz val="9"/>
            <color indexed="81"/>
            <rFont val="Tahoma"/>
            <family val="2"/>
          </rPr>
          <t xml:space="preserve"> calculated as below, whichever is higher, will be taken into
consideration.
</t>
        </r>
        <r>
          <rPr>
            <b/>
            <sz val="9"/>
            <color indexed="81"/>
            <rFont val="Tahoma"/>
            <family val="2"/>
          </rPr>
          <t>[MA+(M1/M2*0.5)]/1.5</t>
        </r>
        <r>
          <rPr>
            <sz val="9"/>
            <color indexed="81"/>
            <rFont val="Tahoma"/>
            <family val="2"/>
          </rPr>
          <t xml:space="preserve">
</t>
        </r>
      </text>
    </comment>
    <comment ref="E282" authorId="0" shapeId="0" xr:uid="{00000000-0006-0000-0000-00007A000000}">
      <text>
        <r>
          <rPr>
            <b/>
            <sz val="9"/>
            <color indexed="81"/>
            <rFont val="Tahoma"/>
            <family val="2"/>
          </rPr>
          <t>2021</t>
        </r>
        <r>
          <rPr>
            <b/>
            <sz val="9"/>
            <color indexed="81"/>
            <rFont val="細明體"/>
            <family val="3"/>
            <charset val="136"/>
          </rPr>
          <t>年新科目</t>
        </r>
        <r>
          <rPr>
            <sz val="9"/>
            <color indexed="81"/>
            <rFont val="Tahoma"/>
            <family val="2"/>
          </rPr>
          <t xml:space="preserve">
The best 6 subjects must include </t>
        </r>
        <r>
          <rPr>
            <b/>
            <sz val="9"/>
            <color indexed="81"/>
            <rFont val="Tahoma"/>
            <family val="2"/>
          </rPr>
          <t>English Language</t>
        </r>
        <r>
          <rPr>
            <sz val="9"/>
            <color indexed="81"/>
            <rFont val="Tahoma"/>
            <family val="2"/>
          </rPr>
          <t xml:space="preserve">, </t>
        </r>
        <r>
          <rPr>
            <b/>
            <sz val="9"/>
            <color indexed="81"/>
            <rFont val="Tahoma"/>
            <family val="2"/>
          </rPr>
          <t>Mathematics</t>
        </r>
        <r>
          <rPr>
            <sz val="9"/>
            <color indexed="81"/>
            <rFont val="Tahoma"/>
            <family val="2"/>
          </rPr>
          <t xml:space="preserve">, </t>
        </r>
        <r>
          <rPr>
            <b/>
            <sz val="9"/>
            <color indexed="81"/>
            <rFont val="Tahoma"/>
            <family val="2"/>
          </rPr>
          <t>M1/M2</t>
        </r>
        <r>
          <rPr>
            <sz val="9"/>
            <color indexed="81"/>
            <rFont val="Tahoma"/>
            <family val="2"/>
          </rPr>
          <t xml:space="preserve">, </t>
        </r>
        <r>
          <rPr>
            <b/>
            <sz val="9"/>
            <color indexed="81"/>
            <rFont val="Tahoma"/>
            <family val="2"/>
          </rPr>
          <t>best two Science elective</t>
        </r>
        <r>
          <rPr>
            <sz val="9"/>
            <color indexed="81"/>
            <rFont val="Tahoma"/>
            <family val="2"/>
          </rPr>
          <t xml:space="preserve"> subjects*, plus the best one among the remaining subjects, </t>
        </r>
        <r>
          <rPr>
            <b/>
            <sz val="9"/>
            <color indexed="81"/>
            <rFont val="Tahoma"/>
            <family val="2"/>
          </rPr>
          <t xml:space="preserve">excluding Integrated Science.
</t>
        </r>
        <r>
          <rPr>
            <b/>
            <sz val="9"/>
            <color indexed="81"/>
            <rFont val="細明體"/>
            <family val="3"/>
            <charset val="136"/>
          </rPr>
          <t>未公佈詳細科目比重</t>
        </r>
        <r>
          <rPr>
            <b/>
            <sz val="9"/>
            <color indexed="81"/>
            <rFont val="Tahoma"/>
            <family val="2"/>
          </rPr>
          <t xml:space="preserve">
</t>
        </r>
        <r>
          <rPr>
            <sz val="9"/>
            <color indexed="81"/>
            <rFont val="Tahoma"/>
            <family val="2"/>
          </rPr>
          <t>*: Biology, Chemistry, Physics, Combined Science.</t>
        </r>
      </text>
    </comment>
    <comment ref="E283" authorId="2" shapeId="0" xr:uid="{00000000-0006-0000-0000-00007B000000}">
      <text>
        <r>
          <rPr>
            <sz val="9"/>
            <color indexed="81"/>
            <rFont val="Tahoma"/>
            <family val="2"/>
          </rPr>
          <t xml:space="preserve">The best 6 subjects must include </t>
        </r>
        <r>
          <rPr>
            <b/>
            <sz val="9"/>
            <color indexed="81"/>
            <rFont val="Tahoma"/>
            <family val="2"/>
          </rPr>
          <t xml:space="preserve">English Language, Mathematics, M1/M2.
</t>
        </r>
        <r>
          <rPr>
            <sz val="9"/>
            <color indexed="81"/>
            <rFont val="Tahoma"/>
            <family val="2"/>
          </rPr>
          <t xml:space="preserve">
</t>
        </r>
        <r>
          <rPr>
            <b/>
            <sz val="9"/>
            <color indexed="81"/>
            <rFont val="細明體"/>
            <family val="3"/>
            <charset val="136"/>
          </rPr>
          <t>較高比重</t>
        </r>
        <r>
          <rPr>
            <b/>
            <sz val="9"/>
            <color indexed="81"/>
            <rFont val="Tahoma"/>
            <family val="2"/>
          </rPr>
          <t>:</t>
        </r>
        <r>
          <rPr>
            <sz val="9"/>
            <color indexed="81"/>
            <rFont val="Tahoma"/>
            <family val="2"/>
          </rPr>
          <t xml:space="preserve"> English Language, Mathematics, M1/M2
</t>
        </r>
      </text>
    </comment>
    <comment ref="E284" authorId="2" shapeId="0" xr:uid="{00000000-0006-0000-0000-00007C000000}">
      <text>
        <r>
          <rPr>
            <sz val="9"/>
            <color indexed="81"/>
            <rFont val="Tahoma"/>
            <family val="2"/>
          </rPr>
          <t xml:space="preserve">The best 5 subjects must include </t>
        </r>
        <r>
          <rPr>
            <b/>
            <sz val="9"/>
            <color indexed="81"/>
            <rFont val="Tahoma"/>
            <family val="2"/>
          </rPr>
          <t>English Language, Mathematics</t>
        </r>
        <r>
          <rPr>
            <sz val="9"/>
            <color indexed="81"/>
            <rFont val="Tahoma"/>
            <family val="2"/>
          </rPr>
          <t xml:space="preserve"> and the
</t>
        </r>
        <r>
          <rPr>
            <b/>
            <sz val="9"/>
            <color indexed="81"/>
            <rFont val="Tahoma"/>
            <family val="2"/>
          </rPr>
          <t>best Science elective</t>
        </r>
        <r>
          <rPr>
            <sz val="9"/>
            <color indexed="81"/>
            <rFont val="Tahoma"/>
            <family val="2"/>
          </rPr>
          <t xml:space="preserve"> subject*.
M1/M2 can be included.
</t>
        </r>
        <r>
          <rPr>
            <b/>
            <sz val="9"/>
            <color indexed="81"/>
            <rFont val="細明體"/>
            <family val="3"/>
            <charset val="136"/>
          </rPr>
          <t>最高比重</t>
        </r>
        <r>
          <rPr>
            <b/>
            <sz val="9"/>
            <color indexed="81"/>
            <rFont val="Tahoma"/>
            <family val="2"/>
          </rPr>
          <t xml:space="preserve">: </t>
        </r>
        <r>
          <rPr>
            <sz val="9"/>
            <color indexed="81"/>
            <rFont val="Tahoma"/>
            <family val="2"/>
          </rPr>
          <t xml:space="preserve">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t>
        </r>
      </text>
    </comment>
    <comment ref="E285" authorId="2" shapeId="0" xr:uid="{00000000-0006-0000-0000-00007D000000}">
      <text>
        <r>
          <rPr>
            <sz val="9"/>
            <color indexed="81"/>
            <rFont val="Tahoma"/>
            <family val="2"/>
          </rPr>
          <t xml:space="preserve">Consideration of both Category A and C subjects, </t>
        </r>
        <r>
          <rPr>
            <b/>
            <sz val="9"/>
            <color indexed="81"/>
            <rFont val="Tahoma"/>
            <family val="2"/>
          </rPr>
          <t>excluding M1/M2</t>
        </r>
      </text>
    </comment>
    <comment ref="E286" authorId="2" shapeId="0" xr:uid="{00000000-0006-0000-0000-00007E000000}">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E288" authorId="2" shapeId="0" xr:uid="{00000000-0006-0000-0000-00007F000000}">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E289" authorId="2" shapeId="0" xr:uid="{00000000-0006-0000-0000-000080000000}">
      <text>
        <r>
          <rPr>
            <sz val="9"/>
            <color indexed="81"/>
            <rFont val="Tahoma"/>
            <family val="2"/>
          </rPr>
          <t xml:space="preserve">Consideration of both Category A and C subjects, </t>
        </r>
        <r>
          <rPr>
            <b/>
            <sz val="9"/>
            <color indexed="81"/>
            <rFont val="Tahoma"/>
            <family val="2"/>
          </rPr>
          <t>excluding M1/M2</t>
        </r>
      </text>
    </comment>
    <comment ref="E290" authorId="2" shapeId="0" xr:uid="{00000000-0006-0000-0000-000081000000}">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t>
        </r>
        <r>
          <rPr>
            <b/>
            <sz val="9"/>
            <color indexed="81"/>
            <rFont val="細明體"/>
            <family val="3"/>
            <charset val="136"/>
          </rPr>
          <t>最高比重</t>
        </r>
        <r>
          <rPr>
            <b/>
            <sz val="9"/>
            <color indexed="81"/>
            <rFont val="Tahoma"/>
            <family val="2"/>
          </rPr>
          <t>:</t>
        </r>
        <r>
          <rPr>
            <sz val="9"/>
            <color indexed="81"/>
            <rFont val="Tahoma"/>
            <family val="2"/>
          </rPr>
          <t xml:space="preserve"> English Language, Mathematics, M1/M2
</t>
        </r>
        <r>
          <rPr>
            <b/>
            <sz val="9"/>
            <color indexed="81"/>
            <rFont val="細明體"/>
            <family val="3"/>
            <charset val="136"/>
          </rPr>
          <t>較高比重</t>
        </r>
        <r>
          <rPr>
            <b/>
            <sz val="9"/>
            <color indexed="81"/>
            <rFont val="Tahoma"/>
            <family val="2"/>
          </rPr>
          <t>:</t>
        </r>
        <r>
          <rPr>
            <sz val="9"/>
            <color indexed="81"/>
            <rFont val="Tahoma"/>
            <family val="2"/>
          </rPr>
          <t xml:space="preserve"> Science Electives
</t>
        </r>
      </text>
    </comment>
    <comment ref="E291" authorId="0" shapeId="0" xr:uid="{00000000-0006-0000-0000-000082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text>
    </comment>
    <comment ref="E292" authorId="2" shapeId="0" xr:uid="{00000000-0006-0000-0000-000083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6 subjects must include </t>
        </r>
        <r>
          <rPr>
            <b/>
            <sz val="9"/>
            <color indexed="81"/>
            <rFont val="Tahoma"/>
            <family val="2"/>
          </rPr>
          <t>English Language, Mathematics.</t>
        </r>
        <r>
          <rPr>
            <sz val="9"/>
            <color indexed="81"/>
            <rFont val="Tahoma"/>
            <family val="2"/>
          </rPr>
          <t xml:space="preserve">
</t>
        </r>
      </text>
    </comment>
    <comment ref="E293" authorId="2" shapeId="0" xr:uid="{00000000-0006-0000-0000-000084000000}">
      <text>
        <r>
          <rPr>
            <sz val="9"/>
            <color indexed="81"/>
            <rFont val="Tahoma"/>
            <family val="2"/>
          </rPr>
          <t xml:space="preserve">Consideration of both Category A and C subjects, </t>
        </r>
        <r>
          <rPr>
            <b/>
            <sz val="9"/>
            <color indexed="81"/>
            <rFont val="Tahoma"/>
            <family val="2"/>
          </rPr>
          <t>excluding M1/M2.</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CHAN, Koon Ho</author>
    <author>Michael Chan</author>
    <author>SHEK, Kam Ming</author>
    <author>Michael</author>
  </authors>
  <commentList>
    <comment ref="C27" authorId="0" shapeId="0" xr:uid="{00000000-0006-0000-0400-000001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text>
    </comment>
    <comment ref="C28" authorId="0" shapeId="0" xr:uid="{00000000-0006-0000-0400-000002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text>
    </comment>
    <comment ref="C29" authorId="1" shapeId="0" xr:uid="{00000000-0006-0000-0400-000003000000}">
      <text>
        <r>
          <rPr>
            <sz val="9"/>
            <color indexed="81"/>
            <rFont val="Tahoma"/>
            <family val="2"/>
          </rPr>
          <t xml:space="preserve">x1.5: </t>
        </r>
        <r>
          <rPr>
            <sz val="9"/>
            <color indexed="81"/>
            <rFont val="細明體"/>
            <family val="3"/>
            <charset val="136"/>
          </rPr>
          <t>英文</t>
        </r>
        <r>
          <rPr>
            <b/>
            <sz val="9"/>
            <color indexed="81"/>
            <rFont val="Tahoma"/>
            <family val="2"/>
          </rPr>
          <t xml:space="preserve">
</t>
        </r>
      </text>
    </comment>
    <comment ref="C39" authorId="1" shapeId="0" xr:uid="{00000000-0006-0000-0400-000004000000}">
      <text>
        <r>
          <rPr>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40" authorId="1" shapeId="0" xr:uid="{00000000-0006-0000-0400-000005000000}">
      <text>
        <r>
          <rPr>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41" authorId="1" shapeId="0" xr:uid="{00000000-0006-0000-0400-000006000000}">
      <text>
        <r>
          <rPr>
            <sz val="9"/>
            <color indexed="81"/>
            <rFont val="Tahoma"/>
            <family val="2"/>
          </rPr>
          <t xml:space="preserve">x2: </t>
        </r>
        <r>
          <rPr>
            <sz val="9"/>
            <color indexed="81"/>
            <rFont val="細明體"/>
            <family val="3"/>
            <charset val="136"/>
          </rPr>
          <t xml:space="preserve">英文
</t>
        </r>
        <r>
          <rPr>
            <sz val="9"/>
            <color indexed="81"/>
            <rFont val="Tahoma"/>
            <family val="2"/>
          </rPr>
          <t xml:space="preserve">x1.5: </t>
        </r>
        <r>
          <rPr>
            <sz val="9"/>
            <color indexed="81"/>
            <rFont val="細明體"/>
            <family val="3"/>
            <charset val="136"/>
          </rPr>
          <t>數學</t>
        </r>
        <r>
          <rPr>
            <b/>
            <sz val="9"/>
            <color indexed="81"/>
            <rFont val="細明體"/>
            <family val="3"/>
            <charset val="136"/>
          </rPr>
          <t xml:space="preserve">
</t>
        </r>
      </text>
    </comment>
    <comment ref="C42" authorId="1" shapeId="0" xr:uid="{00000000-0006-0000-0400-000007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
(</t>
        </r>
        <r>
          <rPr>
            <b/>
            <sz val="9"/>
            <color indexed="81"/>
            <rFont val="細明體"/>
            <family val="3"/>
            <charset val="136"/>
          </rPr>
          <t>無比重</t>
        </r>
        <r>
          <rPr>
            <b/>
            <sz val="9"/>
            <color indexed="81"/>
            <rFont val="Tahoma"/>
            <family val="2"/>
          </rPr>
          <t>)</t>
        </r>
        <r>
          <rPr>
            <b/>
            <sz val="9"/>
            <color indexed="81"/>
            <rFont val="細明體"/>
            <family val="3"/>
            <charset val="136"/>
          </rPr>
          <t>收生
此處仍以</t>
        </r>
        <r>
          <rPr>
            <b/>
            <sz val="9"/>
            <color indexed="81"/>
            <rFont val="Tahoma"/>
            <family val="2"/>
          </rPr>
          <t>4C2X (</t>
        </r>
        <r>
          <rPr>
            <b/>
            <sz val="9"/>
            <color indexed="81"/>
            <rFont val="細明體"/>
            <family val="3"/>
            <charset val="136"/>
          </rPr>
          <t>原有比重</t>
        </r>
        <r>
          <rPr>
            <b/>
            <sz val="9"/>
            <color indexed="81"/>
            <rFont val="Tahoma"/>
            <family val="2"/>
          </rPr>
          <t xml:space="preserve">) </t>
        </r>
        <r>
          <rPr>
            <b/>
            <sz val="9"/>
            <color indexed="81"/>
            <rFont val="細明體"/>
            <family val="3"/>
            <charset val="136"/>
          </rPr>
          <t>作估算，請注意</t>
        </r>
        <r>
          <rPr>
            <sz val="9"/>
            <color indexed="81"/>
            <rFont val="Tahoma"/>
            <family val="2"/>
          </rPr>
          <t xml:space="preserve">
x2: </t>
        </r>
        <r>
          <rPr>
            <sz val="9"/>
            <color indexed="81"/>
            <rFont val="細明體"/>
            <family val="3"/>
            <charset val="136"/>
          </rPr>
          <t>英文</t>
        </r>
      </text>
    </comment>
    <comment ref="C43" authorId="1" shapeId="0" xr:uid="{00000000-0006-0000-0400-000008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包含英文、數學、最佳理科</t>
        </r>
        <r>
          <rPr>
            <b/>
            <sz val="9"/>
            <color indexed="81"/>
            <rFont val="Tahoma"/>
            <family val="2"/>
          </rPr>
          <t>)</t>
        </r>
        <r>
          <rPr>
            <b/>
            <sz val="9"/>
            <color indexed="81"/>
            <rFont val="細明體"/>
            <family val="3"/>
            <charset val="136"/>
          </rPr>
          <t xml:space="preserve">收生
</t>
        </r>
        <r>
          <rPr>
            <sz val="9"/>
            <color indexed="81"/>
            <rFont val="Tahoma"/>
            <family val="2"/>
          </rPr>
          <t xml:space="preserve">(x2.5: </t>
        </r>
        <r>
          <rPr>
            <sz val="9"/>
            <color indexed="81"/>
            <rFont val="細明體"/>
            <family val="3"/>
            <charset val="136"/>
          </rPr>
          <t>數學、第一理科</t>
        </r>
        <r>
          <rPr>
            <sz val="9"/>
            <color indexed="81"/>
            <rFont val="Tahoma"/>
            <family val="2"/>
          </rPr>
          <t xml:space="preserve"> (</t>
        </r>
        <r>
          <rPr>
            <sz val="9"/>
            <color indexed="81"/>
            <rFont val="細明體"/>
            <family val="3"/>
            <charset val="136"/>
          </rPr>
          <t>生物、化學、物理、綜合科學、組合科學</t>
        </r>
        <r>
          <rPr>
            <sz val="9"/>
            <color indexed="81"/>
            <rFont val="Tahoma"/>
            <family val="2"/>
          </rPr>
          <t xml:space="preserve">)
x1.5: </t>
        </r>
        <r>
          <rPr>
            <sz val="9"/>
            <color indexed="81"/>
            <rFont val="細明體"/>
            <family val="3"/>
            <charset val="136"/>
          </rPr>
          <t>第二理科、地理、</t>
        </r>
        <r>
          <rPr>
            <sz val="9"/>
            <color indexed="81"/>
            <rFont val="Tahoma"/>
            <family val="2"/>
          </rPr>
          <t>M1/2)</t>
        </r>
        <r>
          <rPr>
            <b/>
            <sz val="9"/>
            <color indexed="81"/>
            <rFont val="Tahoma"/>
            <family val="2"/>
          </rPr>
          <t xml:space="preserve">
</t>
        </r>
        <r>
          <rPr>
            <b/>
            <sz val="9"/>
            <color indexed="81"/>
            <rFont val="細明體"/>
            <family val="3"/>
            <charset val="136"/>
          </rPr>
          <t xml:space="preserve">
此處仍以</t>
        </r>
        <r>
          <rPr>
            <b/>
            <sz val="9"/>
            <color indexed="81"/>
            <rFont val="Tahoma"/>
            <family val="2"/>
          </rPr>
          <t>4C2X(</t>
        </r>
        <r>
          <rPr>
            <b/>
            <sz val="9"/>
            <color indexed="81"/>
            <rFont val="細明體"/>
            <family val="3"/>
            <charset val="136"/>
          </rPr>
          <t>原本比重</t>
        </r>
        <r>
          <rPr>
            <b/>
            <sz val="9"/>
            <color indexed="81"/>
            <rFont val="Tahoma"/>
            <family val="2"/>
          </rPr>
          <t>)</t>
        </r>
        <r>
          <rPr>
            <b/>
            <sz val="9"/>
            <color indexed="81"/>
            <rFont val="細明體"/>
            <family val="3"/>
            <charset val="136"/>
          </rPr>
          <t xml:space="preserve">作估算，請注意
</t>
        </r>
        <r>
          <rPr>
            <sz val="9"/>
            <color indexed="81"/>
            <rFont val="Tahoma"/>
            <family val="2"/>
          </rPr>
          <t xml:space="preserve">x2.5: </t>
        </r>
        <r>
          <rPr>
            <sz val="9"/>
            <color indexed="81"/>
            <rFont val="細明體"/>
            <family val="3"/>
            <charset val="136"/>
          </rPr>
          <t>數學、物理、化物、組合科學</t>
        </r>
        <r>
          <rPr>
            <sz val="9"/>
            <color indexed="81"/>
            <rFont val="Tahoma"/>
            <family val="2"/>
          </rPr>
          <t>(</t>
        </r>
        <r>
          <rPr>
            <sz val="9"/>
            <color indexed="81"/>
            <rFont val="細明體"/>
            <family val="3"/>
            <charset val="136"/>
          </rPr>
          <t>化學及物理</t>
        </r>
        <r>
          <rPr>
            <sz val="9"/>
            <color indexed="81"/>
            <rFont val="Tahoma"/>
            <family val="2"/>
          </rPr>
          <t xml:space="preserve">)
x2: </t>
        </r>
        <r>
          <rPr>
            <sz val="9"/>
            <color indexed="81"/>
            <rFont val="細明體"/>
            <family val="3"/>
            <charset val="136"/>
          </rPr>
          <t>英文</t>
        </r>
        <r>
          <rPr>
            <b/>
            <sz val="9"/>
            <color indexed="81"/>
            <rFont val="細明體"/>
            <family val="3"/>
            <charset val="136"/>
          </rPr>
          <t xml:space="preserve">
</t>
        </r>
      </text>
    </comment>
    <comment ref="C44" authorId="0" shapeId="0" xr:uid="{00000000-0006-0000-0400-000009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text>
    </comment>
    <comment ref="C45" authorId="1" shapeId="0" xr:uid="{00000000-0006-0000-0400-00000A000000}">
      <text>
        <r>
          <rPr>
            <sz val="9"/>
            <color indexed="81"/>
            <rFont val="Tahoma"/>
            <family val="2"/>
          </rPr>
          <t xml:space="preserve">x2: </t>
        </r>
        <r>
          <rPr>
            <sz val="9"/>
            <color indexed="81"/>
            <rFont val="細明體"/>
            <family val="3"/>
            <charset val="136"/>
          </rPr>
          <t>英文、數學</t>
        </r>
        <r>
          <rPr>
            <sz val="9"/>
            <color indexed="81"/>
            <rFont val="Tahoma"/>
            <family val="2"/>
          </rPr>
          <t xml:space="preserve">
</t>
        </r>
      </text>
    </comment>
    <comment ref="C46" authorId="1" shapeId="0" xr:uid="{00000000-0006-0000-0400-00000B000000}">
      <text>
        <r>
          <rPr>
            <sz val="9"/>
            <color indexed="81"/>
            <rFont val="Tahoma"/>
            <family val="2"/>
          </rPr>
          <t xml:space="preserve">x2: </t>
        </r>
        <r>
          <rPr>
            <sz val="9"/>
            <color indexed="81"/>
            <rFont val="細明體"/>
            <family val="3"/>
            <charset val="136"/>
          </rPr>
          <t>英文、數學</t>
        </r>
        <r>
          <rPr>
            <sz val="9"/>
            <color indexed="81"/>
            <rFont val="Tahoma"/>
            <family val="2"/>
          </rPr>
          <t xml:space="preserve">
</t>
        </r>
      </text>
    </comment>
    <comment ref="C47" authorId="1" shapeId="0" xr:uid="{00000000-0006-0000-0400-00000C000000}">
      <text>
        <r>
          <rPr>
            <sz val="9"/>
            <color indexed="81"/>
            <rFont val="Tahoma"/>
            <family val="2"/>
          </rPr>
          <t xml:space="preserve">x2: </t>
        </r>
        <r>
          <rPr>
            <sz val="9"/>
            <color indexed="81"/>
            <rFont val="細明體"/>
            <family val="3"/>
            <charset val="136"/>
          </rPr>
          <t>英文、數學</t>
        </r>
        <r>
          <rPr>
            <sz val="9"/>
            <color indexed="81"/>
            <rFont val="Tahoma"/>
            <family val="2"/>
          </rPr>
          <t xml:space="preserve">
</t>
        </r>
      </text>
    </comment>
    <comment ref="C48" authorId="1" shapeId="0" xr:uid="{00000000-0006-0000-0400-00000D000000}">
      <text>
        <r>
          <rPr>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49" authorId="1" shapeId="0" xr:uid="{00000000-0006-0000-0400-00000E000000}">
      <text>
        <r>
          <rPr>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50" authorId="1" shapeId="0" xr:uid="{00000000-0006-0000-0400-00000F000000}">
      <text>
        <r>
          <rPr>
            <b/>
            <sz val="9"/>
            <color indexed="81"/>
            <rFont val="Tahoma"/>
            <family val="2"/>
          </rPr>
          <t>2021年將以Best 5收生
此處仍以4C2X作估算，請注意</t>
        </r>
      </text>
    </comment>
    <comment ref="C51" authorId="1" shapeId="0" xr:uid="{00000000-0006-0000-0400-000010000000}">
      <text>
        <r>
          <rPr>
            <sz val="9"/>
            <color indexed="81"/>
            <rFont val="Tahoma"/>
            <family val="2"/>
          </rPr>
          <t xml:space="preserve">x2: </t>
        </r>
        <r>
          <rPr>
            <sz val="9"/>
            <color indexed="81"/>
            <rFont val="細明體"/>
            <family val="3"/>
            <charset val="136"/>
          </rPr>
          <t xml:space="preserve">中文，英文
</t>
        </r>
        <r>
          <rPr>
            <sz val="9"/>
            <color indexed="81"/>
            <rFont val="Tahoma"/>
            <family val="2"/>
          </rPr>
          <t xml:space="preserve">x1.5: </t>
        </r>
        <r>
          <rPr>
            <sz val="9"/>
            <color indexed="81"/>
            <rFont val="細明體"/>
            <family val="3"/>
            <charset val="136"/>
          </rPr>
          <t>通識</t>
        </r>
        <r>
          <rPr>
            <sz val="9"/>
            <color indexed="81"/>
            <rFont val="Tahoma"/>
            <family val="2"/>
          </rPr>
          <t>/</t>
        </r>
        <r>
          <rPr>
            <sz val="9"/>
            <color indexed="81"/>
            <rFont val="細明體"/>
            <family val="3"/>
            <charset val="136"/>
          </rPr>
          <t>中國歷史</t>
        </r>
        <r>
          <rPr>
            <sz val="9"/>
            <color indexed="81"/>
            <rFont val="Tahoma"/>
            <family val="2"/>
          </rPr>
          <t>/</t>
        </r>
        <r>
          <rPr>
            <sz val="9"/>
            <color indexed="81"/>
            <rFont val="細明體"/>
            <family val="3"/>
            <charset val="136"/>
          </rPr>
          <t>中國文學</t>
        </r>
        <r>
          <rPr>
            <sz val="9"/>
            <color indexed="81"/>
            <rFont val="Tahoma"/>
            <family val="2"/>
          </rPr>
          <t>/</t>
        </r>
        <r>
          <rPr>
            <sz val="9"/>
            <color indexed="81"/>
            <rFont val="細明體"/>
            <family val="3"/>
            <charset val="136"/>
          </rPr>
          <t>歷史</t>
        </r>
        <r>
          <rPr>
            <sz val="9"/>
            <color indexed="81"/>
            <rFont val="Tahoma"/>
            <family val="2"/>
          </rPr>
          <t>/</t>
        </r>
        <r>
          <rPr>
            <sz val="9"/>
            <color indexed="81"/>
            <rFont val="細明體"/>
            <family val="3"/>
            <charset val="136"/>
          </rPr>
          <t>視覺藝術</t>
        </r>
      </text>
    </comment>
    <comment ref="C52" authorId="1" shapeId="0" xr:uid="{00000000-0006-0000-0400-000011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x2.5: </t>
        </r>
        <r>
          <rPr>
            <sz val="9"/>
            <color indexed="81"/>
            <rFont val="細明體"/>
            <family val="3"/>
            <charset val="136"/>
          </rPr>
          <t xml:space="preserve">英文
</t>
        </r>
        <r>
          <rPr>
            <sz val="9"/>
            <color indexed="81"/>
            <rFont val="Tahoma"/>
            <family val="2"/>
          </rPr>
          <t xml:space="preserve">x1.5: </t>
        </r>
        <r>
          <rPr>
            <sz val="9"/>
            <color indexed="81"/>
            <rFont val="細明體"/>
            <family val="3"/>
            <charset val="136"/>
          </rPr>
          <t>英國文學、通識</t>
        </r>
        <r>
          <rPr>
            <sz val="9"/>
            <color indexed="81"/>
            <rFont val="Tahoma"/>
            <family val="2"/>
          </rPr>
          <t xml:space="preserve">
</t>
        </r>
      </text>
    </comment>
    <comment ref="C53" authorId="1" shapeId="0" xr:uid="{00000000-0006-0000-0400-000012000000}">
      <text>
        <r>
          <rPr>
            <sz val="9"/>
            <color indexed="81"/>
            <rFont val="Tahoma"/>
            <family val="2"/>
          </rPr>
          <t xml:space="preserve">x2: </t>
        </r>
        <r>
          <rPr>
            <sz val="9"/>
            <color indexed="81"/>
            <rFont val="細明體"/>
            <family val="3"/>
            <charset val="136"/>
          </rPr>
          <t xml:space="preserve">英文
</t>
        </r>
        <r>
          <rPr>
            <sz val="9"/>
            <color indexed="81"/>
            <rFont val="Tahoma"/>
            <family val="2"/>
          </rPr>
          <t xml:space="preserve">x1.5: </t>
        </r>
        <r>
          <rPr>
            <sz val="9"/>
            <color indexed="81"/>
            <rFont val="細明體"/>
            <family val="3"/>
            <charset val="136"/>
          </rPr>
          <t>中文</t>
        </r>
      </text>
    </comment>
    <comment ref="C54" authorId="1" shapeId="0" xr:uid="{00000000-0006-0000-0400-000013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x1.25: </t>
        </r>
        <r>
          <rPr>
            <sz val="9"/>
            <color indexed="81"/>
            <rFont val="細明體"/>
            <family val="3"/>
            <charset val="136"/>
          </rPr>
          <t>中文、英文</t>
        </r>
        <r>
          <rPr>
            <sz val="9"/>
            <color indexed="81"/>
            <rFont val="Tahoma"/>
            <family val="2"/>
          </rPr>
          <t xml:space="preserve">
</t>
        </r>
      </text>
    </comment>
    <comment ref="C55" authorId="1" shapeId="0" xr:uid="{00000000-0006-0000-0400-000014000000}">
      <text>
        <r>
          <rPr>
            <b/>
            <sz val="9"/>
            <color indexed="81"/>
            <rFont val="Tahoma"/>
            <family val="2"/>
          </rPr>
          <t>2021</t>
        </r>
        <r>
          <rPr>
            <b/>
            <sz val="9"/>
            <color indexed="81"/>
            <rFont val="細明體"/>
            <family val="3"/>
            <charset val="136"/>
          </rPr>
          <t>年將以</t>
        </r>
        <r>
          <rPr>
            <b/>
            <sz val="9"/>
            <color indexed="81"/>
            <rFont val="Tahoma"/>
            <family val="2"/>
          </rPr>
          <t>4C1X</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 </t>
        </r>
        <r>
          <rPr>
            <sz val="9"/>
            <color indexed="81"/>
            <rFont val="細明體"/>
            <family val="3"/>
            <charset val="136"/>
          </rPr>
          <t xml:space="preserve">英文
</t>
        </r>
        <r>
          <rPr>
            <sz val="9"/>
            <color indexed="81"/>
            <rFont val="Tahoma"/>
            <family val="2"/>
          </rPr>
          <t xml:space="preserve">x1.5: </t>
        </r>
        <r>
          <rPr>
            <sz val="9"/>
            <color indexed="81"/>
            <rFont val="細明體"/>
            <family val="3"/>
            <charset val="136"/>
          </rPr>
          <t>通識</t>
        </r>
        <r>
          <rPr>
            <sz val="9"/>
            <color indexed="81"/>
            <rFont val="Tahoma"/>
            <family val="2"/>
          </rPr>
          <t xml:space="preserve">
</t>
        </r>
      </text>
    </comment>
    <comment ref="C56" authorId="1" shapeId="0" xr:uid="{00000000-0006-0000-0400-000015000000}">
      <text>
        <r>
          <rPr>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57" authorId="1" shapeId="0" xr:uid="{00000000-0006-0000-0400-000016000000}">
      <text>
        <r>
          <rPr>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58" authorId="1" shapeId="0" xr:uid="{00000000-0006-0000-0400-000017000000}">
      <text>
        <r>
          <rPr>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59" authorId="1" shapeId="0" xr:uid="{00000000-0006-0000-0400-000018000000}">
      <text>
        <r>
          <rPr>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60" authorId="0" shapeId="0" xr:uid="{00000000-0006-0000-0400-000019000000}">
      <text>
        <r>
          <rPr>
            <b/>
            <sz val="9"/>
            <color indexed="81"/>
            <rFont val="Tahoma"/>
            <family val="2"/>
          </rPr>
          <t>2021</t>
        </r>
        <r>
          <rPr>
            <b/>
            <sz val="9"/>
            <color indexed="81"/>
            <rFont val="細明體"/>
            <family val="3"/>
            <charset val="136"/>
          </rPr>
          <t xml:space="preserve">年新科目
</t>
        </r>
        <r>
          <rPr>
            <sz val="9"/>
            <color indexed="81"/>
            <rFont val="Tahoma"/>
            <family val="2"/>
          </rPr>
          <t xml:space="preserve">x2.5: </t>
        </r>
        <r>
          <rPr>
            <sz val="9"/>
            <color indexed="81"/>
            <rFont val="細明體"/>
            <family val="3"/>
            <charset val="136"/>
          </rPr>
          <t>數學、物理、生物、化學、經濟、</t>
        </r>
        <r>
          <rPr>
            <sz val="9"/>
            <color indexed="81"/>
            <rFont val="Tahoma"/>
            <family val="2"/>
          </rPr>
          <t xml:space="preserve">M1/2
x2: </t>
        </r>
        <r>
          <rPr>
            <sz val="9"/>
            <color indexed="81"/>
            <rFont val="細明體"/>
            <family val="3"/>
            <charset val="136"/>
          </rPr>
          <t>英文</t>
        </r>
        <r>
          <rPr>
            <b/>
            <sz val="9"/>
            <color indexed="81"/>
            <rFont val="細明體"/>
            <family val="3"/>
            <charset val="136"/>
          </rPr>
          <t xml:space="preserve">
</t>
        </r>
      </text>
    </comment>
    <comment ref="C61" authorId="0" shapeId="0" xr:uid="{00000000-0006-0000-0400-00001A000000}">
      <text>
        <r>
          <rPr>
            <b/>
            <sz val="9"/>
            <color indexed="81"/>
            <rFont val="Tahoma"/>
            <family val="2"/>
          </rPr>
          <t>2021</t>
        </r>
        <r>
          <rPr>
            <b/>
            <sz val="9"/>
            <color indexed="81"/>
            <rFont val="細明體"/>
            <family val="3"/>
            <charset val="136"/>
          </rPr>
          <t xml:space="preserve">年新科目
</t>
        </r>
        <r>
          <rPr>
            <sz val="9"/>
            <color indexed="81"/>
            <rFont val="Tahoma"/>
            <family val="2"/>
          </rPr>
          <t xml:space="preserve">x2.5: </t>
        </r>
        <r>
          <rPr>
            <sz val="9"/>
            <color indexed="81"/>
            <rFont val="細明體"/>
            <family val="3"/>
            <charset val="136"/>
          </rPr>
          <t>英文、數學、物理、</t>
        </r>
        <r>
          <rPr>
            <sz val="9"/>
            <color indexed="81"/>
            <rFont val="Tahoma"/>
            <family val="2"/>
          </rPr>
          <t>M1/2</t>
        </r>
        <r>
          <rPr>
            <sz val="9"/>
            <color indexed="81"/>
            <rFont val="細明體"/>
            <family val="3"/>
            <charset val="136"/>
          </rPr>
          <t>、組合科學</t>
        </r>
        <r>
          <rPr>
            <sz val="9"/>
            <color indexed="81"/>
            <rFont val="Tahoma"/>
            <family val="2"/>
          </rPr>
          <t>(</t>
        </r>
        <r>
          <rPr>
            <sz val="9"/>
            <color indexed="81"/>
            <rFont val="細明體"/>
            <family val="3"/>
            <charset val="136"/>
          </rPr>
          <t>含物理</t>
        </r>
        <r>
          <rPr>
            <sz val="9"/>
            <color indexed="81"/>
            <rFont val="Tahoma"/>
            <family val="2"/>
          </rPr>
          <t>)</t>
        </r>
        <r>
          <rPr>
            <sz val="9"/>
            <color indexed="81"/>
            <rFont val="細明體"/>
            <family val="3"/>
            <charset val="136"/>
          </rPr>
          <t xml:space="preserve">、綜合科學
</t>
        </r>
        <r>
          <rPr>
            <sz val="9"/>
            <color indexed="81"/>
            <rFont val="Tahoma"/>
            <family val="2"/>
          </rPr>
          <t xml:space="preserve">x1.5: </t>
        </r>
        <r>
          <rPr>
            <sz val="9"/>
            <color indexed="81"/>
            <rFont val="細明體"/>
            <family val="3"/>
            <charset val="136"/>
          </rPr>
          <t xml:space="preserve">中文
</t>
        </r>
        <r>
          <rPr>
            <b/>
            <sz val="9"/>
            <color indexed="81"/>
            <rFont val="細明體"/>
            <family val="3"/>
            <charset val="136"/>
          </rPr>
          <t xml:space="preserve">
</t>
        </r>
      </text>
    </comment>
    <comment ref="C62" authorId="1" shapeId="0" xr:uid="{00000000-0006-0000-0400-00001B000000}">
      <text>
        <r>
          <rPr>
            <b/>
            <sz val="9"/>
            <color indexed="81"/>
            <rFont val="Tahoma"/>
            <family val="2"/>
          </rPr>
          <t>2021</t>
        </r>
        <r>
          <rPr>
            <b/>
            <sz val="9"/>
            <color indexed="81"/>
            <rFont val="細明體"/>
            <family val="3"/>
            <charset val="136"/>
          </rPr>
          <t>年將以</t>
        </r>
        <r>
          <rPr>
            <b/>
            <sz val="9"/>
            <color indexed="81"/>
            <rFont val="Tahoma"/>
            <family val="2"/>
          </rPr>
          <t>Best 5</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 </t>
        </r>
        <r>
          <rPr>
            <sz val="9"/>
            <color indexed="81"/>
            <rFont val="細明體"/>
            <family val="3"/>
            <charset val="136"/>
          </rPr>
          <t>英文，化學</t>
        </r>
        <r>
          <rPr>
            <sz val="9"/>
            <color indexed="81"/>
            <rFont val="Tahoma"/>
            <family val="2"/>
          </rPr>
          <t xml:space="preserve">
x1.5: </t>
        </r>
        <r>
          <rPr>
            <sz val="9"/>
            <color indexed="81"/>
            <rFont val="細明體"/>
            <family val="3"/>
            <charset val="136"/>
          </rPr>
          <t>數學，組合科學</t>
        </r>
        <r>
          <rPr>
            <sz val="9"/>
            <color indexed="81"/>
            <rFont val="Tahoma"/>
            <family val="2"/>
          </rPr>
          <t>(</t>
        </r>
        <r>
          <rPr>
            <sz val="9"/>
            <color indexed="81"/>
            <rFont val="細明體"/>
            <family val="3"/>
            <charset val="136"/>
          </rPr>
          <t>化學</t>
        </r>
        <r>
          <rPr>
            <sz val="9"/>
            <color indexed="81"/>
            <rFont val="Tahoma"/>
            <family val="2"/>
          </rPr>
          <t>)</t>
        </r>
      </text>
    </comment>
    <comment ref="C63" authorId="0" shapeId="0" xr:uid="{00000000-0006-0000-0400-00001C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包含英文、數學、最佳理科</t>
        </r>
        <r>
          <rPr>
            <b/>
            <sz val="9"/>
            <color indexed="81"/>
            <rFont val="Tahoma"/>
            <family val="2"/>
          </rPr>
          <t>)
(</t>
        </r>
        <r>
          <rPr>
            <b/>
            <sz val="9"/>
            <color indexed="81"/>
            <rFont val="細明體"/>
            <family val="3"/>
            <charset val="136"/>
          </rPr>
          <t>無比重</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原有比重</t>
        </r>
        <r>
          <rPr>
            <b/>
            <sz val="9"/>
            <color indexed="81"/>
            <rFont val="Tahoma"/>
            <family val="2"/>
          </rPr>
          <t>)</t>
        </r>
        <r>
          <rPr>
            <b/>
            <sz val="9"/>
            <color indexed="81"/>
            <rFont val="細明體"/>
            <family val="3"/>
            <charset val="136"/>
          </rPr>
          <t xml:space="preserve">作估算，請注意
</t>
        </r>
        <r>
          <rPr>
            <sz val="9"/>
            <color indexed="81"/>
            <rFont val="Tahoma"/>
            <family val="2"/>
          </rPr>
          <t xml:space="preserve">x2: </t>
        </r>
        <r>
          <rPr>
            <sz val="9"/>
            <color indexed="81"/>
            <rFont val="細明體"/>
            <family val="3"/>
            <charset val="136"/>
          </rPr>
          <t>英文</t>
        </r>
      </text>
    </comment>
    <comment ref="C64" authorId="1" shapeId="0" xr:uid="{00000000-0006-0000-0400-00001D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 </t>
        </r>
        <r>
          <rPr>
            <sz val="9"/>
            <color indexed="81"/>
            <rFont val="細明體"/>
            <family val="3"/>
            <charset val="136"/>
          </rPr>
          <t>英文、數學、組合科學</t>
        </r>
        <r>
          <rPr>
            <sz val="9"/>
            <color indexed="81"/>
            <rFont val="Tahoma"/>
            <family val="2"/>
          </rPr>
          <t>(</t>
        </r>
        <r>
          <rPr>
            <sz val="9"/>
            <color indexed="81"/>
            <rFont val="細明體"/>
            <family val="3"/>
            <charset val="136"/>
          </rPr>
          <t>物理、化學</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物理、生物</t>
        </r>
        <r>
          <rPr>
            <sz val="9"/>
            <color indexed="81"/>
            <rFont val="Tahoma"/>
            <family val="2"/>
          </rPr>
          <t>)</t>
        </r>
        <r>
          <rPr>
            <sz val="9"/>
            <color indexed="81"/>
            <rFont val="細明體"/>
            <family val="3"/>
            <charset val="136"/>
          </rPr>
          <t>、物理、</t>
        </r>
        <r>
          <rPr>
            <sz val="9"/>
            <color indexed="81"/>
            <rFont val="Tahoma"/>
            <family val="2"/>
          </rPr>
          <t>ICT</t>
        </r>
        <r>
          <rPr>
            <sz val="9"/>
            <color indexed="81"/>
            <rFont val="細明體"/>
            <family val="3"/>
            <charset val="136"/>
          </rPr>
          <t>、</t>
        </r>
        <r>
          <rPr>
            <sz val="9"/>
            <color indexed="81"/>
            <rFont val="Tahoma"/>
            <family val="2"/>
          </rPr>
          <t xml:space="preserve">M1/2
x1.5: </t>
        </r>
        <r>
          <rPr>
            <sz val="9"/>
            <color indexed="81"/>
            <rFont val="細明體"/>
            <family val="3"/>
            <charset val="136"/>
          </rPr>
          <t>組合科學</t>
        </r>
        <r>
          <rPr>
            <sz val="9"/>
            <color indexed="81"/>
            <rFont val="Tahoma"/>
            <family val="2"/>
          </rPr>
          <t>(</t>
        </r>
        <r>
          <rPr>
            <sz val="9"/>
            <color indexed="81"/>
            <rFont val="細明體"/>
            <family val="3"/>
            <charset val="136"/>
          </rPr>
          <t>生物、化學</t>
        </r>
        <r>
          <rPr>
            <sz val="9"/>
            <color indexed="81"/>
            <rFont val="Tahoma"/>
            <family val="2"/>
          </rPr>
          <t>)</t>
        </r>
        <r>
          <rPr>
            <sz val="9"/>
            <color indexed="81"/>
            <rFont val="細明體"/>
            <family val="3"/>
            <charset val="136"/>
          </rPr>
          <t>、生物、化學、綜合科學</t>
        </r>
        <r>
          <rPr>
            <sz val="9"/>
            <color indexed="81"/>
            <rFont val="Tahoma"/>
            <family val="2"/>
          </rPr>
          <t xml:space="preserve">
</t>
        </r>
      </text>
    </comment>
    <comment ref="C65" authorId="1" shapeId="0" xr:uid="{00000000-0006-0000-0400-00001E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x2.5: </t>
        </r>
        <r>
          <rPr>
            <sz val="9"/>
            <color indexed="81"/>
            <rFont val="細明體"/>
            <family val="3"/>
            <charset val="136"/>
          </rPr>
          <t xml:space="preserve">數學
</t>
        </r>
        <r>
          <rPr>
            <sz val="9"/>
            <color indexed="81"/>
            <rFont val="Tahoma"/>
            <family val="2"/>
          </rPr>
          <t xml:space="preserve">
x2: </t>
        </r>
        <r>
          <rPr>
            <sz val="9"/>
            <color indexed="81"/>
            <rFont val="細明體"/>
            <family val="3"/>
            <charset val="136"/>
          </rPr>
          <t>英文、</t>
        </r>
        <r>
          <rPr>
            <sz val="9"/>
            <color indexed="81"/>
            <rFont val="Tahoma"/>
            <family val="2"/>
          </rPr>
          <t xml:space="preserve">M1/2
x1.5: </t>
        </r>
        <r>
          <rPr>
            <sz val="9"/>
            <color indexed="81"/>
            <rFont val="細明體"/>
            <family val="3"/>
            <charset val="136"/>
          </rPr>
          <t>組合科學，生物，化學，物理</t>
        </r>
        <r>
          <rPr>
            <sz val="9"/>
            <color indexed="81"/>
            <rFont val="Tahoma"/>
            <family val="2"/>
          </rPr>
          <t xml:space="preserve">
</t>
        </r>
      </text>
    </comment>
    <comment ref="C66" authorId="1" shapeId="0" xr:uid="{00000000-0006-0000-0400-00001F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 </t>
        </r>
        <r>
          <rPr>
            <sz val="9"/>
            <color indexed="81"/>
            <rFont val="細明體"/>
            <family val="3"/>
            <charset val="136"/>
          </rPr>
          <t>英文，數學，物理</t>
        </r>
        <r>
          <rPr>
            <sz val="9"/>
            <color indexed="81"/>
            <rFont val="Tahoma"/>
            <family val="2"/>
          </rPr>
          <t xml:space="preserve">
x1.5: </t>
        </r>
        <r>
          <rPr>
            <sz val="9"/>
            <color indexed="81"/>
            <rFont val="細明體"/>
            <family val="3"/>
            <charset val="136"/>
          </rPr>
          <t>組合科學</t>
        </r>
        <r>
          <rPr>
            <sz val="9"/>
            <color indexed="81"/>
            <rFont val="Tahoma"/>
            <family val="2"/>
          </rPr>
          <t>(</t>
        </r>
        <r>
          <rPr>
            <sz val="9"/>
            <color indexed="81"/>
            <rFont val="細明體"/>
            <family val="3"/>
            <charset val="136"/>
          </rPr>
          <t>生物、化學</t>
        </r>
        <r>
          <rPr>
            <sz val="9"/>
            <color indexed="81"/>
            <rFont val="Tahoma"/>
            <family val="2"/>
          </rPr>
          <t>)</t>
        </r>
        <r>
          <rPr>
            <sz val="9"/>
            <color indexed="81"/>
            <rFont val="細明體"/>
            <family val="3"/>
            <charset val="136"/>
          </rPr>
          <t>，化學，</t>
        </r>
        <r>
          <rPr>
            <sz val="9"/>
            <color indexed="81"/>
            <rFont val="Tahoma"/>
            <family val="2"/>
          </rPr>
          <t>DAT</t>
        </r>
        <r>
          <rPr>
            <sz val="9"/>
            <color indexed="81"/>
            <rFont val="細明體"/>
            <family val="3"/>
            <charset val="136"/>
          </rPr>
          <t>，</t>
        </r>
        <r>
          <rPr>
            <sz val="9"/>
            <color indexed="81"/>
            <rFont val="Tahoma"/>
            <family val="2"/>
          </rPr>
          <t xml:space="preserve">M1/2
</t>
        </r>
      </text>
    </comment>
    <comment ref="C67" authorId="1" shapeId="0" xr:uid="{00000000-0006-0000-0400-000020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 </t>
        </r>
        <r>
          <rPr>
            <sz val="9"/>
            <color indexed="81"/>
            <rFont val="細明體"/>
            <family val="3"/>
            <charset val="136"/>
          </rPr>
          <t xml:space="preserve">英文，物理
</t>
        </r>
        <r>
          <rPr>
            <sz val="9"/>
            <color indexed="81"/>
            <rFont val="Tahoma"/>
            <family val="2"/>
          </rPr>
          <t xml:space="preserve">x1.5: M1/2
x1.25: </t>
        </r>
        <r>
          <rPr>
            <sz val="9"/>
            <color indexed="81"/>
            <rFont val="細明體"/>
            <family val="3"/>
            <charset val="136"/>
          </rPr>
          <t xml:space="preserve">數學
</t>
        </r>
        <r>
          <rPr>
            <sz val="9"/>
            <color indexed="81"/>
            <rFont val="Tahoma"/>
            <family val="2"/>
          </rPr>
          <t xml:space="preserve">
</t>
        </r>
      </text>
    </comment>
    <comment ref="C68" authorId="1" shapeId="0" xr:uid="{00000000-0006-0000-0400-000021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包含英文、數學、最佳理科</t>
        </r>
        <r>
          <rPr>
            <b/>
            <sz val="9"/>
            <color indexed="81"/>
            <rFont val="Tahoma"/>
            <family val="2"/>
          </rPr>
          <t>)</t>
        </r>
        <r>
          <rPr>
            <b/>
            <sz val="9"/>
            <color indexed="81"/>
            <rFont val="細明體"/>
            <family val="3"/>
            <charset val="136"/>
          </rPr>
          <t>收生</t>
        </r>
        <r>
          <rPr>
            <b/>
            <sz val="9"/>
            <color indexed="81"/>
            <rFont val="Tahoma"/>
            <family val="2"/>
          </rPr>
          <t xml:space="preserve">
</t>
        </r>
        <r>
          <rPr>
            <b/>
            <sz val="9"/>
            <color indexed="81"/>
            <rFont val="細明體"/>
            <family val="3"/>
            <charset val="136"/>
          </rPr>
          <t xml:space="preserve">
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 </t>
        </r>
        <r>
          <rPr>
            <sz val="9"/>
            <color indexed="81"/>
            <rFont val="細明體"/>
            <family val="3"/>
            <charset val="136"/>
          </rPr>
          <t xml:space="preserve">英文，物理
</t>
        </r>
        <r>
          <rPr>
            <sz val="9"/>
            <color indexed="81"/>
            <rFont val="Tahoma"/>
            <family val="2"/>
          </rPr>
          <t>x1.5: M1/2</t>
        </r>
        <r>
          <rPr>
            <sz val="9"/>
            <color indexed="81"/>
            <rFont val="細明體"/>
            <family val="3"/>
            <charset val="136"/>
          </rPr>
          <t>、化學</t>
        </r>
        <r>
          <rPr>
            <sz val="9"/>
            <color indexed="81"/>
            <rFont val="Tahoma"/>
            <family val="2"/>
          </rPr>
          <t xml:space="preserve">
</t>
        </r>
        <r>
          <rPr>
            <b/>
            <sz val="9"/>
            <color indexed="81"/>
            <rFont val="細明體"/>
            <family val="3"/>
            <charset val="136"/>
          </rPr>
          <t xml:space="preserve">
</t>
        </r>
        <r>
          <rPr>
            <b/>
            <sz val="9"/>
            <color indexed="81"/>
            <rFont val="Tahoma"/>
            <family val="2"/>
          </rPr>
          <t>2021</t>
        </r>
        <r>
          <rPr>
            <b/>
            <sz val="9"/>
            <color indexed="81"/>
            <rFont val="細明體"/>
            <family val="3"/>
            <charset val="136"/>
          </rPr>
          <t>年生物科有</t>
        </r>
        <r>
          <rPr>
            <b/>
            <sz val="9"/>
            <color indexed="81"/>
            <rFont val="Tahoma"/>
            <family val="2"/>
          </rPr>
          <t>x1.5</t>
        </r>
        <r>
          <rPr>
            <b/>
            <sz val="9"/>
            <color indexed="81"/>
            <rFont val="細明體"/>
            <family val="3"/>
            <charset val="136"/>
          </rPr>
          <t>比重
此處仍以</t>
        </r>
        <r>
          <rPr>
            <b/>
            <sz val="9"/>
            <color indexed="81"/>
            <rFont val="Tahoma"/>
            <family val="2"/>
          </rPr>
          <t>2020</t>
        </r>
        <r>
          <rPr>
            <b/>
            <sz val="9"/>
            <color indexed="81"/>
            <rFont val="細明體"/>
            <family val="3"/>
            <charset val="136"/>
          </rPr>
          <t>年比重計算，請注意</t>
        </r>
      </text>
    </comment>
    <comment ref="C69" authorId="1" shapeId="0" xr:uid="{00000000-0006-0000-0400-000022000000}">
      <text>
        <r>
          <rPr>
            <b/>
            <sz val="9"/>
            <color indexed="81"/>
            <rFont val="Tahoma"/>
            <family val="2"/>
          </rPr>
          <t>2021</t>
        </r>
        <r>
          <rPr>
            <b/>
            <sz val="9"/>
            <color indexed="81"/>
            <rFont val="細明體"/>
            <family val="3"/>
            <charset val="136"/>
          </rPr>
          <t>年將以</t>
        </r>
        <r>
          <rPr>
            <b/>
            <sz val="9"/>
            <color indexed="81"/>
            <rFont val="Tahoma"/>
            <family val="2"/>
          </rPr>
          <t>Best 5</t>
        </r>
        <r>
          <rPr>
            <b/>
            <sz val="9"/>
            <color indexed="81"/>
            <rFont val="細明體"/>
            <family val="3"/>
            <charset val="136"/>
          </rPr>
          <t xml:space="preserve">收生
</t>
        </r>
        <r>
          <rPr>
            <b/>
            <sz val="9"/>
            <color indexed="81"/>
            <rFont val="Tahoma"/>
            <family val="2"/>
          </rPr>
          <t>(</t>
        </r>
        <r>
          <rPr>
            <b/>
            <sz val="9"/>
            <color indexed="81"/>
            <rFont val="細明體"/>
            <family val="3"/>
            <charset val="136"/>
          </rPr>
          <t>若同學有修讀</t>
        </r>
        <r>
          <rPr>
            <b/>
            <sz val="9"/>
            <color indexed="81"/>
            <rFont val="Tahoma"/>
            <family val="2"/>
          </rPr>
          <t>M1/2</t>
        </r>
        <r>
          <rPr>
            <b/>
            <sz val="9"/>
            <color indexed="81"/>
            <rFont val="細明體"/>
            <family val="3"/>
            <charset val="136"/>
          </rPr>
          <t>及數學，則只會取其中較高分者</t>
        </r>
        <r>
          <rPr>
            <b/>
            <sz val="9"/>
            <color indexed="81"/>
            <rFont val="Tahoma"/>
            <family val="2"/>
          </rPr>
          <t xml:space="preserve">)
</t>
        </r>
        <r>
          <rPr>
            <b/>
            <sz val="9"/>
            <color indexed="81"/>
            <rFont val="細明體"/>
            <family val="3"/>
            <charset val="136"/>
          </rPr>
          <t>此處仍以</t>
        </r>
        <r>
          <rPr>
            <b/>
            <sz val="9"/>
            <color indexed="81"/>
            <rFont val="Tahoma"/>
            <family val="2"/>
          </rPr>
          <t>4C2X</t>
        </r>
        <r>
          <rPr>
            <b/>
            <sz val="9"/>
            <color indexed="81"/>
            <rFont val="細明體"/>
            <family val="3"/>
            <charset val="136"/>
          </rPr>
          <t xml:space="preserve">作估算，請注意
</t>
        </r>
        <r>
          <rPr>
            <sz val="9"/>
            <color indexed="81"/>
            <rFont val="Tahoma"/>
            <family val="2"/>
          </rPr>
          <t xml:space="preserve">x2: </t>
        </r>
        <r>
          <rPr>
            <sz val="9"/>
            <color indexed="81"/>
            <rFont val="細明體"/>
            <family val="3"/>
            <charset val="136"/>
          </rPr>
          <t xml:space="preserve">英文，數學、化學，物理，生物，組合科學
</t>
        </r>
        <r>
          <rPr>
            <b/>
            <sz val="9"/>
            <color indexed="81"/>
            <rFont val="細明體"/>
            <family val="3"/>
            <charset val="136"/>
          </rPr>
          <t xml:space="preserve">
</t>
        </r>
        <r>
          <rPr>
            <b/>
            <sz val="9"/>
            <color indexed="81"/>
            <rFont val="Tahoma"/>
            <family val="2"/>
          </rPr>
          <t>2021</t>
        </r>
        <r>
          <rPr>
            <b/>
            <sz val="9"/>
            <color indexed="81"/>
            <rFont val="細明體"/>
            <family val="3"/>
            <charset val="136"/>
          </rPr>
          <t>年</t>
        </r>
        <r>
          <rPr>
            <b/>
            <sz val="9"/>
            <color indexed="81"/>
            <rFont val="Tahoma"/>
            <family val="2"/>
          </rPr>
          <t>M1/2</t>
        </r>
        <r>
          <rPr>
            <b/>
            <sz val="9"/>
            <color indexed="81"/>
            <rFont val="細明體"/>
            <family val="3"/>
            <charset val="136"/>
          </rPr>
          <t>有</t>
        </r>
        <r>
          <rPr>
            <b/>
            <sz val="9"/>
            <color indexed="81"/>
            <rFont val="Tahoma"/>
            <family val="2"/>
          </rPr>
          <t>x2</t>
        </r>
        <r>
          <rPr>
            <b/>
            <sz val="9"/>
            <color indexed="81"/>
            <rFont val="細明體"/>
            <family val="3"/>
            <charset val="136"/>
          </rPr>
          <t>比重
此處仍以</t>
        </r>
        <r>
          <rPr>
            <b/>
            <sz val="9"/>
            <color indexed="81"/>
            <rFont val="Tahoma"/>
            <family val="2"/>
          </rPr>
          <t>2020</t>
        </r>
        <r>
          <rPr>
            <b/>
            <sz val="9"/>
            <color indexed="81"/>
            <rFont val="細明體"/>
            <family val="3"/>
            <charset val="136"/>
          </rPr>
          <t>年比重計算，請注意</t>
        </r>
      </text>
    </comment>
    <comment ref="C70" authorId="0" shapeId="0" xr:uid="{00000000-0006-0000-0400-000023000000}">
      <text>
        <r>
          <rPr>
            <b/>
            <sz val="9"/>
            <color indexed="81"/>
            <rFont val="Tahoma"/>
            <family val="2"/>
          </rPr>
          <t>2021</t>
        </r>
        <r>
          <rPr>
            <b/>
            <sz val="9"/>
            <color indexed="81"/>
            <rFont val="細明體"/>
            <family val="3"/>
            <charset val="136"/>
          </rPr>
          <t xml:space="preserve">年新科目
</t>
        </r>
        <r>
          <rPr>
            <sz val="9"/>
            <color indexed="81"/>
            <rFont val="Tahoma"/>
            <family val="2"/>
          </rPr>
          <t>(</t>
        </r>
        <r>
          <rPr>
            <sz val="9"/>
            <color indexed="81"/>
            <rFont val="細明體"/>
            <family val="3"/>
            <charset val="136"/>
          </rPr>
          <t>包含英文、數學</t>
        </r>
        <r>
          <rPr>
            <sz val="9"/>
            <color indexed="81"/>
            <rFont val="Tahoma"/>
            <family val="2"/>
          </rPr>
          <t>)</t>
        </r>
        <r>
          <rPr>
            <b/>
            <sz val="9"/>
            <color indexed="81"/>
            <rFont val="細明體"/>
            <family val="3"/>
            <charset val="136"/>
          </rPr>
          <t xml:space="preserve">
</t>
        </r>
        <r>
          <rPr>
            <sz val="9"/>
            <color indexed="81"/>
            <rFont val="Tahoma"/>
            <family val="2"/>
          </rPr>
          <t xml:space="preserve">x2: </t>
        </r>
        <r>
          <rPr>
            <sz val="9"/>
            <color indexed="81"/>
            <rFont val="細明體"/>
            <family val="3"/>
            <charset val="136"/>
          </rPr>
          <t>英文、數學、物理、</t>
        </r>
        <r>
          <rPr>
            <sz val="9"/>
            <color indexed="81"/>
            <rFont val="Tahoma"/>
            <family val="2"/>
          </rPr>
          <t>M1/2</t>
        </r>
        <r>
          <rPr>
            <sz val="9"/>
            <color indexed="81"/>
            <rFont val="細明體"/>
            <family val="3"/>
            <charset val="136"/>
          </rPr>
          <t>、</t>
        </r>
        <r>
          <rPr>
            <sz val="9"/>
            <color indexed="81"/>
            <rFont val="Tahoma"/>
            <family val="2"/>
          </rPr>
          <t xml:space="preserve">ICT
x1.5: </t>
        </r>
        <r>
          <rPr>
            <sz val="9"/>
            <color indexed="81"/>
            <rFont val="細明體"/>
            <family val="3"/>
            <charset val="136"/>
          </rPr>
          <t>化學、組合科學</t>
        </r>
        <r>
          <rPr>
            <sz val="9"/>
            <color indexed="81"/>
            <rFont val="Tahoma"/>
            <family val="2"/>
          </rPr>
          <t>(</t>
        </r>
        <r>
          <rPr>
            <sz val="9"/>
            <color indexed="81"/>
            <rFont val="細明體"/>
            <family val="3"/>
            <charset val="136"/>
          </rPr>
          <t>含物理</t>
        </r>
        <r>
          <rPr>
            <sz val="9"/>
            <color indexed="81"/>
            <rFont val="Tahoma"/>
            <family val="2"/>
          </rPr>
          <t>)</t>
        </r>
        <r>
          <rPr>
            <sz val="9"/>
            <color indexed="81"/>
            <rFont val="細明體"/>
            <family val="3"/>
            <charset val="136"/>
          </rPr>
          <t>、</t>
        </r>
        <r>
          <rPr>
            <sz val="9"/>
            <color indexed="81"/>
            <rFont val="Tahoma"/>
            <family val="2"/>
          </rPr>
          <t>DAT</t>
        </r>
        <r>
          <rPr>
            <sz val="9"/>
            <color indexed="81"/>
            <rFont val="細明體"/>
            <family val="3"/>
            <charset val="136"/>
          </rPr>
          <t xml:space="preserve">
</t>
        </r>
        <r>
          <rPr>
            <b/>
            <sz val="9"/>
            <color indexed="81"/>
            <rFont val="細明體"/>
            <family val="3"/>
            <charset val="136"/>
          </rPr>
          <t xml:space="preserve">
</t>
        </r>
      </text>
    </comment>
    <comment ref="C71" authorId="0" shapeId="0" xr:uid="{00000000-0006-0000-0400-000024000000}">
      <text>
        <r>
          <rPr>
            <b/>
            <sz val="9"/>
            <color indexed="81"/>
            <rFont val="Tahoma"/>
            <family val="2"/>
          </rPr>
          <t>2021年將以Best 6 (包含英文、數學、生物及化學)收生
此處仍以4C2X作估算，請注意</t>
        </r>
        <r>
          <rPr>
            <sz val="9"/>
            <color indexed="81"/>
            <rFont val="Tahoma"/>
            <family val="2"/>
          </rPr>
          <t xml:space="preserve">
</t>
        </r>
      </text>
    </comment>
    <comment ref="C72" authorId="1" shapeId="0" xr:uid="{00000000-0006-0000-0400-000025000000}">
      <text>
        <r>
          <rPr>
            <sz val="9"/>
            <color indexed="81"/>
            <rFont val="Tahoma"/>
            <family val="2"/>
          </rPr>
          <t xml:space="preserve">x2: </t>
        </r>
        <r>
          <rPr>
            <sz val="9"/>
            <color indexed="81"/>
            <rFont val="細明體"/>
            <family val="3"/>
            <charset val="136"/>
          </rPr>
          <t xml:space="preserve">英文，物理，化學，生物，組合科學，
</t>
        </r>
        <r>
          <rPr>
            <sz val="9"/>
            <color indexed="81"/>
            <rFont val="Tahoma"/>
            <family val="2"/>
          </rPr>
          <t xml:space="preserve">x1.5: </t>
        </r>
        <r>
          <rPr>
            <sz val="9"/>
            <color indexed="81"/>
            <rFont val="細明體"/>
            <family val="3"/>
            <charset val="136"/>
          </rPr>
          <t>數學，</t>
        </r>
        <r>
          <rPr>
            <sz val="9"/>
            <color indexed="81"/>
            <rFont val="Tahoma"/>
            <family val="2"/>
          </rPr>
          <t>BAFS</t>
        </r>
        <r>
          <rPr>
            <sz val="9"/>
            <color indexed="81"/>
            <rFont val="細明體"/>
            <family val="3"/>
            <charset val="136"/>
          </rPr>
          <t>，</t>
        </r>
        <r>
          <rPr>
            <sz val="9"/>
            <color indexed="81"/>
            <rFont val="Tahoma"/>
            <family val="2"/>
          </rPr>
          <t>ICT</t>
        </r>
        <r>
          <rPr>
            <sz val="9"/>
            <color indexed="81"/>
            <rFont val="細明體"/>
            <family val="3"/>
            <charset val="136"/>
          </rPr>
          <t>，</t>
        </r>
        <r>
          <rPr>
            <sz val="9"/>
            <color indexed="81"/>
            <rFont val="Tahoma"/>
            <family val="2"/>
          </rPr>
          <t>DAT</t>
        </r>
        <r>
          <rPr>
            <sz val="9"/>
            <color indexed="81"/>
            <rFont val="細明體"/>
            <family val="3"/>
            <charset val="136"/>
          </rPr>
          <t>，</t>
        </r>
        <r>
          <rPr>
            <sz val="9"/>
            <color indexed="81"/>
            <rFont val="Tahoma"/>
            <family val="2"/>
          </rPr>
          <t>M1/2</t>
        </r>
        <r>
          <rPr>
            <sz val="9"/>
            <color indexed="81"/>
            <rFont val="細明體"/>
            <family val="3"/>
            <charset val="136"/>
          </rPr>
          <t>，綜合科學</t>
        </r>
        <r>
          <rPr>
            <sz val="9"/>
            <color indexed="81"/>
            <rFont val="Tahoma"/>
            <family val="2"/>
          </rPr>
          <t xml:space="preserve">
</t>
        </r>
      </text>
    </comment>
    <comment ref="C73" authorId="1" shapeId="0" xr:uid="{00000000-0006-0000-0400-000026000000}">
      <text>
        <r>
          <rPr>
            <sz val="9"/>
            <color indexed="81"/>
            <rFont val="Tahoma"/>
            <family val="2"/>
          </rPr>
          <t xml:space="preserve">x2: </t>
        </r>
        <r>
          <rPr>
            <sz val="9"/>
            <color indexed="81"/>
            <rFont val="細明體"/>
            <family val="3"/>
            <charset val="136"/>
          </rPr>
          <t xml:space="preserve">英文，物理，化學，生物，組合科學，
</t>
        </r>
        <r>
          <rPr>
            <sz val="9"/>
            <color indexed="81"/>
            <rFont val="Tahoma"/>
            <family val="2"/>
          </rPr>
          <t xml:space="preserve">x1.5: </t>
        </r>
        <r>
          <rPr>
            <sz val="9"/>
            <color indexed="81"/>
            <rFont val="細明體"/>
            <family val="3"/>
            <charset val="136"/>
          </rPr>
          <t>數學，</t>
        </r>
        <r>
          <rPr>
            <sz val="9"/>
            <color indexed="81"/>
            <rFont val="Tahoma"/>
            <family val="2"/>
          </rPr>
          <t>BAFS</t>
        </r>
        <r>
          <rPr>
            <sz val="9"/>
            <color indexed="81"/>
            <rFont val="細明體"/>
            <family val="3"/>
            <charset val="136"/>
          </rPr>
          <t>，</t>
        </r>
        <r>
          <rPr>
            <sz val="9"/>
            <color indexed="81"/>
            <rFont val="Tahoma"/>
            <family val="2"/>
          </rPr>
          <t>ICT</t>
        </r>
        <r>
          <rPr>
            <sz val="9"/>
            <color indexed="81"/>
            <rFont val="細明體"/>
            <family val="3"/>
            <charset val="136"/>
          </rPr>
          <t>，</t>
        </r>
        <r>
          <rPr>
            <sz val="9"/>
            <color indexed="81"/>
            <rFont val="Tahoma"/>
            <family val="2"/>
          </rPr>
          <t>DAT</t>
        </r>
        <r>
          <rPr>
            <sz val="9"/>
            <color indexed="81"/>
            <rFont val="細明體"/>
            <family val="3"/>
            <charset val="136"/>
          </rPr>
          <t>，</t>
        </r>
        <r>
          <rPr>
            <sz val="9"/>
            <color indexed="81"/>
            <rFont val="Tahoma"/>
            <family val="2"/>
          </rPr>
          <t>M1/2</t>
        </r>
        <r>
          <rPr>
            <sz val="9"/>
            <color indexed="81"/>
            <rFont val="細明體"/>
            <family val="3"/>
            <charset val="136"/>
          </rPr>
          <t>，綜合科學</t>
        </r>
        <r>
          <rPr>
            <sz val="9"/>
            <color indexed="81"/>
            <rFont val="Tahoma"/>
            <family val="2"/>
          </rPr>
          <t xml:space="preserve">
</t>
        </r>
      </text>
    </comment>
    <comment ref="C74" authorId="1" shapeId="0" xr:uid="{00000000-0006-0000-0400-000027000000}">
      <text>
        <r>
          <rPr>
            <sz val="9"/>
            <color indexed="81"/>
            <rFont val="Tahoma"/>
            <family val="2"/>
          </rPr>
          <t xml:space="preserve">x2: </t>
        </r>
        <r>
          <rPr>
            <sz val="9"/>
            <color indexed="81"/>
            <rFont val="細明體"/>
            <family val="3"/>
            <charset val="136"/>
          </rPr>
          <t xml:space="preserve">英文，物理，化學，生物，組合科學，
</t>
        </r>
        <r>
          <rPr>
            <sz val="9"/>
            <color indexed="81"/>
            <rFont val="Tahoma"/>
            <family val="2"/>
          </rPr>
          <t xml:space="preserve">x1.5: </t>
        </r>
        <r>
          <rPr>
            <sz val="9"/>
            <color indexed="81"/>
            <rFont val="細明體"/>
            <family val="3"/>
            <charset val="136"/>
          </rPr>
          <t>數學，</t>
        </r>
        <r>
          <rPr>
            <sz val="9"/>
            <color indexed="81"/>
            <rFont val="Tahoma"/>
            <family val="2"/>
          </rPr>
          <t>BAFS</t>
        </r>
        <r>
          <rPr>
            <sz val="9"/>
            <color indexed="81"/>
            <rFont val="細明體"/>
            <family val="3"/>
            <charset val="136"/>
          </rPr>
          <t>，</t>
        </r>
        <r>
          <rPr>
            <sz val="9"/>
            <color indexed="81"/>
            <rFont val="Tahoma"/>
            <family val="2"/>
          </rPr>
          <t>ICT</t>
        </r>
        <r>
          <rPr>
            <sz val="9"/>
            <color indexed="81"/>
            <rFont val="細明體"/>
            <family val="3"/>
            <charset val="136"/>
          </rPr>
          <t>，</t>
        </r>
        <r>
          <rPr>
            <sz val="9"/>
            <color indexed="81"/>
            <rFont val="Tahoma"/>
            <family val="2"/>
          </rPr>
          <t>DAT</t>
        </r>
        <r>
          <rPr>
            <sz val="9"/>
            <color indexed="81"/>
            <rFont val="細明體"/>
            <family val="3"/>
            <charset val="136"/>
          </rPr>
          <t>，</t>
        </r>
        <r>
          <rPr>
            <sz val="9"/>
            <color indexed="81"/>
            <rFont val="Tahoma"/>
            <family val="2"/>
          </rPr>
          <t>M1/2</t>
        </r>
        <r>
          <rPr>
            <sz val="9"/>
            <color indexed="81"/>
            <rFont val="細明體"/>
            <family val="3"/>
            <charset val="136"/>
          </rPr>
          <t>，綜合科學</t>
        </r>
        <r>
          <rPr>
            <sz val="9"/>
            <color indexed="81"/>
            <rFont val="Tahoma"/>
            <family val="2"/>
          </rPr>
          <t xml:space="preserve">
</t>
        </r>
      </text>
    </comment>
    <comment ref="C85" authorId="1" shapeId="0" xr:uid="{00000000-0006-0000-0400-000028000000}">
      <text>
        <r>
          <rPr>
            <b/>
            <sz val="9"/>
            <color indexed="81"/>
            <rFont val="Tahoma"/>
            <family val="2"/>
          </rPr>
          <t>x2:</t>
        </r>
        <r>
          <rPr>
            <b/>
            <sz val="9"/>
            <color indexed="81"/>
            <rFont val="細明體"/>
            <family val="3"/>
            <charset val="136"/>
          </rPr>
          <t xml:space="preserve">
</t>
        </r>
        <r>
          <rPr>
            <sz val="9"/>
            <color indexed="81"/>
            <rFont val="細明體"/>
            <family val="3"/>
            <charset val="136"/>
          </rPr>
          <t>英文、英語文學</t>
        </r>
        <r>
          <rPr>
            <b/>
            <sz val="9"/>
            <color indexed="81"/>
            <rFont val="細明體"/>
            <family val="3"/>
            <charset val="136"/>
          </rPr>
          <t xml:space="preserve">
</t>
        </r>
        <r>
          <rPr>
            <b/>
            <sz val="9"/>
            <color indexed="81"/>
            <rFont val="Tahoma"/>
            <family val="2"/>
          </rPr>
          <t xml:space="preserve">
x1.5:
</t>
        </r>
        <r>
          <rPr>
            <sz val="9"/>
            <color indexed="81"/>
            <rFont val="細明體"/>
            <family val="3"/>
            <charset val="136"/>
          </rPr>
          <t>中文、中國文學、通識、數學</t>
        </r>
      </text>
    </comment>
    <comment ref="C87" authorId="1" shapeId="0" xr:uid="{00000000-0006-0000-0400-000029000000}">
      <text>
        <r>
          <rPr>
            <b/>
            <sz val="9"/>
            <color indexed="81"/>
            <rFont val="Tahoma"/>
            <family val="2"/>
          </rPr>
          <t xml:space="preserve">x1.5:
英文 
</t>
        </r>
      </text>
    </comment>
    <comment ref="C88" authorId="1" shapeId="0" xr:uid="{00000000-0006-0000-0400-00002A000000}">
      <text>
        <r>
          <rPr>
            <b/>
            <sz val="9"/>
            <color indexed="81"/>
            <rFont val="Tahoma"/>
            <family val="2"/>
          </rPr>
          <t xml:space="preserve">x1.5:
英文 
</t>
        </r>
      </text>
    </comment>
    <comment ref="C89" authorId="1" shapeId="0" xr:uid="{00000000-0006-0000-0400-00002B000000}">
      <text>
        <r>
          <rPr>
            <b/>
            <sz val="9"/>
            <color indexed="81"/>
            <rFont val="Tahoma"/>
            <family val="2"/>
          </rPr>
          <t xml:space="preserve">Best 5 </t>
        </r>
        <r>
          <rPr>
            <b/>
            <sz val="9"/>
            <color indexed="81"/>
            <rFont val="細明體"/>
            <family val="3"/>
            <charset val="136"/>
          </rPr>
          <t xml:space="preserve">(包括中、英文)
</t>
        </r>
        <r>
          <rPr>
            <b/>
            <sz val="9"/>
            <color indexed="81"/>
            <rFont val="Tahoma"/>
            <family val="2"/>
          </rPr>
          <t>x1.25:
中文、英文</t>
        </r>
      </text>
    </comment>
    <comment ref="C90" authorId="1" shapeId="0" xr:uid="{00000000-0006-0000-0400-00002C000000}">
      <text>
        <r>
          <rPr>
            <b/>
            <sz val="9"/>
            <color indexed="81"/>
            <rFont val="Tahoma"/>
            <family val="2"/>
          </rPr>
          <t xml:space="preserve">Best 5 </t>
        </r>
        <r>
          <rPr>
            <b/>
            <sz val="9"/>
            <color indexed="81"/>
            <rFont val="細明體"/>
            <family val="3"/>
            <charset val="136"/>
          </rPr>
          <t xml:space="preserve">(包括中、英文)
</t>
        </r>
        <r>
          <rPr>
            <b/>
            <sz val="9"/>
            <color indexed="81"/>
            <rFont val="Tahoma"/>
            <family val="2"/>
          </rPr>
          <t>x1.25:
中文、英文</t>
        </r>
      </text>
    </comment>
    <comment ref="C91" authorId="1" shapeId="0" xr:uid="{00000000-0006-0000-0400-00002D000000}">
      <text>
        <r>
          <rPr>
            <b/>
            <sz val="9"/>
            <color indexed="81"/>
            <rFont val="Tahoma"/>
            <family val="2"/>
          </rPr>
          <t>Best 5 (</t>
        </r>
        <r>
          <rPr>
            <b/>
            <sz val="9"/>
            <color indexed="81"/>
            <rFont val="細明體"/>
            <family val="3"/>
            <charset val="136"/>
          </rPr>
          <t>包括英文</t>
        </r>
        <r>
          <rPr>
            <b/>
            <sz val="9"/>
            <color indexed="81"/>
            <rFont val="Tahoma"/>
            <family val="2"/>
          </rPr>
          <t>)</t>
        </r>
        <r>
          <rPr>
            <sz val="9"/>
            <color indexed="81"/>
            <rFont val="Tahoma"/>
            <family val="2"/>
          </rPr>
          <t xml:space="preserve">
</t>
        </r>
      </text>
    </comment>
    <comment ref="C92" authorId="1" shapeId="0" xr:uid="{00000000-0006-0000-0400-00002E000000}">
      <text>
        <r>
          <rPr>
            <b/>
            <sz val="9"/>
            <color indexed="81"/>
            <rFont val="Tahoma"/>
            <family val="2"/>
          </rPr>
          <t>2021</t>
        </r>
        <r>
          <rPr>
            <b/>
            <sz val="9"/>
            <color indexed="81"/>
            <rFont val="細明體"/>
            <family val="3"/>
            <charset val="136"/>
          </rPr>
          <t>年新科目</t>
        </r>
        <r>
          <rPr>
            <b/>
            <sz val="9"/>
            <color indexed="81"/>
            <rFont val="Tahoma"/>
            <family val="2"/>
          </rPr>
          <t xml:space="preserve">
Best 5 </t>
        </r>
        <r>
          <rPr>
            <b/>
            <sz val="9"/>
            <color indexed="81"/>
            <rFont val="細明體"/>
            <family val="3"/>
            <charset val="136"/>
          </rPr>
          <t xml:space="preserve">(包括中、英文)
</t>
        </r>
        <r>
          <rPr>
            <b/>
            <sz val="9"/>
            <color indexed="81"/>
            <rFont val="Tahoma"/>
            <family val="2"/>
          </rPr>
          <t>x1.25:
中文、英文</t>
        </r>
      </text>
    </comment>
    <comment ref="C93" authorId="1" shapeId="0" xr:uid="{00000000-0006-0000-0400-00002F000000}">
      <text>
        <r>
          <rPr>
            <b/>
            <sz val="9"/>
            <color indexed="81"/>
            <rFont val="Tahoma"/>
            <family val="2"/>
          </rPr>
          <t>2021</t>
        </r>
        <r>
          <rPr>
            <b/>
            <sz val="9"/>
            <color indexed="81"/>
            <rFont val="細明體"/>
            <family val="3"/>
            <charset val="136"/>
          </rPr>
          <t>年新科目</t>
        </r>
        <r>
          <rPr>
            <b/>
            <sz val="9"/>
            <color indexed="81"/>
            <rFont val="Tahoma"/>
            <family val="2"/>
          </rPr>
          <t xml:space="preserve">
Best 5 </t>
        </r>
        <r>
          <rPr>
            <b/>
            <sz val="9"/>
            <color indexed="81"/>
            <rFont val="細明體"/>
            <family val="3"/>
            <charset val="136"/>
          </rPr>
          <t xml:space="preserve">(包括中、英文)
</t>
        </r>
        <r>
          <rPr>
            <b/>
            <sz val="9"/>
            <color indexed="81"/>
            <rFont val="Tahoma"/>
            <family val="2"/>
          </rPr>
          <t>x1.25:
中文、英文</t>
        </r>
      </text>
    </comment>
    <comment ref="C94" authorId="1" shapeId="0" xr:uid="{00000000-0006-0000-0400-000030000000}">
      <text>
        <r>
          <rPr>
            <b/>
            <sz val="9"/>
            <color indexed="81"/>
            <rFont val="Tahoma"/>
            <family val="2"/>
          </rPr>
          <t xml:space="preserve">x1.5: </t>
        </r>
        <r>
          <rPr>
            <sz val="9"/>
            <color indexed="81"/>
            <rFont val="細明體"/>
            <family val="3"/>
            <charset val="136"/>
          </rPr>
          <t>中文、英文、生物</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中史、中國文學、化學、組合科學、數學、物理</t>
        </r>
      </text>
    </comment>
    <comment ref="C95" authorId="1" shapeId="0" xr:uid="{00000000-0006-0000-0400-000031000000}">
      <text>
        <r>
          <rPr>
            <b/>
            <sz val="9"/>
            <color indexed="81"/>
            <rFont val="Tahoma"/>
            <family val="2"/>
          </rPr>
          <t xml:space="preserve">x1.5: </t>
        </r>
        <r>
          <rPr>
            <sz val="9"/>
            <color indexed="81"/>
            <rFont val="細明體"/>
            <family val="3"/>
            <charset val="136"/>
          </rPr>
          <t>中文、英文、化學</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生物、中國文學、組合科學、數學、物理</t>
        </r>
      </text>
    </comment>
    <comment ref="C96" authorId="0" shapeId="0" xr:uid="{00000000-0006-0000-0400-000032000000}">
      <text>
        <r>
          <rPr>
            <b/>
            <sz val="9"/>
            <color indexed="81"/>
            <rFont val="Tahoma"/>
            <family val="2"/>
          </rPr>
          <t>2021年將以4C2X收生</t>
        </r>
        <r>
          <rPr>
            <sz val="9"/>
            <color indexed="81"/>
            <rFont val="Tahoma"/>
            <family val="2"/>
          </rPr>
          <t xml:space="preserve">
</t>
        </r>
      </text>
    </comment>
    <comment ref="C97" authorId="1" shapeId="0" xr:uid="{00000000-0006-0000-0400-000033000000}">
      <text>
        <r>
          <rPr>
            <b/>
            <sz val="9"/>
            <color indexed="81"/>
            <rFont val="Tahoma"/>
            <family val="2"/>
          </rPr>
          <t xml:space="preserve">x2:
英文 
</t>
        </r>
      </text>
    </comment>
    <comment ref="C99" authorId="1" shapeId="0" xr:uid="{00000000-0006-0000-0400-000034000000}">
      <text>
        <r>
          <rPr>
            <b/>
            <sz val="9"/>
            <color indexed="81"/>
            <rFont val="Tahoma"/>
            <family val="2"/>
          </rPr>
          <t>Best 5 (</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t>
        </r>
        <r>
          <rPr>
            <b/>
            <sz val="9"/>
            <color indexed="81"/>
            <rFont val="Tahoma"/>
            <family val="2"/>
          </rPr>
          <t>x1.2:
英文</t>
        </r>
      </text>
    </comment>
    <comment ref="C100" authorId="1" shapeId="0" xr:uid="{00000000-0006-0000-0400-000035000000}">
      <text>
        <r>
          <rPr>
            <b/>
            <sz val="9"/>
            <color indexed="81"/>
            <rFont val="Tahoma"/>
            <family val="2"/>
          </rPr>
          <t>Best 5 (</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t>
        </r>
        <r>
          <rPr>
            <b/>
            <sz val="9"/>
            <color indexed="81"/>
            <rFont val="Tahoma"/>
            <family val="2"/>
          </rPr>
          <t>x1.2:
英文</t>
        </r>
      </text>
    </comment>
    <comment ref="C101" authorId="1" shapeId="0" xr:uid="{00000000-0006-0000-0400-000036000000}">
      <text>
        <r>
          <rPr>
            <b/>
            <sz val="9"/>
            <color indexed="81"/>
            <rFont val="Tahoma"/>
            <family val="2"/>
          </rPr>
          <t>x2:
英文
x1.5:
通識</t>
        </r>
      </text>
    </comment>
    <comment ref="C102" authorId="1" shapeId="0" xr:uid="{00000000-0006-0000-0400-000037000000}">
      <text>
        <r>
          <rPr>
            <b/>
            <sz val="9"/>
            <color indexed="81"/>
            <rFont val="Tahoma"/>
            <family val="2"/>
          </rPr>
          <t xml:space="preserve">x1.5:
中文、英文 </t>
        </r>
      </text>
    </comment>
    <comment ref="C103" authorId="1" shapeId="0" xr:uid="{00000000-0006-0000-0400-000038000000}">
      <text>
        <r>
          <rPr>
            <b/>
            <sz val="9"/>
            <color indexed="81"/>
            <rFont val="Tahoma"/>
            <family val="2"/>
          </rPr>
          <t>2021</t>
        </r>
        <r>
          <rPr>
            <b/>
            <sz val="9"/>
            <color indexed="81"/>
            <rFont val="細明體"/>
            <family val="3"/>
            <charset val="136"/>
          </rPr>
          <t>年英文有</t>
        </r>
        <r>
          <rPr>
            <b/>
            <sz val="9"/>
            <color indexed="81"/>
            <rFont val="Tahoma"/>
            <family val="2"/>
          </rPr>
          <t>x2</t>
        </r>
        <r>
          <rPr>
            <b/>
            <sz val="9"/>
            <color indexed="81"/>
            <rFont val="細明體"/>
            <family val="3"/>
            <charset val="136"/>
          </rPr>
          <t>比重
此處仍以</t>
        </r>
        <r>
          <rPr>
            <b/>
            <sz val="9"/>
            <color indexed="81"/>
            <rFont val="Tahoma"/>
            <family val="2"/>
          </rPr>
          <t>2020</t>
        </r>
        <r>
          <rPr>
            <b/>
            <sz val="9"/>
            <color indexed="81"/>
            <rFont val="細明體"/>
            <family val="3"/>
            <charset val="136"/>
          </rPr>
          <t>年比重計算，請注意</t>
        </r>
        <r>
          <rPr>
            <b/>
            <sz val="9"/>
            <color indexed="81"/>
            <rFont val="細明體"/>
            <family val="3"/>
            <charset val="136"/>
          </rPr>
          <t xml:space="preserve">
</t>
        </r>
        <r>
          <rPr>
            <sz val="9"/>
            <color indexed="81"/>
            <rFont val="Tahoma"/>
            <family val="2"/>
          </rPr>
          <t xml:space="preserve">x1.2: </t>
        </r>
        <r>
          <rPr>
            <sz val="9"/>
            <color indexed="81"/>
            <rFont val="細明體"/>
            <family val="3"/>
            <charset val="136"/>
          </rPr>
          <t>中國歷史、經濟、倫理及宗教科、地理、歷史、旅遊及款待</t>
        </r>
      </text>
    </comment>
    <comment ref="C104" authorId="1" shapeId="0" xr:uid="{00000000-0006-0000-0400-000039000000}">
      <text>
        <r>
          <rPr>
            <b/>
            <sz val="9"/>
            <color indexed="81"/>
            <rFont val="Tahoma"/>
            <family val="2"/>
          </rPr>
          <t>Best 5 (</t>
        </r>
        <r>
          <rPr>
            <b/>
            <sz val="9"/>
            <color indexed="81"/>
            <rFont val="細明體"/>
            <family val="3"/>
            <charset val="136"/>
          </rPr>
          <t>包括英文</t>
        </r>
        <r>
          <rPr>
            <b/>
            <sz val="9"/>
            <color indexed="81"/>
            <rFont val="Tahoma"/>
            <family val="2"/>
          </rPr>
          <t>)</t>
        </r>
        <r>
          <rPr>
            <sz val="9"/>
            <color indexed="81"/>
            <rFont val="Tahoma"/>
            <family val="2"/>
          </rPr>
          <t xml:space="preserve">
</t>
        </r>
      </text>
    </comment>
    <comment ref="C108" authorId="1" shapeId="0" xr:uid="{00000000-0006-0000-0400-00003A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C109" authorId="1" shapeId="0" xr:uid="{00000000-0006-0000-0400-00003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 xml:space="preserve">、物理、化學、生物、組合科學
</t>
        </r>
      </text>
    </comment>
    <comment ref="C110" authorId="1" shapeId="0" xr:uid="{00000000-0006-0000-0400-00003C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C111" authorId="1" shapeId="0" xr:uid="{00000000-0006-0000-0400-00003D000000}">
      <text>
        <r>
          <rPr>
            <b/>
            <sz val="9"/>
            <color indexed="81"/>
            <rFont val="Tahoma"/>
            <family val="2"/>
          </rPr>
          <t>2021</t>
        </r>
        <r>
          <rPr>
            <b/>
            <sz val="9"/>
            <color indexed="81"/>
            <rFont val="細明體"/>
            <family val="3"/>
            <charset val="136"/>
          </rPr>
          <t xml:space="preserve">年將以新比重收生
</t>
        </r>
        <r>
          <rPr>
            <b/>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t>
        </r>
        <r>
          <rPr>
            <sz val="9"/>
            <color indexed="81"/>
            <rFont val="Tahoma"/>
            <family val="2"/>
          </rPr>
          <t>M1/2</t>
        </r>
        <r>
          <rPr>
            <sz val="9"/>
            <color indexed="81"/>
            <rFont val="細明體"/>
            <family val="3"/>
            <charset val="136"/>
          </rPr>
          <t xml:space="preserve">、通識、生物、化學、物理、組合科學、經濟、地理、綜合科學
</t>
        </r>
        <r>
          <rPr>
            <b/>
            <sz val="9"/>
            <color indexed="81"/>
            <rFont val="細明體"/>
            <family val="3"/>
            <charset val="136"/>
          </rPr>
          <t xml:space="preserve">
此處仍以</t>
        </r>
        <r>
          <rPr>
            <b/>
            <sz val="9"/>
            <color indexed="81"/>
            <rFont val="Tahoma"/>
            <family val="2"/>
          </rPr>
          <t>2020</t>
        </r>
        <r>
          <rPr>
            <b/>
            <sz val="9"/>
            <color indexed="81"/>
            <rFont val="細明體"/>
            <family val="3"/>
            <charset val="136"/>
          </rPr>
          <t>年比重作估算，請注意
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b/>
            <sz val="9"/>
            <color indexed="81"/>
            <rFont val="細明體"/>
            <family val="3"/>
            <charset val="136"/>
          </rPr>
          <t xml:space="preserve">
</t>
        </r>
        <r>
          <rPr>
            <sz val="9"/>
            <color indexed="81"/>
            <rFont val="Tahoma"/>
            <family val="2"/>
          </rPr>
          <t xml:space="preserve">
</t>
        </r>
      </text>
    </comment>
    <comment ref="C112" authorId="1" shapeId="0" xr:uid="{00000000-0006-0000-0400-00003E000000}">
      <text>
        <r>
          <rPr>
            <b/>
            <sz val="9"/>
            <color indexed="81"/>
            <rFont val="Tahoma"/>
            <family val="2"/>
          </rPr>
          <t>2021</t>
        </r>
        <r>
          <rPr>
            <b/>
            <sz val="9"/>
            <color indexed="81"/>
            <rFont val="細明體"/>
            <family val="3"/>
            <charset val="136"/>
          </rPr>
          <t xml:space="preserve">年將以新比重收生
</t>
        </r>
        <r>
          <rPr>
            <b/>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、地理、</t>
        </r>
        <r>
          <rPr>
            <sz val="9"/>
            <color indexed="81"/>
            <rFont val="Tahoma"/>
            <family val="2"/>
          </rPr>
          <t>ICT</t>
        </r>
        <r>
          <rPr>
            <sz val="9"/>
            <color indexed="81"/>
            <rFont val="細明體"/>
            <family val="3"/>
            <charset val="136"/>
          </rPr>
          <t xml:space="preserve">、綜合科學
</t>
        </r>
        <r>
          <rPr>
            <b/>
            <sz val="9"/>
            <color indexed="81"/>
            <rFont val="細明體"/>
            <family val="3"/>
            <charset val="136"/>
          </rPr>
          <t xml:space="preserve">
此處仍以</t>
        </r>
        <r>
          <rPr>
            <b/>
            <sz val="9"/>
            <color indexed="81"/>
            <rFont val="Tahoma"/>
            <family val="2"/>
          </rPr>
          <t>2020</t>
        </r>
        <r>
          <rPr>
            <b/>
            <sz val="9"/>
            <color indexed="81"/>
            <rFont val="細明體"/>
            <family val="3"/>
            <charset val="136"/>
          </rPr>
          <t>年比重作估算，請注意
最高比重</t>
        </r>
        <r>
          <rPr>
            <b/>
            <sz val="9"/>
            <color indexed="81"/>
            <rFont val="Tahoma"/>
            <family val="2"/>
          </rPr>
          <t xml:space="preserve">: </t>
        </r>
        <r>
          <rPr>
            <sz val="9"/>
            <color indexed="81"/>
            <rFont val="細明體"/>
            <family val="3"/>
            <charset val="136"/>
          </rPr>
          <t>英文、數學</t>
        </r>
        <r>
          <rPr>
            <sz val="9"/>
            <color indexed="81"/>
            <rFont val="Tahoma"/>
            <family val="2"/>
          </rPr>
          <t xml:space="preserve">
</t>
        </r>
      </text>
    </comment>
    <comment ref="C113" authorId="1" shapeId="0" xr:uid="{00000000-0006-0000-0400-00003F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C114" authorId="1" shapeId="0" xr:uid="{00000000-0006-0000-0400-000040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15" authorId="1" shapeId="0" xr:uid="{00000000-0006-0000-0400-000041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、生物、化學、組合科學</t>
        </r>
        <r>
          <rPr>
            <sz val="9"/>
            <color indexed="81"/>
            <rFont val="Tahoma"/>
            <family val="2"/>
          </rPr>
          <t>(</t>
        </r>
        <r>
          <rPr>
            <sz val="9"/>
            <color indexed="81"/>
            <rFont val="細明體"/>
            <family val="3"/>
            <charset val="136"/>
          </rPr>
          <t>生物、化學</t>
        </r>
        <r>
          <rPr>
            <sz val="9"/>
            <color indexed="81"/>
            <rFont val="Tahoma"/>
            <family val="2"/>
          </rPr>
          <t xml:space="preserve">)
</t>
        </r>
      </text>
    </comment>
    <comment ref="C116" authorId="1" shapeId="0" xr:uid="{00000000-0006-0000-0400-00004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英文、化學、組合科學</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t>
        </r>
        <r>
          <rPr>
            <sz val="9"/>
            <color indexed="81"/>
            <rFont val="Tahoma"/>
            <family val="2"/>
          </rPr>
          <t>DAT</t>
        </r>
        <r>
          <rPr>
            <sz val="9"/>
            <color indexed="81"/>
            <rFont val="細明體"/>
            <family val="3"/>
            <charset val="136"/>
          </rPr>
          <t xml:space="preserve">、視藝藝術
</t>
        </r>
        <r>
          <rPr>
            <sz val="9"/>
            <color indexed="81"/>
            <rFont val="Tahoma"/>
            <family val="2"/>
          </rPr>
          <t xml:space="preserve">
</t>
        </r>
      </text>
    </comment>
    <comment ref="C117" authorId="1" shapeId="0" xr:uid="{00000000-0006-0000-0400-00004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C118" authorId="1" shapeId="0" xr:uid="{00000000-0006-0000-0400-000044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C119" authorId="1" shapeId="0" xr:uid="{00000000-0006-0000-0400-000045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20" authorId="1" shapeId="0" xr:uid="{00000000-0006-0000-0400-00004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t>
        </r>
        <r>
          <rPr>
            <sz val="9"/>
            <color indexed="81"/>
            <rFont val="Tahoma"/>
            <family val="2"/>
          </rPr>
          <t>DAT</t>
        </r>
        <r>
          <rPr>
            <sz val="9"/>
            <color indexed="81"/>
            <rFont val="細明體"/>
            <family val="3"/>
            <charset val="136"/>
          </rPr>
          <t>、視覺藝術</t>
        </r>
        <r>
          <rPr>
            <sz val="9"/>
            <color indexed="81"/>
            <rFont val="Tahoma"/>
            <family val="2"/>
          </rPr>
          <t xml:space="preserve">
</t>
        </r>
      </text>
    </comment>
    <comment ref="C121" authorId="1" shapeId="0" xr:uid="{00000000-0006-0000-0400-000047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22" authorId="1" shapeId="0" xr:uid="{00000000-0006-0000-0400-00004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23" authorId="1" shapeId="0" xr:uid="{00000000-0006-0000-0400-00004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24" authorId="1" shapeId="0" xr:uid="{00000000-0006-0000-0400-00004A000000}">
      <text>
        <r>
          <rPr>
            <b/>
            <sz val="9"/>
            <color indexed="81"/>
            <rFont val="細明體"/>
            <family val="3"/>
            <charset val="136"/>
          </rPr>
          <t>最高比重</t>
        </r>
        <r>
          <rPr>
            <b/>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、生物、化學、物理、組合科學</t>
        </r>
        <r>
          <rPr>
            <sz val="9"/>
            <color indexed="81"/>
            <rFont val="Tahoma"/>
            <family val="2"/>
          </rPr>
          <t xml:space="preserve">
</t>
        </r>
      </text>
    </comment>
    <comment ref="C125" authorId="1" shapeId="0" xr:uid="{00000000-0006-0000-0400-00004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中文、英文、數學、生物、化學、物理、組合科學</t>
        </r>
        <r>
          <rPr>
            <sz val="9"/>
            <color indexed="81"/>
            <rFont val="Tahoma"/>
            <family val="2"/>
          </rPr>
          <t xml:space="preserve">
</t>
        </r>
      </text>
    </comment>
    <comment ref="C126" authorId="1" shapeId="0" xr:uid="{00000000-0006-0000-0400-00004C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r>
          <rPr>
            <sz val="9"/>
            <color indexed="81"/>
            <rFont val="Tahoma"/>
            <family val="2"/>
          </rPr>
          <t xml:space="preserve">
</t>
        </r>
      </text>
    </comment>
    <comment ref="C127" authorId="1" shapeId="0" xr:uid="{00000000-0006-0000-0400-00004D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r>
          <rPr>
            <sz val="9"/>
            <color indexed="81"/>
            <rFont val="Tahoma"/>
            <family val="2"/>
          </rPr>
          <t>(</t>
        </r>
        <r>
          <rPr>
            <sz val="9"/>
            <color indexed="81"/>
            <rFont val="細明體"/>
            <family val="3"/>
            <charset val="136"/>
          </rPr>
          <t>生物、物理</t>
        </r>
        <r>
          <rPr>
            <sz val="9"/>
            <color indexed="81"/>
            <rFont val="Tahoma"/>
            <family val="2"/>
          </rPr>
          <t>)</t>
        </r>
      </text>
    </comment>
    <comment ref="C128" authorId="1" shapeId="0" xr:uid="{00000000-0006-0000-0400-00004E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C129" authorId="1" shapeId="0" xr:uid="{00000000-0006-0000-0400-00004F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text>
    </comment>
    <comment ref="C131" authorId="1" shapeId="0" xr:uid="{00000000-0006-0000-0400-000050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32" authorId="1" shapeId="0" xr:uid="{00000000-0006-0000-0400-000051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C133" authorId="1" shapeId="0" xr:uid="{00000000-0006-0000-0400-00005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C134" authorId="1" shapeId="0" xr:uid="{00000000-0006-0000-0400-00005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135" authorId="1" shapeId="0" xr:uid="{00000000-0006-0000-0400-000054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C136" authorId="1" shapeId="0" xr:uid="{00000000-0006-0000-0400-000055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英文、數學、物理、組合科學</t>
        </r>
        <r>
          <rPr>
            <sz val="9"/>
            <color indexed="81"/>
            <rFont val="Tahoma"/>
            <family val="2"/>
          </rPr>
          <t>(</t>
        </r>
        <r>
          <rPr>
            <sz val="9"/>
            <color indexed="81"/>
            <rFont val="細明體"/>
            <family val="3"/>
            <charset val="136"/>
          </rPr>
          <t>物理</t>
        </r>
        <r>
          <rPr>
            <sz val="9"/>
            <color indexed="81"/>
            <rFont val="Tahoma"/>
            <family val="2"/>
          </rPr>
          <t xml:space="preserve">)
</t>
        </r>
      </text>
    </comment>
    <comment ref="C138" authorId="1" shapeId="0" xr:uid="{00000000-0006-0000-0400-00005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139" authorId="1" shapeId="0" xr:uid="{00000000-0006-0000-0400-000057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C140" authorId="1" shapeId="0" xr:uid="{00000000-0006-0000-0400-00005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141" authorId="1" shapeId="0" xr:uid="{00000000-0006-0000-0400-00005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42" authorId="1" shapeId="0" xr:uid="{00000000-0006-0000-0400-00005A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r>
          <rPr>
            <sz val="9"/>
            <color indexed="81"/>
            <rFont val="Tahoma"/>
            <family val="2"/>
          </rPr>
          <t xml:space="preserve">
</t>
        </r>
      </text>
    </comment>
    <comment ref="C143" authorId="1" shapeId="0" xr:uid="{00000000-0006-0000-0400-00005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C144" authorId="1" shapeId="0" xr:uid="{00000000-0006-0000-0400-00005C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r>
          <rPr>
            <sz val="9"/>
            <color indexed="81"/>
            <rFont val="Tahoma"/>
            <family val="2"/>
          </rPr>
          <t xml:space="preserve">
</t>
        </r>
      </text>
    </comment>
    <comment ref="C145" authorId="1" shapeId="0" xr:uid="{00000000-0006-0000-0400-00005D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 xml:space="preserve">
</t>
        </r>
      </text>
    </comment>
    <comment ref="C146" authorId="1" shapeId="0" xr:uid="{00000000-0006-0000-0400-00005E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t>
        </r>
        <r>
          <rPr>
            <sz val="9"/>
            <color indexed="81"/>
            <rFont val="Tahoma"/>
            <family val="2"/>
          </rPr>
          <t>BAFS</t>
        </r>
        <r>
          <rPr>
            <sz val="9"/>
            <color indexed="81"/>
            <rFont val="細明體"/>
            <family val="3"/>
            <charset val="136"/>
          </rPr>
          <t>、組合科學、經濟、</t>
        </r>
        <r>
          <rPr>
            <sz val="9"/>
            <color indexed="81"/>
            <rFont val="Tahoma"/>
            <family val="2"/>
          </rPr>
          <t xml:space="preserve">ICT
</t>
        </r>
      </text>
    </comment>
    <comment ref="C147" authorId="1" shapeId="0" xr:uid="{00000000-0006-0000-0400-00005F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r>
          <rPr>
            <sz val="9"/>
            <color indexed="81"/>
            <rFont val="Tahoma"/>
            <family val="2"/>
          </rPr>
          <t xml:space="preserve">
</t>
        </r>
      </text>
    </comment>
    <comment ref="C148" authorId="1" shapeId="0" xr:uid="{00000000-0006-0000-0400-000060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49" authorId="1" shapeId="0" xr:uid="{00000000-0006-0000-0400-000061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50" authorId="1" shapeId="0" xr:uid="{00000000-0006-0000-0400-00006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英文、數學、生物、組合科學</t>
        </r>
        <r>
          <rPr>
            <sz val="9"/>
            <color indexed="81"/>
            <rFont val="Tahoma"/>
            <family val="2"/>
          </rPr>
          <t>(</t>
        </r>
        <r>
          <rPr>
            <sz val="9"/>
            <color indexed="81"/>
            <rFont val="細明體"/>
            <family val="3"/>
            <charset val="136"/>
          </rPr>
          <t>生物</t>
        </r>
        <r>
          <rPr>
            <sz val="9"/>
            <color indexed="81"/>
            <rFont val="Tahoma"/>
            <family val="2"/>
          </rPr>
          <t xml:space="preserve">)
</t>
        </r>
      </text>
    </comment>
    <comment ref="C151" authorId="1" shapeId="0" xr:uid="{00000000-0006-0000-0400-00006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152" authorId="1" shapeId="0" xr:uid="{00000000-0006-0000-0400-000064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英文、數學、化學、組合科學</t>
        </r>
        <r>
          <rPr>
            <sz val="9"/>
            <color indexed="81"/>
            <rFont val="Tahoma"/>
            <family val="2"/>
          </rPr>
          <t>(</t>
        </r>
        <r>
          <rPr>
            <sz val="9"/>
            <color indexed="81"/>
            <rFont val="細明體"/>
            <family val="3"/>
            <charset val="136"/>
          </rPr>
          <t>化學</t>
        </r>
        <r>
          <rPr>
            <sz val="9"/>
            <color indexed="81"/>
            <rFont val="Tahoma"/>
            <family val="2"/>
          </rPr>
          <t xml:space="preserve">)
</t>
        </r>
      </text>
    </comment>
    <comment ref="C153" authorId="1" shapeId="0" xr:uid="{00000000-0006-0000-0400-000065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t>
        </r>
        <r>
          <rPr>
            <sz val="9"/>
            <color indexed="81"/>
            <rFont val="Tahoma"/>
            <family val="2"/>
          </rPr>
          <t xml:space="preserve">
</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154" authorId="1" shapeId="0" xr:uid="{00000000-0006-0000-0400-00006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數學、物理、組合科學</t>
        </r>
        <r>
          <rPr>
            <sz val="9"/>
            <color indexed="81"/>
            <rFont val="Tahoma"/>
            <family val="2"/>
          </rPr>
          <t>(</t>
        </r>
        <r>
          <rPr>
            <sz val="9"/>
            <color indexed="81"/>
            <rFont val="細明體"/>
            <family val="3"/>
            <charset val="136"/>
          </rPr>
          <t>物理</t>
        </r>
        <r>
          <rPr>
            <sz val="9"/>
            <color indexed="81"/>
            <rFont val="Tahoma"/>
            <family val="2"/>
          </rPr>
          <t>)</t>
        </r>
      </text>
    </comment>
    <comment ref="C156" authorId="1" shapeId="0" xr:uid="{00000000-0006-0000-0400-000067000000}">
      <text>
        <r>
          <rPr>
            <b/>
            <sz val="9"/>
            <color indexed="81"/>
            <rFont val="細明體"/>
            <family val="3"/>
            <charset val="136"/>
          </rPr>
          <t>最高比重</t>
        </r>
        <r>
          <rPr>
            <b/>
            <sz val="9"/>
            <color indexed="81"/>
            <rFont val="Tahoma"/>
            <family val="2"/>
          </rPr>
          <t xml:space="preserve">:
</t>
        </r>
        <r>
          <rPr>
            <sz val="9"/>
            <color indexed="81"/>
            <rFont val="細明體"/>
            <family val="3"/>
            <charset val="136"/>
          </rPr>
          <t>化學、組合科學</t>
        </r>
        <r>
          <rPr>
            <sz val="9"/>
            <color indexed="81"/>
            <rFont val="Tahoma"/>
            <family val="2"/>
          </rPr>
          <t>(</t>
        </r>
        <r>
          <rPr>
            <sz val="9"/>
            <color indexed="81"/>
            <rFont val="細明體"/>
            <family val="3"/>
            <charset val="136"/>
          </rPr>
          <t>化學</t>
        </r>
        <r>
          <rPr>
            <sz val="9"/>
            <color indexed="81"/>
            <rFont val="Tahoma"/>
            <family val="2"/>
          </rPr>
          <t xml:space="preserve">)
</t>
        </r>
      </text>
    </comment>
    <comment ref="C157" authorId="1" shapeId="0" xr:uid="{00000000-0006-0000-0400-00006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158" authorId="1" shapeId="0" xr:uid="{00000000-0006-0000-0400-00006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C159" authorId="1" shapeId="0" xr:uid="{00000000-0006-0000-0400-00006A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 xml:space="preserve">ICT
</t>
        </r>
      </text>
    </comment>
    <comment ref="C161" authorId="1" shapeId="0" xr:uid="{00000000-0006-0000-0400-00006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英文、數學、生物、化學、物理、組合科學、</t>
        </r>
        <r>
          <rPr>
            <sz val="9"/>
            <color indexed="81"/>
            <rFont val="Tahoma"/>
            <family val="2"/>
          </rPr>
          <t xml:space="preserve">ICT
</t>
        </r>
      </text>
    </comment>
    <comment ref="C166" authorId="1" shapeId="0" xr:uid="{00000000-0006-0000-0400-00006C000000}">
      <text>
        <r>
          <rPr>
            <sz val="9"/>
            <color indexed="81"/>
            <rFont val="細明體"/>
            <family val="3"/>
            <charset val="136"/>
          </rPr>
          <t>中文有較高比重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C169" authorId="1" shapeId="0" xr:uid="{00000000-0006-0000-0400-00006D000000}">
      <text>
        <r>
          <rPr>
            <b/>
            <sz val="9"/>
            <color indexed="81"/>
            <rFont val="Tahoma"/>
            <family val="2"/>
          </rPr>
          <t>2021</t>
        </r>
        <r>
          <rPr>
            <b/>
            <sz val="9"/>
            <color indexed="81"/>
            <rFont val="細明體"/>
            <family val="3"/>
            <charset val="136"/>
          </rPr>
          <t>年會以</t>
        </r>
        <r>
          <rPr>
            <b/>
            <sz val="9"/>
            <color indexed="81"/>
            <rFont val="Tahoma"/>
            <family val="2"/>
          </rPr>
          <t>Best 5</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r>
          <rPr>
            <b/>
            <sz val="9"/>
            <color indexed="81"/>
            <rFont val="Tahoma"/>
            <family val="2"/>
          </rPr>
          <t xml:space="preserve">
</t>
        </r>
        <r>
          <rPr>
            <sz val="9"/>
            <color indexed="81"/>
            <rFont val="細明體"/>
            <family val="3"/>
            <charset val="136"/>
          </rPr>
          <t>英文有較高比重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AE169" authorId="1" shapeId="0" xr:uid="{00000000-0006-0000-0400-00006E000000}">
      <text>
        <r>
          <rPr>
            <b/>
            <sz val="9"/>
            <color indexed="81"/>
            <rFont val="Tahoma"/>
            <family val="2"/>
          </rPr>
          <t>2021</t>
        </r>
        <r>
          <rPr>
            <b/>
            <sz val="9"/>
            <color indexed="81"/>
            <rFont val="細明體"/>
            <family val="3"/>
            <charset val="136"/>
          </rPr>
          <t xml:space="preserve">年將不會計算比重
</t>
        </r>
        <r>
          <rPr>
            <b/>
            <sz val="9"/>
            <color indexed="81"/>
            <rFont val="Tahoma"/>
            <family val="2"/>
          </rPr>
          <t xml:space="preserve">
</t>
        </r>
        <r>
          <rPr>
            <b/>
            <sz val="9"/>
            <color indexed="81"/>
            <rFont val="細明體"/>
            <family val="3"/>
            <charset val="136"/>
          </rPr>
          <t xml:space="preserve">經考慮後，
此處將以不以原有比重作估算，請注意
</t>
        </r>
        <r>
          <rPr>
            <sz val="9"/>
            <color indexed="81"/>
            <rFont val="細明體"/>
            <family val="3"/>
            <charset val="136"/>
          </rPr>
          <t xml:space="preserve">
</t>
        </r>
        <r>
          <rPr>
            <b/>
            <sz val="9"/>
            <color indexed="81"/>
            <rFont val="Tahoma"/>
            <family val="2"/>
          </rPr>
          <t>x2:</t>
        </r>
        <r>
          <rPr>
            <sz val="9"/>
            <color indexed="81"/>
            <rFont val="Tahoma"/>
            <family val="2"/>
          </rPr>
          <t xml:space="preserve"> </t>
        </r>
        <r>
          <rPr>
            <sz val="9"/>
            <color indexed="81"/>
            <rFont val="細明體"/>
            <family val="3"/>
            <charset val="136"/>
          </rPr>
          <t>旅遊及款待</t>
        </r>
      </text>
    </comment>
    <comment ref="AE170" authorId="1" shapeId="0" xr:uid="{00000000-0006-0000-0400-00006F000000}">
      <text>
        <r>
          <rPr>
            <b/>
            <sz val="9"/>
            <color indexed="81"/>
            <rFont val="細明體"/>
            <family val="3"/>
            <charset val="136"/>
          </rPr>
          <t>包含英文及</t>
        </r>
        <r>
          <rPr>
            <b/>
            <sz val="9"/>
            <color indexed="81"/>
            <rFont val="Tahoma"/>
            <family val="2"/>
          </rPr>
          <t xml:space="preserve"> [</t>
        </r>
        <r>
          <rPr>
            <b/>
            <sz val="9"/>
            <color indexed="81"/>
            <rFont val="細明體"/>
            <family val="3"/>
            <charset val="136"/>
          </rPr>
          <t>數學和</t>
        </r>
        <r>
          <rPr>
            <b/>
            <sz val="9"/>
            <color indexed="81"/>
            <rFont val="Tahoma"/>
            <family val="2"/>
          </rPr>
          <t>M1/2]</t>
        </r>
        <r>
          <rPr>
            <b/>
            <sz val="9"/>
            <color indexed="81"/>
            <rFont val="細明體"/>
            <family val="3"/>
            <charset val="136"/>
          </rPr>
          <t>其中最佳一科</t>
        </r>
      </text>
    </comment>
    <comment ref="AE172" authorId="1" shapeId="0" xr:uid="{00000000-0006-0000-0400-000070000000}">
      <text>
        <r>
          <rPr>
            <b/>
            <sz val="9"/>
            <color indexed="81"/>
            <rFont val="Tahoma"/>
            <family val="2"/>
          </rPr>
          <t>2021</t>
        </r>
        <r>
          <rPr>
            <b/>
            <sz val="9"/>
            <color indexed="81"/>
            <rFont val="細明體"/>
            <family val="3"/>
            <charset val="136"/>
          </rPr>
          <t xml:space="preserve">年將以新比重收生
</t>
        </r>
        <r>
          <rPr>
            <sz val="9"/>
            <color indexed="81"/>
            <rFont val="Tahoma"/>
            <family val="2"/>
          </rPr>
          <t>(</t>
        </r>
        <r>
          <rPr>
            <b/>
            <sz val="9"/>
            <color indexed="81"/>
            <rFont val="Tahoma"/>
            <family val="2"/>
          </rPr>
          <t>x2</t>
        </r>
        <r>
          <rPr>
            <sz val="9"/>
            <color indexed="81"/>
            <rFont val="Tahoma"/>
            <family val="2"/>
          </rPr>
          <t xml:space="preserve">: </t>
        </r>
        <r>
          <rPr>
            <sz val="9"/>
            <color indexed="81"/>
            <rFont val="細明體"/>
            <family val="3"/>
            <charset val="136"/>
          </rPr>
          <t xml:space="preserve">英文、數學
</t>
        </r>
        <r>
          <rPr>
            <b/>
            <sz val="9"/>
            <color indexed="81"/>
            <rFont val="Tahoma"/>
            <family val="2"/>
          </rPr>
          <t xml:space="preserve">x1.5: </t>
        </r>
        <r>
          <rPr>
            <sz val="9"/>
            <color indexed="81"/>
            <rFont val="Tahoma"/>
            <family val="2"/>
          </rPr>
          <t>[M1/2</t>
        </r>
        <r>
          <rPr>
            <sz val="9"/>
            <color indexed="81"/>
            <rFont val="細明體"/>
            <family val="3"/>
            <charset val="136"/>
          </rPr>
          <t>、化學、物理或經濟</t>
        </r>
        <r>
          <rPr>
            <sz val="9"/>
            <color indexed="81"/>
            <rFont val="Tahoma"/>
            <family val="2"/>
          </rPr>
          <t xml:space="preserve">] </t>
        </r>
        <r>
          <rPr>
            <sz val="9"/>
            <color indexed="81"/>
            <rFont val="細明體"/>
            <family val="3"/>
            <charset val="136"/>
          </rPr>
          <t>其中最佳一科</t>
        </r>
        <r>
          <rPr>
            <sz val="9"/>
            <color indexed="81"/>
            <rFont val="Tahoma"/>
            <family val="2"/>
          </rPr>
          <t>)</t>
        </r>
        <r>
          <rPr>
            <b/>
            <sz val="9"/>
            <color indexed="81"/>
            <rFont val="細明體"/>
            <family val="3"/>
            <charset val="136"/>
          </rPr>
          <t xml:space="preserve">
此處仍以原有比重作估算，請注意</t>
        </r>
        <r>
          <rPr>
            <b/>
            <sz val="9"/>
            <color indexed="81"/>
            <rFont val="Tahoma"/>
            <family val="2"/>
          </rPr>
          <t xml:space="preserve">
x2: </t>
        </r>
        <r>
          <rPr>
            <sz val="9"/>
            <color indexed="81"/>
            <rFont val="細明體"/>
            <family val="3"/>
            <charset val="136"/>
          </rPr>
          <t xml:space="preserve">英文、數學
</t>
        </r>
        <r>
          <rPr>
            <b/>
            <sz val="9"/>
            <color indexed="81"/>
            <rFont val="Tahoma"/>
            <family val="2"/>
          </rPr>
          <t xml:space="preserve">x1.5: </t>
        </r>
        <r>
          <rPr>
            <sz val="9"/>
            <color indexed="81"/>
            <rFont val="Tahoma"/>
            <family val="2"/>
          </rPr>
          <t>[M1/2</t>
        </r>
        <r>
          <rPr>
            <sz val="9"/>
            <color indexed="81"/>
            <rFont val="細明體"/>
            <family val="3"/>
            <charset val="136"/>
          </rPr>
          <t>、化學或物理</t>
        </r>
        <r>
          <rPr>
            <sz val="9"/>
            <color indexed="81"/>
            <rFont val="Tahoma"/>
            <family val="2"/>
          </rPr>
          <t xml:space="preserve">] </t>
        </r>
        <r>
          <rPr>
            <sz val="9"/>
            <color indexed="81"/>
            <rFont val="細明體"/>
            <family val="3"/>
            <charset val="136"/>
          </rPr>
          <t>其中最佳一科</t>
        </r>
      </text>
    </comment>
    <comment ref="AE173" authorId="1" shapeId="0" xr:uid="{00000000-0006-0000-0400-000071000000}">
      <text>
        <r>
          <rPr>
            <b/>
            <sz val="9"/>
            <color indexed="81"/>
            <rFont val="Tahoma"/>
            <family val="2"/>
          </rPr>
          <t xml:space="preserve">x2: </t>
        </r>
        <r>
          <rPr>
            <sz val="9"/>
            <color indexed="81"/>
            <rFont val="細明體"/>
            <family val="3"/>
            <charset val="136"/>
          </rPr>
          <t>英文、通識</t>
        </r>
        <r>
          <rPr>
            <sz val="9"/>
            <color indexed="81"/>
            <rFont val="Tahoma"/>
            <family val="2"/>
          </rPr>
          <t xml:space="preserve">
</t>
        </r>
        <r>
          <rPr>
            <b/>
            <sz val="9"/>
            <color indexed="81"/>
            <rFont val="Tahoma"/>
            <family val="2"/>
          </rPr>
          <t xml:space="preserve">x 1.5: </t>
        </r>
        <r>
          <rPr>
            <sz val="9"/>
            <color indexed="81"/>
            <rFont val="細明體"/>
            <family val="3"/>
            <charset val="136"/>
          </rPr>
          <t>中文</t>
        </r>
      </text>
    </comment>
    <comment ref="C175" authorId="1" shapeId="0" xr:uid="{00000000-0006-0000-0400-000072000000}">
      <text>
        <r>
          <rPr>
            <b/>
            <sz val="9"/>
            <color indexed="81"/>
            <rFont val="細明體"/>
            <family val="3"/>
            <charset val="136"/>
          </rPr>
          <t>包含中文、英文</t>
        </r>
      </text>
    </comment>
    <comment ref="AE175" authorId="1" shapeId="0" xr:uid="{00000000-0006-0000-0400-000073000000}">
      <text>
        <r>
          <rPr>
            <b/>
            <sz val="9"/>
            <color indexed="81"/>
            <rFont val="細明體"/>
            <family val="3"/>
            <charset val="136"/>
          </rPr>
          <t xml:space="preserve">包含中文
</t>
        </r>
        <r>
          <rPr>
            <b/>
            <sz val="9"/>
            <color indexed="81"/>
            <rFont val="Tahoma"/>
            <family val="2"/>
          </rPr>
          <t xml:space="preserve">
</t>
        </r>
        <r>
          <rPr>
            <sz val="9"/>
            <color indexed="81"/>
            <rFont val="細明體"/>
            <family val="3"/>
            <charset val="136"/>
          </rPr>
          <t>中文有較高比重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AE176" authorId="1" shapeId="0" xr:uid="{00000000-0006-0000-0400-000074000000}">
      <text>
        <r>
          <rPr>
            <b/>
            <sz val="9"/>
            <color indexed="81"/>
            <rFont val="細明體"/>
            <family val="3"/>
            <charset val="136"/>
          </rPr>
          <t xml:space="preserve">包含英文
</t>
        </r>
        <r>
          <rPr>
            <b/>
            <sz val="9"/>
            <color indexed="81"/>
            <rFont val="Tahoma"/>
            <family val="2"/>
          </rPr>
          <t xml:space="preserve">
</t>
        </r>
        <r>
          <rPr>
            <sz val="9"/>
            <color indexed="81"/>
            <rFont val="細明體"/>
            <family val="3"/>
            <charset val="136"/>
          </rPr>
          <t>英文有較高比重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AE177" authorId="1" shapeId="0" xr:uid="{00000000-0006-0000-0400-000075000000}">
      <text>
        <r>
          <rPr>
            <b/>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、中文、英文</t>
        </r>
      </text>
    </comment>
    <comment ref="AE181" authorId="1" shapeId="0" xr:uid="{00000000-0006-0000-0400-000076000000}">
      <text>
        <r>
          <rPr>
            <b/>
            <sz val="9"/>
            <color indexed="81"/>
            <rFont val="Tahoma"/>
            <family val="2"/>
          </rPr>
          <t xml:space="preserve">x1.5: </t>
        </r>
        <r>
          <rPr>
            <sz val="9"/>
            <color indexed="81"/>
            <rFont val="細明體"/>
            <family val="3"/>
            <charset val="136"/>
          </rPr>
          <t xml:space="preserve">英文
</t>
        </r>
        <r>
          <rPr>
            <sz val="9"/>
            <color indexed="81"/>
            <rFont val="Tahoma"/>
            <family val="2"/>
          </rPr>
          <t xml:space="preserve">
</t>
        </r>
        <r>
          <rPr>
            <b/>
            <sz val="9"/>
            <color indexed="81"/>
            <rFont val="Tahoma"/>
            <family val="2"/>
          </rPr>
          <t xml:space="preserve">x1.25: </t>
        </r>
        <r>
          <rPr>
            <sz val="9"/>
            <color indexed="81"/>
            <rFont val="細明體"/>
            <family val="3"/>
            <charset val="136"/>
          </rPr>
          <t>中文、通識</t>
        </r>
      </text>
    </comment>
    <comment ref="C182" authorId="1" shapeId="0" xr:uid="{00000000-0006-0000-0400-000077000000}">
      <text>
        <r>
          <rPr>
            <b/>
            <sz val="9"/>
            <color indexed="81"/>
            <rFont val="Tahoma"/>
            <family val="2"/>
          </rPr>
          <t>2021</t>
        </r>
        <r>
          <rPr>
            <b/>
            <sz val="9"/>
            <color indexed="81"/>
            <rFont val="細明體"/>
            <family val="3"/>
            <charset val="136"/>
          </rPr>
          <t xml:space="preserve">年將不會計算比重
</t>
        </r>
        <r>
          <rPr>
            <b/>
            <sz val="9"/>
            <color indexed="81"/>
            <rFont val="Tahoma"/>
            <family val="2"/>
          </rPr>
          <t xml:space="preserve">
</t>
        </r>
        <r>
          <rPr>
            <b/>
            <sz val="9"/>
            <color indexed="81"/>
            <rFont val="細明體"/>
            <family val="3"/>
            <charset val="136"/>
          </rPr>
          <t xml:space="preserve">經考慮後，
此處將以不以原有比重作估算，請注意
</t>
        </r>
        <r>
          <rPr>
            <sz val="9"/>
            <color indexed="81"/>
            <rFont val="細明體"/>
            <family val="3"/>
            <charset val="136"/>
          </rPr>
          <t xml:space="preserve">
</t>
        </r>
        <r>
          <rPr>
            <sz val="9"/>
            <color indexed="81"/>
            <rFont val="Tahoma"/>
            <family val="2"/>
          </rPr>
          <t xml:space="preserve">x2: </t>
        </r>
        <r>
          <rPr>
            <sz val="9"/>
            <color indexed="81"/>
            <rFont val="細明體"/>
            <family val="3"/>
            <charset val="136"/>
          </rPr>
          <t>旅遊及款待</t>
        </r>
      </text>
    </comment>
    <comment ref="AE182" authorId="1" shapeId="0" xr:uid="{00000000-0006-0000-0400-000078000000}">
      <text>
        <r>
          <rPr>
            <b/>
            <sz val="9"/>
            <color indexed="81"/>
            <rFont val="Tahoma"/>
            <family val="2"/>
          </rPr>
          <t xml:space="preserve">x2: </t>
        </r>
        <r>
          <rPr>
            <sz val="9"/>
            <color indexed="81"/>
            <rFont val="細明體"/>
            <family val="3"/>
            <charset val="136"/>
          </rPr>
          <t xml:space="preserve">英文、通識
</t>
        </r>
        <r>
          <rPr>
            <sz val="9"/>
            <color indexed="81"/>
            <rFont val="Tahoma"/>
            <family val="2"/>
          </rPr>
          <t xml:space="preserve">
</t>
        </r>
        <r>
          <rPr>
            <b/>
            <sz val="9"/>
            <color indexed="81"/>
            <rFont val="Tahoma"/>
            <family val="2"/>
          </rPr>
          <t xml:space="preserve">x1.5: </t>
        </r>
        <r>
          <rPr>
            <sz val="9"/>
            <color indexed="81"/>
            <rFont val="細明體"/>
            <family val="3"/>
            <charset val="136"/>
          </rPr>
          <t>中文</t>
        </r>
      </text>
    </comment>
    <comment ref="C183" authorId="1" shapeId="0" xr:uid="{00000000-0006-0000-0400-000079000000}">
      <text>
        <r>
          <rPr>
            <b/>
            <sz val="9"/>
            <color indexed="81"/>
            <rFont val="細明體"/>
            <family val="3"/>
            <charset val="136"/>
          </rPr>
          <t>包含英文及</t>
        </r>
        <r>
          <rPr>
            <b/>
            <sz val="9"/>
            <color indexed="81"/>
            <rFont val="Tahoma"/>
            <family val="2"/>
          </rPr>
          <t xml:space="preserve"> [</t>
        </r>
        <r>
          <rPr>
            <b/>
            <sz val="9"/>
            <color indexed="81"/>
            <rFont val="細明體"/>
            <family val="3"/>
            <charset val="136"/>
          </rPr>
          <t>數學和</t>
        </r>
        <r>
          <rPr>
            <b/>
            <sz val="9"/>
            <color indexed="81"/>
            <rFont val="Tahoma"/>
            <family val="2"/>
          </rPr>
          <t>M1/2]</t>
        </r>
        <r>
          <rPr>
            <b/>
            <sz val="9"/>
            <color indexed="81"/>
            <rFont val="細明體"/>
            <family val="3"/>
            <charset val="136"/>
          </rPr>
          <t>其中最佳一科</t>
        </r>
      </text>
    </comment>
    <comment ref="C185" authorId="1" shapeId="0" xr:uid="{00000000-0006-0000-0400-00007A000000}">
      <text>
        <r>
          <rPr>
            <sz val="9"/>
            <color indexed="81"/>
            <rFont val="Tahoma"/>
            <family val="2"/>
          </rPr>
          <t xml:space="preserve">x2: </t>
        </r>
        <r>
          <rPr>
            <sz val="9"/>
            <color indexed="81"/>
            <rFont val="細明體"/>
            <family val="3"/>
            <charset val="136"/>
          </rPr>
          <t xml:space="preserve">英文、數學
</t>
        </r>
        <r>
          <rPr>
            <sz val="9"/>
            <color indexed="81"/>
            <rFont val="Tahoma"/>
            <family val="2"/>
          </rPr>
          <t>x1.5: [M1/2</t>
        </r>
        <r>
          <rPr>
            <sz val="9"/>
            <color indexed="81"/>
            <rFont val="細明體"/>
            <family val="3"/>
            <charset val="136"/>
          </rPr>
          <t>、化學或物理</t>
        </r>
        <r>
          <rPr>
            <sz val="9"/>
            <color indexed="81"/>
            <rFont val="Tahoma"/>
            <family val="2"/>
          </rPr>
          <t xml:space="preserve">] </t>
        </r>
        <r>
          <rPr>
            <sz val="9"/>
            <color indexed="81"/>
            <rFont val="細明體"/>
            <family val="3"/>
            <charset val="136"/>
          </rPr>
          <t>其中最佳一科</t>
        </r>
        <r>
          <rPr>
            <sz val="9"/>
            <color indexed="81"/>
            <rFont val="Tahoma"/>
            <family val="2"/>
          </rPr>
          <t xml:space="preserve">
</t>
        </r>
      </text>
    </comment>
    <comment ref="C186" authorId="2" shapeId="0" xr:uid="{00000000-0006-0000-0400-00007B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r>
          <rPr>
            <b/>
            <sz val="9"/>
            <color indexed="81"/>
            <rFont val="Tahoma"/>
            <family val="2"/>
          </rPr>
          <t xml:space="preserve">
</t>
        </r>
      </text>
    </comment>
    <comment ref="C187" authorId="1" shapeId="0" xr:uid="{00000000-0006-0000-0400-00007C000000}">
      <text>
        <r>
          <rPr>
            <sz val="9"/>
            <color indexed="81"/>
            <rFont val="Tahoma"/>
            <family val="2"/>
          </rPr>
          <t xml:space="preserve">x2: </t>
        </r>
        <r>
          <rPr>
            <sz val="9"/>
            <color indexed="81"/>
            <rFont val="細明體"/>
            <family val="3"/>
            <charset val="136"/>
          </rPr>
          <t>英文、通識</t>
        </r>
        <r>
          <rPr>
            <sz val="9"/>
            <color indexed="81"/>
            <rFont val="Tahoma"/>
            <family val="2"/>
          </rPr>
          <t xml:space="preserve">
x 1.5: </t>
        </r>
        <r>
          <rPr>
            <sz val="9"/>
            <color indexed="81"/>
            <rFont val="細明體"/>
            <family val="3"/>
            <charset val="136"/>
          </rPr>
          <t>中文</t>
        </r>
        <r>
          <rPr>
            <sz val="9"/>
            <color indexed="81"/>
            <rFont val="Tahoma"/>
            <family val="2"/>
          </rPr>
          <t xml:space="preserve">
</t>
        </r>
      </text>
    </comment>
    <comment ref="C188" authorId="1" shapeId="0" xr:uid="{00000000-0006-0000-0400-00007D000000}">
      <text>
        <r>
          <rPr>
            <b/>
            <sz val="9"/>
            <color indexed="81"/>
            <rFont val="Tahoma"/>
            <family val="2"/>
          </rPr>
          <t>2021</t>
        </r>
        <r>
          <rPr>
            <b/>
            <sz val="9"/>
            <color indexed="81"/>
            <rFont val="細明體"/>
            <family val="3"/>
            <charset val="136"/>
          </rPr>
          <t xml:space="preserve">年將以新比重收生
</t>
        </r>
        <r>
          <rPr>
            <sz val="9"/>
            <color indexed="81"/>
            <rFont val="Tahoma"/>
            <family val="2"/>
          </rPr>
          <t>(x2:</t>
        </r>
        <r>
          <rPr>
            <sz val="9"/>
            <color indexed="81"/>
            <rFont val="細明體"/>
            <family val="3"/>
            <charset val="136"/>
          </rPr>
          <t xml:space="preserve">英文、數學
</t>
        </r>
        <r>
          <rPr>
            <sz val="9"/>
            <color indexed="81"/>
            <rFont val="Tahoma"/>
            <family val="2"/>
          </rPr>
          <t>x1.5: [M1/2</t>
        </r>
        <r>
          <rPr>
            <sz val="9"/>
            <color indexed="81"/>
            <rFont val="細明體"/>
            <family val="3"/>
            <charset val="136"/>
          </rPr>
          <t>、化學、物理及經濟</t>
        </r>
        <r>
          <rPr>
            <sz val="9"/>
            <color indexed="81"/>
            <rFont val="Tahoma"/>
            <family val="2"/>
          </rPr>
          <t>]</t>
        </r>
        <r>
          <rPr>
            <sz val="9"/>
            <color indexed="81"/>
            <rFont val="細明體"/>
            <family val="3"/>
            <charset val="136"/>
          </rPr>
          <t>其中最佳一科</t>
        </r>
        <r>
          <rPr>
            <sz val="9"/>
            <color indexed="81"/>
            <rFont val="Tahoma"/>
            <family val="2"/>
          </rPr>
          <t xml:space="preserve"> )</t>
        </r>
        <r>
          <rPr>
            <b/>
            <sz val="9"/>
            <color indexed="81"/>
            <rFont val="Tahoma"/>
            <family val="2"/>
          </rPr>
          <t xml:space="preserve">
</t>
        </r>
        <r>
          <rPr>
            <b/>
            <sz val="9"/>
            <color indexed="81"/>
            <rFont val="細明體"/>
            <family val="3"/>
            <charset val="136"/>
          </rPr>
          <t xml:space="preserve">
此處將以原有比重作估算，請注意
</t>
        </r>
        <r>
          <rPr>
            <sz val="9"/>
            <color indexed="81"/>
            <rFont val="細明體"/>
            <family val="3"/>
            <charset val="136"/>
          </rPr>
          <t xml:space="preserve">
</t>
        </r>
        <r>
          <rPr>
            <sz val="9"/>
            <color indexed="81"/>
            <rFont val="Tahoma"/>
            <family val="2"/>
          </rPr>
          <t xml:space="preserve">x2: </t>
        </r>
        <r>
          <rPr>
            <sz val="9"/>
            <color indexed="81"/>
            <rFont val="細明體"/>
            <family val="3"/>
            <charset val="136"/>
          </rPr>
          <t>英文、數學、</t>
        </r>
        <r>
          <rPr>
            <sz val="9"/>
            <color indexed="81"/>
            <rFont val="Tahoma"/>
            <family val="2"/>
          </rPr>
          <t>M1/2</t>
        </r>
      </text>
    </comment>
    <comment ref="C190" authorId="1" shapeId="0" xr:uid="{00000000-0006-0000-0400-00007E000000}">
      <text>
        <r>
          <rPr>
            <b/>
            <sz val="9"/>
            <color indexed="81"/>
            <rFont val="細明體"/>
            <family val="3"/>
            <charset val="136"/>
          </rPr>
          <t xml:space="preserve">包含中文
</t>
        </r>
        <r>
          <rPr>
            <b/>
            <sz val="9"/>
            <color indexed="81"/>
            <rFont val="Tahoma"/>
            <family val="2"/>
          </rPr>
          <t xml:space="preserve">
</t>
        </r>
        <r>
          <rPr>
            <sz val="9"/>
            <color indexed="81"/>
            <rFont val="細明體"/>
            <family val="3"/>
            <charset val="136"/>
          </rPr>
          <t>中文有較高比重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C191" authorId="1" shapeId="0" xr:uid="{00000000-0006-0000-0400-00007F000000}">
      <text>
        <r>
          <rPr>
            <b/>
            <sz val="9"/>
            <color indexed="81"/>
            <rFont val="細明體"/>
            <family val="3"/>
            <charset val="136"/>
          </rPr>
          <t xml:space="preserve">包含英文
</t>
        </r>
        <r>
          <rPr>
            <b/>
            <sz val="9"/>
            <color indexed="81"/>
            <rFont val="Tahoma"/>
            <family val="2"/>
          </rPr>
          <t xml:space="preserve">
</t>
        </r>
        <r>
          <rPr>
            <sz val="9"/>
            <color indexed="81"/>
            <rFont val="細明體"/>
            <family val="3"/>
            <charset val="136"/>
          </rPr>
          <t>英文有較高比重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C192" authorId="1" shapeId="0" xr:uid="{00000000-0006-0000-0400-000080000000}">
      <text>
        <r>
          <rPr>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、中文、英文</t>
        </r>
      </text>
    </comment>
    <comment ref="C194" authorId="1" shapeId="0" xr:uid="{00000000-0006-0000-0400-000081000000}">
      <text>
        <r>
          <rPr>
            <sz val="9"/>
            <color indexed="81"/>
            <rFont val="Tahoma"/>
            <family val="2"/>
          </rPr>
          <t xml:space="preserve">x1.75: M1/2
x1.5: </t>
        </r>
        <r>
          <rPr>
            <sz val="9"/>
            <color indexed="81"/>
            <rFont val="細明體"/>
            <family val="3"/>
            <charset val="136"/>
          </rPr>
          <t>數學、物理、生物、化學、組合科學、</t>
        </r>
        <r>
          <rPr>
            <sz val="9"/>
            <color indexed="81"/>
            <rFont val="Tahoma"/>
            <family val="2"/>
          </rPr>
          <t>ICT</t>
        </r>
        <r>
          <rPr>
            <sz val="9"/>
            <color indexed="81"/>
            <rFont val="細明體"/>
            <family val="3"/>
            <charset val="136"/>
          </rPr>
          <t>、</t>
        </r>
        <r>
          <rPr>
            <sz val="9"/>
            <color indexed="81"/>
            <rFont val="Tahoma"/>
            <family val="2"/>
          </rPr>
          <t xml:space="preserve">DAT
x0.5: </t>
        </r>
        <r>
          <rPr>
            <sz val="9"/>
            <color indexed="81"/>
            <rFont val="細明體"/>
            <family val="3"/>
            <charset val="136"/>
          </rPr>
          <t>通識</t>
        </r>
        <r>
          <rPr>
            <sz val="9"/>
            <color indexed="81"/>
            <rFont val="Tahoma"/>
            <family val="2"/>
          </rPr>
          <t xml:space="preserve">
</t>
        </r>
      </text>
    </comment>
    <comment ref="C195" authorId="1" shapeId="0" xr:uid="{00000000-0006-0000-0400-000082000000}">
      <text>
        <r>
          <rPr>
            <sz val="9"/>
            <color indexed="81"/>
            <rFont val="Tahoma"/>
            <family val="2"/>
          </rPr>
          <t xml:space="preserve">x1.75: </t>
        </r>
        <r>
          <rPr>
            <sz val="9"/>
            <color indexed="81"/>
            <rFont val="細明體"/>
            <family val="3"/>
            <charset val="136"/>
          </rPr>
          <t>數學、</t>
        </r>
        <r>
          <rPr>
            <sz val="9"/>
            <color indexed="81"/>
            <rFont val="Tahoma"/>
            <family val="2"/>
          </rPr>
          <t xml:space="preserve">M1/2
x1.5: </t>
        </r>
        <r>
          <rPr>
            <sz val="9"/>
            <color indexed="81"/>
            <rFont val="細明體"/>
            <family val="3"/>
            <charset val="136"/>
          </rPr>
          <t>物理、生物、化學、組合科學、經濟、</t>
        </r>
        <r>
          <rPr>
            <sz val="9"/>
            <color indexed="81"/>
            <rFont val="Tahoma"/>
            <family val="2"/>
          </rPr>
          <t>BAFS</t>
        </r>
        <r>
          <rPr>
            <sz val="9"/>
            <color indexed="81"/>
            <rFont val="細明體"/>
            <family val="3"/>
            <charset val="136"/>
          </rPr>
          <t>、</t>
        </r>
        <r>
          <rPr>
            <sz val="9"/>
            <color indexed="81"/>
            <rFont val="Tahoma"/>
            <family val="2"/>
          </rPr>
          <t xml:space="preserve">ICT
x1.25: </t>
        </r>
        <r>
          <rPr>
            <sz val="9"/>
            <color indexed="81"/>
            <rFont val="細明體"/>
            <family val="3"/>
            <charset val="136"/>
          </rPr>
          <t>中文、英文</t>
        </r>
        <r>
          <rPr>
            <b/>
            <sz val="9"/>
            <color indexed="81"/>
            <rFont val="Tahoma"/>
            <family val="2"/>
          </rPr>
          <t xml:space="preserve">
</t>
        </r>
      </text>
    </comment>
    <comment ref="C196" authorId="1" shapeId="0" xr:uid="{00000000-0006-0000-0400-000083000000}">
      <text>
        <r>
          <rPr>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、物理</t>
        </r>
        <r>
          <rPr>
            <sz val="9"/>
            <color indexed="81"/>
            <rFont val="Tahoma"/>
            <family val="2"/>
          </rPr>
          <t xml:space="preserve">
</t>
        </r>
      </text>
    </comment>
    <comment ref="C197" authorId="1" shapeId="0" xr:uid="{00000000-0006-0000-0400-000084000000}">
      <text>
        <r>
          <rPr>
            <sz val="9"/>
            <color indexed="81"/>
            <rFont val="Tahoma"/>
            <family val="2"/>
          </rPr>
          <t xml:space="preserve">x1.5: </t>
        </r>
        <r>
          <rPr>
            <sz val="9"/>
            <color indexed="81"/>
            <rFont val="細明體"/>
            <family val="3"/>
            <charset val="136"/>
          </rPr>
          <t>英文、物理、生物、化學、組合科學
、</t>
        </r>
        <r>
          <rPr>
            <sz val="9"/>
            <color indexed="81"/>
            <rFont val="Tahoma"/>
            <family val="2"/>
          </rPr>
          <t>[</t>
        </r>
        <r>
          <rPr>
            <sz val="9"/>
            <color indexed="81"/>
            <rFont val="細明體"/>
            <family val="3"/>
            <charset val="136"/>
          </rPr>
          <t>數學、</t>
        </r>
        <r>
          <rPr>
            <sz val="9"/>
            <color indexed="81"/>
            <rFont val="Tahoma"/>
            <family val="2"/>
          </rPr>
          <t>M1/2]</t>
        </r>
        <r>
          <rPr>
            <sz val="9"/>
            <color indexed="81"/>
            <rFont val="細明體"/>
            <family val="3"/>
            <charset val="136"/>
          </rPr>
          <t>其中最佳一科</t>
        </r>
        <r>
          <rPr>
            <b/>
            <sz val="9"/>
            <color indexed="81"/>
            <rFont val="Tahoma"/>
            <family val="2"/>
          </rPr>
          <t xml:space="preserve">
</t>
        </r>
        <r>
          <rPr>
            <sz val="9"/>
            <color indexed="81"/>
            <rFont val="Tahoma"/>
            <family val="2"/>
          </rPr>
          <t xml:space="preserve">
</t>
        </r>
      </text>
    </comment>
    <comment ref="C198" authorId="1" shapeId="0" xr:uid="{00000000-0006-0000-0400-000085000000}">
      <text>
        <r>
          <rPr>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、物理、生物、化學、組合科學、</t>
        </r>
        <r>
          <rPr>
            <sz val="9"/>
            <color indexed="81"/>
            <rFont val="Tahoma"/>
            <family val="2"/>
          </rPr>
          <t>DAT</t>
        </r>
        <r>
          <rPr>
            <sz val="9"/>
            <color indexed="81"/>
            <rFont val="細明體"/>
            <family val="3"/>
            <charset val="136"/>
          </rPr>
          <t>、</t>
        </r>
        <r>
          <rPr>
            <sz val="9"/>
            <color indexed="81"/>
            <rFont val="Tahoma"/>
            <family val="2"/>
          </rPr>
          <t xml:space="preserve">ICT
x1.2: </t>
        </r>
        <r>
          <rPr>
            <sz val="9"/>
            <color indexed="81"/>
            <rFont val="細明體"/>
            <family val="3"/>
            <charset val="136"/>
          </rPr>
          <t xml:space="preserve">經濟、地理
</t>
        </r>
        <r>
          <rPr>
            <sz val="9"/>
            <color indexed="81"/>
            <rFont val="Tahoma"/>
            <family val="2"/>
          </rPr>
          <t xml:space="preserve">x0.5: </t>
        </r>
        <r>
          <rPr>
            <sz val="9"/>
            <color indexed="81"/>
            <rFont val="細明體"/>
            <family val="3"/>
            <charset val="136"/>
          </rPr>
          <t>通識</t>
        </r>
        <r>
          <rPr>
            <sz val="9"/>
            <color indexed="81"/>
            <rFont val="Tahoma"/>
            <family val="2"/>
          </rPr>
          <t xml:space="preserve">
</t>
        </r>
      </text>
    </comment>
    <comment ref="C199" authorId="1" shapeId="0" xr:uid="{00000000-0006-0000-0400-000086000000}">
      <text>
        <r>
          <rPr>
            <sz val="9"/>
            <color indexed="81"/>
            <rFont val="Tahoma"/>
            <family val="2"/>
          </rPr>
          <t xml:space="preserve">x1.75: </t>
        </r>
        <r>
          <rPr>
            <sz val="9"/>
            <color indexed="81"/>
            <rFont val="細明體"/>
            <family val="3"/>
            <charset val="136"/>
          </rPr>
          <t>數學、</t>
        </r>
        <r>
          <rPr>
            <sz val="9"/>
            <color indexed="81"/>
            <rFont val="Tahoma"/>
            <family val="2"/>
          </rPr>
          <t xml:space="preserve">M1/2
x1.5: </t>
        </r>
        <r>
          <rPr>
            <sz val="9"/>
            <color indexed="81"/>
            <rFont val="細明體"/>
            <family val="3"/>
            <charset val="136"/>
          </rPr>
          <t>物理、生物、化學、組合科學、</t>
        </r>
        <r>
          <rPr>
            <sz val="9"/>
            <color indexed="81"/>
            <rFont val="Tahoma"/>
            <family val="2"/>
          </rPr>
          <t xml:space="preserve">ICT
x1.25: </t>
        </r>
        <r>
          <rPr>
            <sz val="9"/>
            <color indexed="81"/>
            <rFont val="細明體"/>
            <family val="3"/>
            <charset val="136"/>
          </rPr>
          <t>中文、英文</t>
        </r>
        <r>
          <rPr>
            <b/>
            <sz val="9"/>
            <color indexed="81"/>
            <rFont val="Tahoma"/>
            <family val="2"/>
          </rPr>
          <t xml:space="preserve">
</t>
        </r>
      </text>
    </comment>
    <comment ref="C202" authorId="1" shapeId="0" xr:uid="{00000000-0006-0000-0400-000087000000}">
      <text>
        <r>
          <rPr>
            <sz val="9"/>
            <color indexed="81"/>
            <rFont val="細明體"/>
            <family val="3"/>
            <charset val="136"/>
          </rPr>
          <t>較高比重科目</t>
        </r>
        <r>
          <rPr>
            <sz val="9"/>
            <color indexed="81"/>
            <rFont val="Tahoma"/>
            <family val="2"/>
          </rPr>
          <t xml:space="preserve">:
</t>
        </r>
        <r>
          <rPr>
            <sz val="9"/>
            <color indexed="81"/>
            <rFont val="細明體"/>
            <family val="3"/>
            <charset val="136"/>
          </rPr>
          <t>物理、生物、化學、組合科學、綜合科學</t>
        </r>
        <r>
          <rPr>
            <sz val="9"/>
            <color indexed="81"/>
            <rFont val="Tahoma"/>
            <family val="2"/>
          </rPr>
          <t xml:space="preserve">
(</t>
        </r>
        <r>
          <rPr>
            <sz val="9"/>
            <color indexed="81"/>
            <rFont val="細明體"/>
            <family val="3"/>
            <charset val="136"/>
          </rPr>
          <t>此處作</t>
        </r>
        <r>
          <rPr>
            <sz val="9"/>
            <color indexed="81"/>
            <rFont val="Tahoma"/>
            <family val="2"/>
          </rPr>
          <t>x1.5)</t>
        </r>
      </text>
    </comment>
    <comment ref="C207" authorId="1" shapeId="0" xr:uid="{00000000-0006-0000-0400-000088000000}">
      <text>
        <r>
          <rPr>
            <sz val="9"/>
            <color indexed="81"/>
            <rFont val="Tahoma"/>
            <family val="2"/>
          </rPr>
          <t xml:space="preserve">x2: </t>
        </r>
        <r>
          <rPr>
            <sz val="9"/>
            <color indexed="81"/>
            <rFont val="細明體"/>
            <family val="3"/>
            <charset val="136"/>
          </rPr>
          <t>數學、</t>
        </r>
        <r>
          <rPr>
            <sz val="9"/>
            <color indexed="81"/>
            <rFont val="Tahoma"/>
            <family val="2"/>
          </rPr>
          <t>M1/2</t>
        </r>
        <r>
          <rPr>
            <sz val="9"/>
            <color indexed="81"/>
            <rFont val="細明體"/>
            <family val="3"/>
            <charset val="136"/>
          </rPr>
          <t xml:space="preserve">、物理、生物、化學、組合科學、綜合科學
</t>
        </r>
        <r>
          <rPr>
            <sz val="9"/>
            <color indexed="81"/>
            <rFont val="Tahoma"/>
            <family val="2"/>
          </rPr>
          <t xml:space="preserve">x1.5: </t>
        </r>
        <r>
          <rPr>
            <sz val="9"/>
            <color indexed="81"/>
            <rFont val="細明體"/>
            <family val="3"/>
            <charset val="136"/>
          </rPr>
          <t>中文或英文、經濟、地理、</t>
        </r>
        <r>
          <rPr>
            <sz val="9"/>
            <color indexed="81"/>
            <rFont val="Tahoma"/>
            <family val="2"/>
          </rPr>
          <t>ICT</t>
        </r>
        <r>
          <rPr>
            <sz val="9"/>
            <color indexed="81"/>
            <rFont val="細明體"/>
            <family val="3"/>
            <charset val="136"/>
          </rPr>
          <t>、科技與生活</t>
        </r>
        <r>
          <rPr>
            <sz val="9"/>
            <color indexed="81"/>
            <rFont val="Tahoma"/>
            <family val="2"/>
          </rPr>
          <t xml:space="preserve">
</t>
        </r>
        <r>
          <rPr>
            <b/>
            <sz val="9"/>
            <color indexed="81"/>
            <rFont val="Tahoma"/>
            <family val="2"/>
          </rPr>
          <t xml:space="preserve">
</t>
        </r>
        <r>
          <rPr>
            <b/>
            <sz val="9"/>
            <color indexed="81"/>
            <rFont val="細明體"/>
            <family val="3"/>
            <charset val="136"/>
          </rPr>
          <t>註</t>
        </r>
        <r>
          <rPr>
            <b/>
            <sz val="9"/>
            <color indexed="81"/>
            <rFont val="Tahoma"/>
            <family val="2"/>
          </rPr>
          <t xml:space="preserve">: </t>
        </r>
        <r>
          <rPr>
            <b/>
            <sz val="9"/>
            <color indexed="81"/>
            <rFont val="細明體"/>
            <family val="3"/>
            <charset val="136"/>
          </rPr>
          <t>只有最多三科將會用以計算比重</t>
        </r>
      </text>
    </comment>
    <comment ref="C208" authorId="1" shapeId="0" xr:uid="{00000000-0006-0000-0400-000089000000}">
      <text>
        <r>
          <rPr>
            <sz val="9"/>
            <color indexed="81"/>
            <rFont val="細明體"/>
            <family val="3"/>
            <charset val="136"/>
          </rPr>
          <t>較高比重科目</t>
        </r>
        <r>
          <rPr>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、物理、生物、化學、組合科學、綜合科學、地理</t>
        </r>
        <r>
          <rPr>
            <sz val="9"/>
            <color indexed="81"/>
            <rFont val="Tahoma"/>
            <family val="2"/>
          </rPr>
          <t xml:space="preserve">
(</t>
        </r>
        <r>
          <rPr>
            <sz val="9"/>
            <color indexed="81"/>
            <rFont val="細明體"/>
            <family val="3"/>
            <charset val="136"/>
          </rPr>
          <t>此處作</t>
        </r>
        <r>
          <rPr>
            <sz val="9"/>
            <color indexed="81"/>
            <rFont val="Tahoma"/>
            <family val="2"/>
          </rPr>
          <t>x1.5)</t>
        </r>
      </text>
    </comment>
    <comment ref="C209" authorId="1" shapeId="0" xr:uid="{00000000-0006-0000-0400-00008A000000}">
      <text>
        <r>
          <rPr>
            <sz val="9"/>
            <color indexed="81"/>
            <rFont val="Tahoma"/>
            <family val="2"/>
          </rPr>
          <t xml:space="preserve">M1/2 </t>
        </r>
        <r>
          <rPr>
            <sz val="9"/>
            <color indexed="81"/>
            <rFont val="細明體"/>
            <family val="3"/>
            <charset val="136"/>
          </rPr>
          <t xml:space="preserve">有更高比重
</t>
        </r>
        <r>
          <rPr>
            <sz val="9"/>
            <color indexed="81"/>
            <rFont val="Tahoma"/>
            <family val="2"/>
          </rPr>
          <t>(</t>
        </r>
        <r>
          <rPr>
            <sz val="9"/>
            <color indexed="81"/>
            <rFont val="細明體"/>
            <family val="3"/>
            <charset val="136"/>
          </rPr>
          <t>此處作</t>
        </r>
        <r>
          <rPr>
            <sz val="9"/>
            <color indexed="81"/>
            <rFont val="Tahoma"/>
            <family val="2"/>
          </rPr>
          <t>x2)</t>
        </r>
      </text>
    </comment>
    <comment ref="C210" authorId="1" shapeId="0" xr:uid="{00000000-0006-0000-0400-00008B000000}">
      <text>
        <r>
          <rPr>
            <sz val="9"/>
            <color indexed="81"/>
            <rFont val="細明體"/>
            <family val="3"/>
            <charset val="136"/>
          </rPr>
          <t>較高比重科目</t>
        </r>
        <r>
          <rPr>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、物理</t>
        </r>
        <r>
          <rPr>
            <sz val="9"/>
            <color indexed="81"/>
            <rFont val="Tahoma"/>
            <family val="2"/>
          </rPr>
          <t xml:space="preserve">
(</t>
        </r>
        <r>
          <rPr>
            <sz val="9"/>
            <color indexed="81"/>
            <rFont val="細明體"/>
            <family val="3"/>
            <charset val="136"/>
          </rPr>
          <t>此處作</t>
        </r>
        <r>
          <rPr>
            <sz val="9"/>
            <color indexed="81"/>
            <rFont val="Tahoma"/>
            <family val="2"/>
          </rPr>
          <t>x1.5)</t>
        </r>
      </text>
    </comment>
    <comment ref="C211" authorId="1" shapeId="0" xr:uid="{00000000-0006-0000-0400-00008C000000}">
      <text>
        <r>
          <rPr>
            <sz val="9"/>
            <color indexed="81"/>
            <rFont val="Tahoma"/>
            <family val="2"/>
          </rPr>
          <t xml:space="preserve">x2: </t>
        </r>
        <r>
          <rPr>
            <sz val="9"/>
            <color indexed="81"/>
            <rFont val="細明體"/>
            <family val="3"/>
            <charset val="136"/>
          </rPr>
          <t>數學、</t>
        </r>
        <r>
          <rPr>
            <sz val="9"/>
            <color indexed="81"/>
            <rFont val="Tahoma"/>
            <family val="2"/>
          </rPr>
          <t xml:space="preserve">M1/2
</t>
        </r>
      </text>
    </comment>
    <comment ref="C212" authorId="1" shapeId="0" xr:uid="{00000000-0006-0000-0400-00008D000000}">
      <text>
        <r>
          <rPr>
            <sz val="9"/>
            <color indexed="81"/>
            <rFont val="Tahoma"/>
            <family val="2"/>
          </rPr>
          <t xml:space="preserve">x1.3: </t>
        </r>
        <r>
          <rPr>
            <sz val="9"/>
            <color indexed="81"/>
            <rFont val="細明體"/>
            <family val="3"/>
            <charset val="136"/>
          </rPr>
          <t>英文</t>
        </r>
        <r>
          <rPr>
            <sz val="9"/>
            <color indexed="81"/>
            <rFont val="Tahoma"/>
            <family val="2"/>
          </rPr>
          <t xml:space="preserve">
</t>
        </r>
      </text>
    </comment>
    <comment ref="C213" authorId="1" shapeId="0" xr:uid="{00000000-0006-0000-0400-00008E000000}">
      <text>
        <r>
          <rPr>
            <b/>
            <sz val="9"/>
            <color indexed="81"/>
            <rFont val="Tahoma"/>
            <family val="2"/>
          </rPr>
          <t>2021</t>
        </r>
        <r>
          <rPr>
            <b/>
            <sz val="9"/>
            <color indexed="81"/>
            <rFont val="細明體"/>
            <family val="3"/>
            <charset val="136"/>
          </rPr>
          <t xml:space="preserve">年將以新比重收生
</t>
        </r>
        <r>
          <rPr>
            <sz val="9"/>
            <color indexed="81"/>
            <rFont val="Tahoma"/>
            <family val="2"/>
          </rPr>
          <t xml:space="preserve">(x1.5: </t>
        </r>
        <r>
          <rPr>
            <sz val="9"/>
            <color indexed="81"/>
            <rFont val="細明體"/>
            <family val="3"/>
            <charset val="136"/>
          </rPr>
          <t>英文</t>
        </r>
        <r>
          <rPr>
            <sz val="9"/>
            <color indexed="81"/>
            <rFont val="Tahoma"/>
            <family val="2"/>
          </rPr>
          <t>)</t>
        </r>
        <r>
          <rPr>
            <b/>
            <sz val="9"/>
            <color indexed="81"/>
            <rFont val="Tahoma"/>
            <family val="2"/>
          </rPr>
          <t xml:space="preserve">
</t>
        </r>
        <r>
          <rPr>
            <b/>
            <sz val="9"/>
            <color indexed="81"/>
            <rFont val="細明體"/>
            <family val="3"/>
            <charset val="136"/>
          </rPr>
          <t xml:space="preserve">此處將以原有比重作估算，請注意
</t>
        </r>
        <r>
          <rPr>
            <sz val="9"/>
            <color indexed="81"/>
            <rFont val="Tahoma"/>
            <family val="2"/>
          </rPr>
          <t xml:space="preserve">x1.5: </t>
        </r>
        <r>
          <rPr>
            <sz val="9"/>
            <color indexed="81"/>
            <rFont val="細明體"/>
            <family val="3"/>
            <charset val="136"/>
          </rPr>
          <t>英文、數學</t>
        </r>
        <r>
          <rPr>
            <sz val="9"/>
            <color indexed="81"/>
            <rFont val="Tahoma"/>
            <family val="2"/>
          </rPr>
          <t xml:space="preserve">
</t>
        </r>
      </text>
    </comment>
    <comment ref="C214" authorId="1" shapeId="0" xr:uid="{00000000-0006-0000-0400-00008F000000}">
      <text>
        <r>
          <rPr>
            <sz val="9"/>
            <color indexed="81"/>
            <rFont val="Tahoma"/>
            <family val="2"/>
          </rPr>
          <t xml:space="preserve">x1.5: </t>
        </r>
        <r>
          <rPr>
            <sz val="9"/>
            <color indexed="81"/>
            <rFont val="細明體"/>
            <family val="3"/>
            <charset val="136"/>
          </rPr>
          <t>數學、</t>
        </r>
        <r>
          <rPr>
            <sz val="9"/>
            <color indexed="81"/>
            <rFont val="Tahoma"/>
            <family val="2"/>
          </rPr>
          <t xml:space="preserve"> [M1/2</t>
        </r>
        <r>
          <rPr>
            <sz val="9"/>
            <color indexed="81"/>
            <rFont val="細明體"/>
            <family val="3"/>
            <charset val="136"/>
          </rPr>
          <t>、物理、化學及經濟</t>
        </r>
        <r>
          <rPr>
            <sz val="9"/>
            <color indexed="81"/>
            <rFont val="Tahoma"/>
            <family val="2"/>
          </rPr>
          <t xml:space="preserve">] </t>
        </r>
        <r>
          <rPr>
            <sz val="9"/>
            <color indexed="81"/>
            <rFont val="細明體"/>
            <family val="3"/>
            <charset val="136"/>
          </rPr>
          <t>其中最佳一科</t>
        </r>
      </text>
    </comment>
    <comment ref="C215" authorId="1" shapeId="0" xr:uid="{00000000-0006-0000-0400-000090000000}">
      <text>
        <r>
          <rPr>
            <sz val="9"/>
            <color indexed="81"/>
            <rFont val="Tahoma"/>
            <family val="2"/>
          </rPr>
          <t xml:space="preserve">x1.5: </t>
        </r>
        <r>
          <rPr>
            <sz val="9"/>
            <color indexed="81"/>
            <rFont val="細明體"/>
            <family val="3"/>
            <charset val="136"/>
          </rPr>
          <t>英文</t>
        </r>
        <r>
          <rPr>
            <sz val="9"/>
            <color indexed="81"/>
            <rFont val="Tahoma"/>
            <family val="2"/>
          </rPr>
          <t xml:space="preserve">
</t>
        </r>
      </text>
    </comment>
    <comment ref="C217" authorId="1" shapeId="0" xr:uid="{00000000-0006-0000-0400-000091000000}">
      <text>
        <r>
          <rPr>
            <sz val="9"/>
            <color indexed="81"/>
            <rFont val="Tahoma"/>
            <family val="2"/>
          </rPr>
          <t xml:space="preserve">x1.5: </t>
        </r>
        <r>
          <rPr>
            <sz val="9"/>
            <color indexed="81"/>
            <rFont val="細明體"/>
            <family val="3"/>
            <charset val="136"/>
          </rPr>
          <t>英文</t>
        </r>
        <r>
          <rPr>
            <sz val="9"/>
            <color indexed="81"/>
            <rFont val="Tahoma"/>
            <family val="2"/>
          </rPr>
          <t xml:space="preserve">
x1.25: </t>
        </r>
        <r>
          <rPr>
            <sz val="9"/>
            <color indexed="81"/>
            <rFont val="細明體"/>
            <family val="3"/>
            <charset val="136"/>
          </rPr>
          <t>中文、通識</t>
        </r>
      </text>
    </comment>
    <comment ref="C218" authorId="1" shapeId="0" xr:uid="{00000000-0006-0000-0400-000092000000}">
      <text>
        <r>
          <rPr>
            <sz val="9"/>
            <color indexed="81"/>
            <rFont val="Tahoma"/>
            <family val="2"/>
          </rPr>
          <t xml:space="preserve">x1.3: </t>
        </r>
        <r>
          <rPr>
            <sz val="9"/>
            <color indexed="81"/>
            <rFont val="細明體"/>
            <family val="3"/>
            <charset val="136"/>
          </rPr>
          <t>英文、中文</t>
        </r>
        <r>
          <rPr>
            <b/>
            <sz val="9"/>
            <color indexed="81"/>
            <rFont val="Tahoma"/>
            <family val="2"/>
          </rPr>
          <t xml:space="preserve">
</t>
        </r>
        <r>
          <rPr>
            <sz val="9"/>
            <color indexed="81"/>
            <rFont val="Tahoma"/>
            <family val="2"/>
          </rPr>
          <t xml:space="preserve">
</t>
        </r>
      </text>
    </comment>
    <comment ref="C219" authorId="1" shapeId="0" xr:uid="{00000000-0006-0000-0400-000093000000}">
      <text>
        <r>
          <rPr>
            <sz val="9"/>
            <color indexed="81"/>
            <rFont val="Tahoma"/>
            <family val="2"/>
          </rPr>
          <t xml:space="preserve">x1.3: </t>
        </r>
        <r>
          <rPr>
            <sz val="9"/>
            <color indexed="81"/>
            <rFont val="細明體"/>
            <family val="3"/>
            <charset val="136"/>
          </rPr>
          <t>英文</t>
        </r>
        <r>
          <rPr>
            <sz val="9"/>
            <color indexed="81"/>
            <rFont val="Tahoma"/>
            <family val="2"/>
          </rPr>
          <t xml:space="preserve">
</t>
        </r>
      </text>
    </comment>
    <comment ref="C220" authorId="1" shapeId="0" xr:uid="{00000000-0006-0000-0400-000094000000}">
      <text>
        <r>
          <rPr>
            <sz val="9"/>
            <color indexed="81"/>
            <rFont val="Tahoma"/>
            <family val="2"/>
          </rPr>
          <t xml:space="preserve">x1.5: </t>
        </r>
        <r>
          <rPr>
            <sz val="9"/>
            <color indexed="81"/>
            <rFont val="細明體"/>
            <family val="3"/>
            <charset val="136"/>
          </rPr>
          <t>英文、數學</t>
        </r>
      </text>
    </comment>
    <comment ref="C222" authorId="1" shapeId="0" xr:uid="{00000000-0006-0000-0400-000095000000}">
      <text>
        <r>
          <rPr>
            <sz val="9"/>
            <color indexed="81"/>
            <rFont val="Tahoma"/>
            <family val="2"/>
          </rPr>
          <t xml:space="preserve">x1.5: </t>
        </r>
        <r>
          <rPr>
            <sz val="9"/>
            <color indexed="81"/>
            <rFont val="細明體"/>
            <family val="3"/>
            <charset val="136"/>
          </rPr>
          <t>英文、通識</t>
        </r>
      </text>
    </comment>
    <comment ref="C223" authorId="1" shapeId="0" xr:uid="{00000000-0006-0000-0400-000096000000}">
      <text>
        <r>
          <rPr>
            <sz val="9"/>
            <color indexed="81"/>
            <rFont val="Tahoma"/>
            <family val="2"/>
          </rPr>
          <t xml:space="preserve">x1.5: </t>
        </r>
        <r>
          <rPr>
            <sz val="9"/>
            <color indexed="81"/>
            <rFont val="細明體"/>
            <family val="3"/>
            <charset val="136"/>
          </rPr>
          <t>英文</t>
        </r>
      </text>
    </comment>
    <comment ref="C225" authorId="1" shapeId="0" xr:uid="{00000000-0006-0000-0400-000097000000}">
      <text>
        <r>
          <rPr>
            <sz val="9"/>
            <color indexed="81"/>
            <rFont val="Tahoma"/>
            <family val="2"/>
          </rPr>
          <t xml:space="preserve">x2: </t>
        </r>
        <r>
          <rPr>
            <sz val="9"/>
            <color indexed="81"/>
            <rFont val="細明體"/>
            <family val="3"/>
            <charset val="136"/>
          </rPr>
          <t>英文、通識</t>
        </r>
        <r>
          <rPr>
            <sz val="9"/>
            <color indexed="81"/>
            <rFont val="Tahoma"/>
            <family val="2"/>
          </rPr>
          <t xml:space="preserve">
x 1.5: </t>
        </r>
        <r>
          <rPr>
            <sz val="9"/>
            <color indexed="81"/>
            <rFont val="細明體"/>
            <family val="3"/>
            <charset val="136"/>
          </rPr>
          <t>中文</t>
        </r>
        <r>
          <rPr>
            <sz val="9"/>
            <color indexed="81"/>
            <rFont val="Tahoma"/>
            <family val="2"/>
          </rPr>
          <t xml:space="preserve">
</t>
        </r>
      </text>
    </comment>
    <comment ref="C228" authorId="1" shapeId="0" xr:uid="{00000000-0006-0000-0400-000098000000}">
      <text>
        <r>
          <rPr>
            <b/>
            <sz val="9"/>
            <color indexed="81"/>
            <rFont val="細明體"/>
            <family val="3"/>
            <charset val="136"/>
          </rPr>
          <t>英文</t>
        </r>
        <r>
          <rPr>
            <b/>
            <sz val="9"/>
            <color indexed="81"/>
            <rFont val="Tahoma"/>
            <family val="2"/>
          </rPr>
          <t xml:space="preserve"> x1 </t>
        </r>
        <r>
          <rPr>
            <b/>
            <sz val="9"/>
            <color indexed="81"/>
            <rFont val="細明體"/>
            <family val="3"/>
            <charset val="136"/>
          </rPr>
          <t>數學</t>
        </r>
        <r>
          <rPr>
            <b/>
            <sz val="9"/>
            <color indexed="81"/>
            <rFont val="Tahoma"/>
            <family val="2"/>
          </rPr>
          <t xml:space="preserve"> x1
+</t>
        </r>
        <r>
          <rPr>
            <b/>
            <sz val="9"/>
            <color indexed="81"/>
            <rFont val="細明體"/>
            <family val="3"/>
            <charset val="136"/>
          </rPr>
          <t xml:space="preserve">
最佳兩科</t>
        </r>
        <r>
          <rPr>
            <b/>
            <sz val="9"/>
            <color indexed="81"/>
            <rFont val="Tahoma"/>
            <family val="2"/>
          </rPr>
          <t xml:space="preserve"> x1
(</t>
        </r>
        <r>
          <rPr>
            <sz val="9"/>
            <color indexed="81"/>
            <rFont val="Tahoma"/>
            <family val="2"/>
          </rPr>
          <t xml:space="preserve">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b/>
            <sz val="9"/>
            <color indexed="81"/>
            <rFont val="細明體"/>
            <family val="3"/>
            <charset val="136"/>
          </rPr>
          <t>最佳一科</t>
        </r>
        <r>
          <rPr>
            <b/>
            <sz val="9"/>
            <color indexed="81"/>
            <rFont val="Tahoma"/>
            <family val="2"/>
          </rPr>
          <t xml:space="preserve"> x1</t>
        </r>
        <r>
          <rPr>
            <sz val="9"/>
            <color indexed="81"/>
            <rFont val="Tahoma"/>
            <family val="2"/>
          </rPr>
          <t xml:space="preserve">
</t>
        </r>
      </text>
    </comment>
    <comment ref="C229" authorId="1" shapeId="0" xr:uid="{00000000-0006-0000-0400-000099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C230" authorId="1" shapeId="0" xr:uid="{00000000-0006-0000-0400-00009A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x2
(M1/2 /</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 x1</t>
        </r>
      </text>
    </comment>
    <comment ref="C231" authorId="1" shapeId="0" xr:uid="{00000000-0006-0000-0400-00009B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C232" authorId="1" shapeId="0" xr:uid="{00000000-0006-0000-0400-00009C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C233" authorId="1" shapeId="0" xr:uid="{00000000-0006-0000-0400-00009D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/DAT)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t>
        </r>
      </text>
    </comment>
    <comment ref="C234" authorId="1" shapeId="0" xr:uid="{00000000-0006-0000-0400-00009E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C235" authorId="1" shapeId="0" xr:uid="{00000000-0006-0000-0400-00009F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36" authorId="1" shapeId="0" xr:uid="{00000000-0006-0000-0400-0000A0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37" authorId="1" shapeId="0" xr:uid="{00000000-0006-0000-0400-0000A1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238" authorId="1" shapeId="0" xr:uid="{00000000-0006-0000-0400-0000A2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39" authorId="1" shapeId="0" xr:uid="{00000000-0006-0000-0400-0000A3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40" authorId="1" shapeId="0" xr:uid="{00000000-0006-0000-0400-0000A4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41" authorId="1" shapeId="0" xr:uid="{00000000-0006-0000-0400-0000A5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42" authorId="1" shapeId="0" xr:uid="{00000000-0006-0000-0400-0000A6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43" authorId="1" shapeId="0" xr:uid="{00000000-0006-0000-0400-0000A7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44" authorId="1" shapeId="0" xr:uid="{00000000-0006-0000-0400-0000A8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245" authorId="1" shapeId="0" xr:uid="{00000000-0006-0000-0400-0000A9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246" authorId="1" shapeId="0" xr:uid="{00000000-0006-0000-0400-0000AA000000}">
      <text>
        <r>
          <rPr>
            <sz val="9"/>
            <color indexed="81"/>
            <rFont val="細明體"/>
            <family val="3"/>
            <charset val="136"/>
          </rPr>
          <t>英文</t>
        </r>
        <r>
          <rPr>
            <sz val="9"/>
            <color indexed="81"/>
            <rFont val="Tahoma"/>
            <family val="2"/>
          </rPr>
          <t xml:space="preserve"> x2 </t>
        </r>
        <r>
          <rPr>
            <sz val="9"/>
            <color indexed="81"/>
            <rFont val="細明體"/>
            <family val="3"/>
            <charset val="136"/>
          </rPr>
          <t>中文</t>
        </r>
        <r>
          <rPr>
            <sz val="9"/>
            <color indexed="81"/>
            <rFont val="Tahoma"/>
            <family val="2"/>
          </rPr>
          <t xml:space="preserve"> x1.5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C247" authorId="1" shapeId="0" xr:uid="{00000000-0006-0000-0400-0000AB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C248" authorId="1" shapeId="0" xr:uid="{00000000-0006-0000-0400-0000AC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最佳下列理科</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C249" authorId="1" shapeId="0" xr:uid="{00000000-0006-0000-0400-0000AD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C250" authorId="1" shapeId="0" xr:uid="{00000000-0006-0000-0400-0000AE000000}">
      <text>
        <r>
          <rPr>
            <b/>
            <sz val="9"/>
            <color indexed="81"/>
            <rFont val="細明體"/>
            <family val="3"/>
            <charset val="136"/>
          </rPr>
          <t>英文</t>
        </r>
        <r>
          <rPr>
            <b/>
            <sz val="9"/>
            <color indexed="81"/>
            <rFont val="Tahoma"/>
            <family val="2"/>
          </rPr>
          <t xml:space="preserve"> x2 </t>
        </r>
        <r>
          <rPr>
            <b/>
            <sz val="9"/>
            <color indexed="81"/>
            <rFont val="細明體"/>
            <family val="3"/>
            <charset val="136"/>
          </rPr>
          <t>數學</t>
        </r>
        <r>
          <rPr>
            <b/>
            <sz val="9"/>
            <color indexed="81"/>
            <rFont val="Tahoma"/>
            <family val="2"/>
          </rPr>
          <t xml:space="preserve"> x2</t>
        </r>
        <r>
          <rPr>
            <sz val="9"/>
            <color indexed="81"/>
            <rFont val="Tahoma"/>
            <family val="2"/>
          </rPr>
          <t xml:space="preserve">
+
</t>
        </r>
        <r>
          <rPr>
            <b/>
            <sz val="9"/>
            <color indexed="81"/>
            <rFont val="Tahoma"/>
            <family val="2"/>
          </rPr>
          <t>M1/2 x 2</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最佳下列科目</t>
        </r>
        <r>
          <rPr>
            <b/>
            <sz val="9"/>
            <color indexed="81"/>
            <rFont val="Tahoma"/>
            <family val="2"/>
          </rPr>
          <t xml:space="preserve"> x1.5</t>
        </r>
        <r>
          <rPr>
            <sz val="9"/>
            <color indexed="81"/>
            <rFont val="Tahoma"/>
            <family val="2"/>
          </rPr>
          <t xml:space="preserve">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綜合科學</t>
        </r>
        <r>
          <rPr>
            <sz val="9"/>
            <color indexed="81"/>
            <rFont val="Tahoma"/>
            <family val="2"/>
          </rPr>
          <t>/</t>
        </r>
        <r>
          <rPr>
            <sz val="9"/>
            <color indexed="81"/>
            <rFont val="細明體"/>
            <family val="3"/>
            <charset val="136"/>
          </rPr>
          <t>經濟</t>
        </r>
        <r>
          <rPr>
            <sz val="9"/>
            <color indexed="81"/>
            <rFont val="Tahoma"/>
            <family val="2"/>
          </rPr>
          <t xml:space="preserve">)
+
</t>
        </r>
        <r>
          <rPr>
            <b/>
            <sz val="9"/>
            <color indexed="81"/>
            <rFont val="細明體"/>
            <family val="3"/>
            <charset val="136"/>
          </rPr>
          <t>最佳</t>
        </r>
        <r>
          <rPr>
            <b/>
            <sz val="9"/>
            <color indexed="81"/>
            <rFont val="Tahoma"/>
            <family val="2"/>
          </rPr>
          <t>3</t>
        </r>
        <r>
          <rPr>
            <b/>
            <sz val="9"/>
            <color indexed="81"/>
            <rFont val="細明體"/>
            <family val="3"/>
            <charset val="136"/>
          </rPr>
          <t>科</t>
        </r>
        <r>
          <rPr>
            <b/>
            <sz val="9"/>
            <color indexed="81"/>
            <rFont val="Tahoma"/>
            <family val="2"/>
          </rPr>
          <t xml:space="preserve"> x1</t>
        </r>
        <r>
          <rPr>
            <sz val="9"/>
            <color indexed="81"/>
            <rFont val="Tahoma"/>
            <family val="2"/>
          </rPr>
          <t xml:space="preserve">
</t>
        </r>
      </text>
    </comment>
    <comment ref="C251" authorId="1" shapeId="0" xr:uid="{00000000-0006-0000-0400-0000AF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C252" authorId="1" shapeId="0" xr:uid="{00000000-0006-0000-0400-0000B0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(M1/2 x1.5)
</t>
        </r>
      </text>
    </comment>
    <comment ref="C256" authorId="1" shapeId="0" xr:uid="{00000000-0006-0000-0400-0000B1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text>
    </comment>
    <comment ref="C257" authorId="3" shapeId="0" xr:uid="{00000000-0006-0000-0400-0000B2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C258" authorId="3" shapeId="0" xr:uid="{00000000-0006-0000-0400-0000B3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C259" authorId="3" shapeId="0" xr:uid="{00000000-0006-0000-0400-0000B4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C260" authorId="3" shapeId="0" xr:uid="{00000000-0006-0000-0400-0000B5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text>
    </comment>
    <comment ref="C261" authorId="1" shapeId="0" xr:uid="{00000000-0006-0000-0400-0000B6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Tahoma"/>
            <family val="2"/>
          </rPr>
          <t xml:space="preserve">
M1/2</t>
        </r>
        <r>
          <rPr>
            <sz val="9"/>
            <color indexed="81"/>
            <rFont val="細明體"/>
            <family val="3"/>
            <charset val="136"/>
          </rPr>
          <t>可被當作一科選修</t>
        </r>
        <r>
          <rPr>
            <sz val="9"/>
            <color indexed="81"/>
            <rFont val="Tahoma"/>
            <family val="2"/>
          </rPr>
          <t xml:space="preserve">
</t>
        </r>
        <r>
          <rPr>
            <b/>
            <sz val="9"/>
            <color indexed="81"/>
            <rFont val="Tahoma"/>
            <family val="2"/>
          </rPr>
          <t xml:space="preserve">x1.5: </t>
        </r>
        <r>
          <rPr>
            <sz val="9"/>
            <color indexed="81"/>
            <rFont val="細明體"/>
            <family val="3"/>
            <charset val="136"/>
          </rPr>
          <t>英文、數學</t>
        </r>
      </text>
    </comment>
    <comment ref="C262" authorId="1" shapeId="0" xr:uid="{00000000-0006-0000-0400-0000B7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細明體"/>
            <family val="3"/>
            <charset val="136"/>
          </rPr>
          <t xml:space="preserve">
</t>
        </r>
        <r>
          <rPr>
            <sz val="9"/>
            <color indexed="81"/>
            <rFont val="Tahoma"/>
            <family val="2"/>
          </rPr>
          <t>M1/2</t>
        </r>
        <r>
          <rPr>
            <sz val="9"/>
            <color indexed="81"/>
            <rFont val="細明體"/>
            <family val="3"/>
            <charset val="136"/>
          </rPr>
          <t xml:space="preserve">可被用作取代數學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英文、[數學或</t>
        </r>
        <r>
          <rPr>
            <sz val="9"/>
            <color indexed="81"/>
            <rFont val="Tahoma"/>
            <family val="2"/>
          </rPr>
          <t>M1/2]</t>
        </r>
      </text>
    </comment>
    <comment ref="C263" authorId="1" shapeId="0" xr:uid="{00000000-0006-0000-0400-0000B8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細明體"/>
            <family val="3"/>
            <charset val="136"/>
          </rPr>
          <t xml:space="preserve">
</t>
        </r>
        <r>
          <rPr>
            <sz val="9"/>
            <color indexed="81"/>
            <rFont val="Tahoma"/>
            <family val="2"/>
          </rPr>
          <t>M1/2</t>
        </r>
        <r>
          <rPr>
            <sz val="9"/>
            <color indexed="81"/>
            <rFont val="細明體"/>
            <family val="3"/>
            <charset val="136"/>
          </rPr>
          <t xml:space="preserve">可被用作取代數學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英文、</t>
        </r>
        <r>
          <rPr>
            <sz val="9"/>
            <color indexed="81"/>
            <rFont val="Tahoma"/>
            <family val="2"/>
          </rPr>
          <t>[</t>
        </r>
        <r>
          <rPr>
            <sz val="9"/>
            <color indexed="81"/>
            <rFont val="細明體"/>
            <family val="3"/>
            <charset val="136"/>
          </rPr>
          <t>數學或</t>
        </r>
        <r>
          <rPr>
            <sz val="9"/>
            <color indexed="81"/>
            <rFont val="Tahoma"/>
            <family val="2"/>
          </rPr>
          <t>M1/2]</t>
        </r>
      </text>
    </comment>
    <comment ref="C264" authorId="1" shapeId="0" xr:uid="{00000000-0006-0000-0400-0000B9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Tahoma"/>
            <family val="2"/>
          </rPr>
          <t xml:space="preserve">
M1/2</t>
        </r>
        <r>
          <rPr>
            <sz val="9"/>
            <color indexed="81"/>
            <rFont val="細明體"/>
            <family val="3"/>
            <charset val="136"/>
          </rPr>
          <t>可被當作一科選修</t>
        </r>
        <r>
          <rPr>
            <sz val="9"/>
            <color indexed="81"/>
            <rFont val="Tahoma"/>
            <family val="2"/>
          </rPr>
          <t xml:space="preserve">
</t>
        </r>
        <r>
          <rPr>
            <b/>
            <sz val="9"/>
            <color indexed="81"/>
            <rFont val="Tahoma"/>
            <family val="2"/>
          </rPr>
          <t xml:space="preserve">x1.5: </t>
        </r>
        <r>
          <rPr>
            <sz val="9"/>
            <color indexed="81"/>
            <rFont val="細明體"/>
            <family val="3"/>
            <charset val="136"/>
          </rPr>
          <t>英文、數學</t>
        </r>
      </text>
    </comment>
    <comment ref="C265" authorId="1" shapeId="0" xr:uid="{00000000-0006-0000-0400-0000BA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細明體"/>
            <family val="3"/>
            <charset val="136"/>
          </rPr>
          <t xml:space="preserve">
</t>
        </r>
        <r>
          <rPr>
            <sz val="9"/>
            <color indexed="81"/>
            <rFont val="Tahoma"/>
            <family val="2"/>
          </rPr>
          <t>M1/2</t>
        </r>
        <r>
          <rPr>
            <sz val="9"/>
            <color indexed="81"/>
            <rFont val="細明體"/>
            <family val="3"/>
            <charset val="136"/>
          </rPr>
          <t xml:space="preserve">可被用作取代數學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英文、</t>
        </r>
        <r>
          <rPr>
            <sz val="9"/>
            <color indexed="81"/>
            <rFont val="Tahoma"/>
            <family val="2"/>
          </rPr>
          <t>[</t>
        </r>
        <r>
          <rPr>
            <sz val="9"/>
            <color indexed="81"/>
            <rFont val="細明體"/>
            <family val="3"/>
            <charset val="136"/>
          </rPr>
          <t>數學或</t>
        </r>
        <r>
          <rPr>
            <sz val="9"/>
            <color indexed="81"/>
            <rFont val="Tahoma"/>
            <family val="2"/>
          </rPr>
          <t>M1/2]</t>
        </r>
      </text>
    </comment>
    <comment ref="C266" authorId="3" shapeId="0" xr:uid="{00000000-0006-0000-0400-0000BB000000}">
      <text>
        <r>
          <rPr>
            <sz val="9"/>
            <color indexed="81"/>
            <rFont val="細明體"/>
            <family val="3"/>
            <charset val="136"/>
          </rPr>
          <t>最佳</t>
        </r>
        <r>
          <rPr>
            <sz val="9"/>
            <color indexed="81"/>
            <rFont val="Tahoma"/>
            <family val="2"/>
          </rPr>
          <t>6</t>
        </r>
        <r>
          <rPr>
            <sz val="9"/>
            <color indexed="81"/>
            <rFont val="細明體"/>
            <family val="3"/>
            <charset val="136"/>
          </rPr>
          <t>科必須包括</t>
        </r>
        <r>
          <rPr>
            <b/>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Tahoma"/>
            <family val="2"/>
          </rPr>
          <t>M1/2</t>
        </r>
        <r>
          <rPr>
            <sz val="9"/>
            <color indexed="81"/>
            <rFont val="Tahoma"/>
            <family val="2"/>
          </rPr>
          <t xml:space="preserve">
</t>
        </r>
        <r>
          <rPr>
            <b/>
            <sz val="9"/>
            <color indexed="81"/>
            <rFont val="Tahoma"/>
            <family val="2"/>
          </rPr>
          <t>x1.5:</t>
        </r>
        <r>
          <rPr>
            <sz val="9"/>
            <color indexed="81"/>
            <rFont val="Tahoma"/>
            <family val="2"/>
          </rPr>
          <t xml:space="preserve"> </t>
        </r>
        <r>
          <rPr>
            <sz val="9"/>
            <color indexed="81"/>
            <rFont val="細明體"/>
            <family val="3"/>
            <charset val="136"/>
          </rPr>
          <t>英文</t>
        </r>
        <r>
          <rPr>
            <sz val="9"/>
            <color indexed="81"/>
            <rFont val="Tahoma"/>
            <family val="2"/>
          </rPr>
          <t xml:space="preserve">
</t>
        </r>
        <r>
          <rPr>
            <b/>
            <sz val="9"/>
            <color indexed="81"/>
            <rFont val="Tahoma"/>
            <family val="2"/>
          </rPr>
          <t xml:space="preserve">x1.25: </t>
        </r>
        <r>
          <rPr>
            <sz val="9"/>
            <color indexed="81"/>
            <rFont val="細明體"/>
            <family val="3"/>
            <charset val="136"/>
          </rPr>
          <t>數學</t>
        </r>
        <r>
          <rPr>
            <sz val="9"/>
            <color indexed="81"/>
            <rFont val="Tahoma"/>
            <family val="2"/>
          </rPr>
          <t>, M1/2</t>
        </r>
      </text>
    </comment>
    <comment ref="C267" authorId="1" shapeId="0" xr:uid="{00000000-0006-0000-0400-0000BC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細明體"/>
            <family val="3"/>
            <charset val="136"/>
          </rPr>
          <t xml:space="preserve">
</t>
        </r>
        <r>
          <rPr>
            <sz val="9"/>
            <color indexed="81"/>
            <rFont val="Tahoma"/>
            <family val="2"/>
          </rPr>
          <t>M1/2</t>
        </r>
        <r>
          <rPr>
            <sz val="9"/>
            <color indexed="81"/>
            <rFont val="細明體"/>
            <family val="3"/>
            <charset val="136"/>
          </rPr>
          <t xml:space="preserve">可被用作取代數學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英文、</t>
        </r>
        <r>
          <rPr>
            <sz val="9"/>
            <color indexed="81"/>
            <rFont val="Tahoma"/>
            <family val="2"/>
          </rPr>
          <t>[</t>
        </r>
        <r>
          <rPr>
            <sz val="9"/>
            <color indexed="81"/>
            <rFont val="細明體"/>
            <family val="3"/>
            <charset val="136"/>
          </rPr>
          <t>數學或</t>
        </r>
        <r>
          <rPr>
            <sz val="9"/>
            <color indexed="81"/>
            <rFont val="Tahoma"/>
            <family val="2"/>
          </rPr>
          <t>M1/2]</t>
        </r>
      </text>
    </comment>
    <comment ref="C268" authorId="3" shapeId="0" xr:uid="{00000000-0006-0000-0400-0000BD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理科</t>
        </r>
        <r>
          <rPr>
            <sz val="9"/>
            <color indexed="81"/>
            <rFont val="Tahoma"/>
            <family val="2"/>
          </rPr>
          <t xml:space="preserve"> </t>
        </r>
        <r>
          <rPr>
            <sz val="9"/>
            <color indexed="81"/>
            <rFont val="細明體"/>
            <family val="3"/>
            <charset val="136"/>
          </rPr>
          <t>科目</t>
        </r>
        <r>
          <rPr>
            <sz val="9"/>
            <color indexed="81"/>
            <rFont val="Tahoma"/>
            <family val="2"/>
          </rPr>
          <t xml:space="preserve">*
</t>
        </r>
        <r>
          <rPr>
            <b/>
            <sz val="9"/>
            <color indexed="81"/>
            <rFont val="Tahoma"/>
            <family val="2"/>
          </rPr>
          <t>x1.3:</t>
        </r>
        <r>
          <rPr>
            <sz val="9"/>
            <color indexed="81"/>
            <rFont val="Tahoma"/>
            <family val="2"/>
          </rPr>
          <t xml:space="preserve"> [</t>
        </r>
        <r>
          <rPr>
            <sz val="9"/>
            <color indexed="81"/>
            <rFont val="細明體"/>
            <family val="3"/>
            <charset val="136"/>
          </rPr>
          <t>生物、化學、物理、組合科學</t>
        </r>
        <r>
          <rPr>
            <sz val="9"/>
            <color indexed="81"/>
            <rFont val="Tahoma"/>
            <family val="2"/>
          </rPr>
          <t xml:space="preserve">] </t>
        </r>
        <r>
          <rPr>
            <sz val="9"/>
            <color indexed="81"/>
            <rFont val="細明體"/>
            <family val="3"/>
            <charset val="136"/>
          </rPr>
          <t>其中最佳一科</t>
        </r>
      </text>
    </comment>
    <comment ref="C269" authorId="3" shapeId="0" xr:uid="{00000000-0006-0000-0400-0000BE000000}">
      <text>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sz val="9"/>
            <color indexed="81"/>
            <rFont val="細明體"/>
            <family val="3"/>
            <charset val="136"/>
          </rPr>
          <t xml:space="preserve">英文、通識
</t>
        </r>
        <r>
          <rPr>
            <sz val="9"/>
            <color indexed="81"/>
            <rFont val="Tahoma"/>
            <family val="2"/>
          </rPr>
          <t xml:space="preserve">
</t>
        </r>
        <r>
          <rPr>
            <b/>
            <sz val="9"/>
            <color indexed="81"/>
            <rFont val="Tahoma"/>
            <family val="2"/>
          </rPr>
          <t>x1.5:</t>
        </r>
        <r>
          <rPr>
            <sz val="9"/>
            <color indexed="81"/>
            <rFont val="Tahoma"/>
            <family val="2"/>
          </rPr>
          <t xml:space="preserve"> </t>
        </r>
        <r>
          <rPr>
            <sz val="9"/>
            <color indexed="81"/>
            <rFont val="細明體"/>
            <family val="3"/>
            <charset val="136"/>
          </rPr>
          <t>英文</t>
        </r>
        <r>
          <rPr>
            <sz val="9"/>
            <color indexed="81"/>
            <rFont val="Tahoma"/>
            <family val="2"/>
          </rPr>
          <t xml:space="preserve">
</t>
        </r>
        <r>
          <rPr>
            <b/>
            <sz val="9"/>
            <color indexed="81"/>
            <rFont val="Tahoma"/>
            <family val="2"/>
          </rPr>
          <t>x1.2</t>
        </r>
        <r>
          <rPr>
            <sz val="9"/>
            <color indexed="81"/>
            <rFont val="Tahoma"/>
            <family val="2"/>
          </rPr>
          <t xml:space="preserve">: </t>
        </r>
        <r>
          <rPr>
            <sz val="9"/>
            <color indexed="81"/>
            <rFont val="細明體"/>
            <family val="3"/>
            <charset val="136"/>
          </rPr>
          <t>通識</t>
        </r>
      </text>
    </comment>
    <comment ref="C270" authorId="3" shapeId="0" xr:uid="{00000000-0006-0000-0400-0000BF000000}">
      <text>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中文</t>
        </r>
        <r>
          <rPr>
            <sz val="9"/>
            <color indexed="81"/>
            <rFont val="細明體"/>
            <family val="3"/>
            <charset val="136"/>
          </rPr>
          <t>、</t>
        </r>
        <r>
          <rPr>
            <b/>
            <sz val="9"/>
            <color indexed="81"/>
            <rFont val="細明體"/>
            <family val="3"/>
            <charset val="136"/>
          </rPr>
          <t xml:space="preserve">通識
</t>
        </r>
        <r>
          <rPr>
            <sz val="9"/>
            <color indexed="81"/>
            <rFont val="細明體"/>
            <family val="3"/>
            <charset val="136"/>
          </rPr>
          <t xml:space="preserve">
</t>
        </r>
        <r>
          <rPr>
            <b/>
            <sz val="9"/>
            <color indexed="81"/>
            <rFont val="Tahoma"/>
            <family val="2"/>
          </rPr>
          <t>x1.5:</t>
        </r>
        <r>
          <rPr>
            <sz val="9"/>
            <color indexed="81"/>
            <rFont val="Tahoma"/>
            <family val="2"/>
          </rPr>
          <t xml:space="preserve"> </t>
        </r>
        <r>
          <rPr>
            <sz val="9"/>
            <color indexed="81"/>
            <rFont val="細明體"/>
            <family val="3"/>
            <charset val="136"/>
          </rPr>
          <t xml:space="preserve">中文
</t>
        </r>
        <r>
          <rPr>
            <b/>
            <sz val="9"/>
            <color indexed="81"/>
            <rFont val="Tahoma"/>
            <family val="2"/>
          </rPr>
          <t>x1.2:</t>
        </r>
        <r>
          <rPr>
            <sz val="9"/>
            <color indexed="81"/>
            <rFont val="Tahoma"/>
            <family val="2"/>
          </rPr>
          <t xml:space="preserve"> </t>
        </r>
        <r>
          <rPr>
            <sz val="9"/>
            <color indexed="81"/>
            <rFont val="細明體"/>
            <family val="3"/>
            <charset val="136"/>
          </rPr>
          <t>通識</t>
        </r>
      </text>
    </comment>
    <comment ref="C271" authorId="3" shapeId="0" xr:uid="{00000000-0006-0000-0400-0000C0000000}">
      <text>
        <r>
          <rPr>
            <sz val="9"/>
            <color indexed="81"/>
            <rFont val="細明體"/>
            <family val="3"/>
            <charset val="136"/>
          </rPr>
          <t>最佳</t>
        </r>
        <r>
          <rPr>
            <sz val="9"/>
            <color indexed="81"/>
            <rFont val="Tahoma"/>
            <family val="2"/>
          </rPr>
          <t>5</t>
        </r>
        <r>
          <rPr>
            <sz val="9"/>
            <color indexed="81"/>
            <rFont val="細明體"/>
            <family val="3"/>
            <charset val="136"/>
          </rPr>
          <t>科必須包括</t>
        </r>
        <r>
          <rPr>
            <b/>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中文</t>
        </r>
        <r>
          <rPr>
            <sz val="9"/>
            <color indexed="81"/>
            <rFont val="細明體"/>
            <family val="3"/>
            <charset val="136"/>
          </rPr>
          <t xml:space="preserve">
</t>
        </r>
        <r>
          <rPr>
            <b/>
            <sz val="9"/>
            <color indexed="81"/>
            <rFont val="Tahoma"/>
            <family val="2"/>
          </rPr>
          <t xml:space="preserve">x1.5: </t>
        </r>
        <r>
          <rPr>
            <sz val="9"/>
            <color indexed="81"/>
            <rFont val="細明體"/>
            <family val="3"/>
            <charset val="136"/>
          </rPr>
          <t xml:space="preserve">英文
</t>
        </r>
        <r>
          <rPr>
            <b/>
            <sz val="9"/>
            <color indexed="81"/>
            <rFont val="Tahoma"/>
            <family val="2"/>
          </rPr>
          <t xml:space="preserve">x1.2: </t>
        </r>
        <r>
          <rPr>
            <sz val="9"/>
            <color indexed="81"/>
            <rFont val="細明體"/>
            <family val="3"/>
            <charset val="136"/>
          </rPr>
          <t>中文</t>
        </r>
      </text>
    </comment>
    <comment ref="C272" authorId="3" shapeId="0" xr:uid="{00000000-0006-0000-0400-0000C1000000}">
      <text>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細明體"/>
            <family val="3"/>
            <charset val="136"/>
          </rPr>
          <t>最佳理科</t>
        </r>
        <r>
          <rPr>
            <sz val="9"/>
            <color indexed="81"/>
            <rFont val="Tahoma"/>
            <family val="2"/>
          </rPr>
          <t>*
M1/2</t>
        </r>
        <r>
          <rPr>
            <sz val="9"/>
            <color indexed="81"/>
            <rFont val="細明體"/>
            <family val="3"/>
            <charset val="136"/>
          </rPr>
          <t xml:space="preserve">可被當作一科選修
</t>
        </r>
        <r>
          <rPr>
            <b/>
            <sz val="9"/>
            <color indexed="81"/>
            <rFont val="Tahoma"/>
            <family val="2"/>
          </rPr>
          <t xml:space="preserve">
x2: </t>
        </r>
        <r>
          <rPr>
            <sz val="9"/>
            <color indexed="81"/>
            <rFont val="細明體"/>
            <family val="3"/>
            <charset val="136"/>
          </rPr>
          <t>數學、</t>
        </r>
        <r>
          <rPr>
            <sz val="9"/>
            <color indexed="81"/>
            <rFont val="Tahoma"/>
            <family val="2"/>
          </rPr>
          <t>M1/2</t>
        </r>
        <r>
          <rPr>
            <sz val="9"/>
            <color indexed="81"/>
            <rFont val="細明體"/>
            <family val="3"/>
            <charset val="136"/>
          </rPr>
          <t>、</t>
        </r>
        <r>
          <rPr>
            <sz val="9"/>
            <color indexed="81"/>
            <rFont val="Tahoma"/>
            <family val="2"/>
          </rPr>
          <t xml:space="preserve"> </t>
        </r>
        <r>
          <rPr>
            <sz val="9"/>
            <color indexed="81"/>
            <rFont val="細明體"/>
            <family val="3"/>
            <charset val="136"/>
          </rPr>
          <t>生物、化學、物理、組合科學、綜合科學</t>
        </r>
        <r>
          <rPr>
            <sz val="9"/>
            <color indexed="81"/>
            <rFont val="Tahoma"/>
            <family val="2"/>
          </rPr>
          <t xml:space="preserve">
</t>
        </r>
        <r>
          <rPr>
            <b/>
            <sz val="9"/>
            <color indexed="81"/>
            <rFont val="Tahoma"/>
            <family val="2"/>
          </rPr>
          <t xml:space="preserve">x1.5: </t>
        </r>
        <r>
          <rPr>
            <sz val="9"/>
            <color indexed="81"/>
            <rFont val="細明體"/>
            <family val="3"/>
            <charset val="136"/>
          </rPr>
          <t xml:space="preserve">英文
</t>
        </r>
        <r>
          <rPr>
            <b/>
            <sz val="9"/>
            <color indexed="81"/>
            <rFont val="Tahoma"/>
            <family val="2"/>
          </rPr>
          <t>x1.25:</t>
        </r>
        <r>
          <rPr>
            <sz val="9"/>
            <color indexed="81"/>
            <rFont val="Tahoma"/>
            <family val="2"/>
          </rPr>
          <t xml:space="preserve"> </t>
        </r>
        <r>
          <rPr>
            <sz val="9"/>
            <color indexed="81"/>
            <rFont val="細明體"/>
            <family val="3"/>
            <charset val="136"/>
          </rPr>
          <t xml:space="preserve">非理科選修科
</t>
        </r>
        <r>
          <rPr>
            <b/>
            <sz val="9"/>
            <color indexed="81"/>
            <rFont val="Tahoma"/>
            <family val="2"/>
          </rPr>
          <t>*</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生物、化學、物理、組合科學、綜合科學</t>
        </r>
      </text>
    </comment>
    <comment ref="C274" authorId="3" shapeId="0" xr:uid="{00000000-0006-0000-0400-0000C2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C275" authorId="3" shapeId="0" xr:uid="{00000000-0006-0000-0400-0000C3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text>
    </comment>
    <comment ref="C276" authorId="3" shapeId="0" xr:uid="{00000000-0006-0000-0400-0000C4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text>
    </comment>
    <comment ref="C277" authorId="3" shapeId="0" xr:uid="{00000000-0006-0000-0400-0000C5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text>
    </comment>
    <comment ref="C278" authorId="3" shapeId="0" xr:uid="{00000000-0006-0000-0400-0000C6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text>
    </comment>
    <comment ref="C279" authorId="3" shapeId="0" xr:uid="{00000000-0006-0000-0400-0000C7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text>
    </comment>
    <comment ref="C280" authorId="3" shapeId="0" xr:uid="{00000000-0006-0000-0400-0000C8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text>
    </comment>
    <comment ref="C281" authorId="3" shapeId="0" xr:uid="{00000000-0006-0000-0400-0000C9000000}">
      <text>
        <r>
          <rPr>
            <b/>
            <sz val="9"/>
            <color indexed="81"/>
            <rFont val="Tahoma"/>
            <family val="2"/>
          </rPr>
          <t>2021</t>
        </r>
        <r>
          <rPr>
            <b/>
            <sz val="9"/>
            <color indexed="81"/>
            <rFont val="細明體"/>
            <family val="3"/>
            <charset val="136"/>
          </rPr>
          <t xml:space="preserve">年新科目
</t>
        </r>
        <r>
          <rPr>
            <sz val="9"/>
            <color indexed="81"/>
            <rFont val="細明體"/>
            <family val="3"/>
            <charset val="136"/>
          </rPr>
          <t>將考慮甲類及丙類科目，但不包括</t>
        </r>
        <r>
          <rPr>
            <b/>
            <sz val="9"/>
            <color indexed="81"/>
            <rFont val="Tahoma"/>
            <family val="2"/>
          </rPr>
          <t xml:space="preserve">M1/2
</t>
        </r>
        <r>
          <rPr>
            <sz val="9"/>
            <color indexed="81"/>
            <rFont val="細明體"/>
            <family val="3"/>
            <charset val="136"/>
          </rPr>
          <t>若同學欲接駁到</t>
        </r>
        <r>
          <rPr>
            <sz val="9"/>
            <color indexed="81"/>
            <rFont val="Tahoma"/>
            <family val="2"/>
          </rPr>
          <t xml:space="preserve"> MBBS </t>
        </r>
        <r>
          <rPr>
            <sz val="9"/>
            <color indexed="81"/>
            <rFont val="細明體"/>
            <family val="3"/>
            <charset val="136"/>
          </rPr>
          <t>的升學途徑，同學須獲一級榮譽畢業，以及</t>
        </r>
        <r>
          <rPr>
            <b/>
            <sz val="9"/>
            <color indexed="81"/>
            <rFont val="Tahoma"/>
            <family val="2"/>
          </rPr>
          <t>DSE</t>
        </r>
        <r>
          <rPr>
            <b/>
            <sz val="9"/>
            <color indexed="81"/>
            <rFont val="細明體"/>
            <family val="3"/>
            <charset val="136"/>
          </rPr>
          <t>有修讀化學</t>
        </r>
        <r>
          <rPr>
            <b/>
            <sz val="9"/>
            <color indexed="81"/>
            <rFont val="Tahoma"/>
            <family val="2"/>
          </rPr>
          <t xml:space="preserve"> </t>
        </r>
        <r>
          <rPr>
            <b/>
            <sz val="9"/>
            <color indexed="81"/>
            <rFont val="細明體"/>
            <family val="3"/>
            <charset val="136"/>
          </rPr>
          <t>或</t>
        </r>
        <r>
          <rPr>
            <b/>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化學</t>
        </r>
        <r>
          <rPr>
            <b/>
            <sz val="9"/>
            <color indexed="81"/>
            <rFont val="Tahoma"/>
            <family val="2"/>
          </rPr>
          <t xml:space="preserve">)
</t>
        </r>
        <r>
          <rPr>
            <sz val="9"/>
            <color indexed="81"/>
            <rFont val="Tahoma"/>
            <family val="2"/>
          </rPr>
          <t>* BNurs with first class honours and HKDSE “Chemistry” or “Combined Science (Chemistry)” are required for the MBBS articulation pathway</t>
        </r>
      </text>
    </comment>
    <comment ref="C282" authorId="3" shapeId="0" xr:uid="{00000000-0006-0000-0400-0000CA000000}">
      <text>
        <r>
          <rPr>
            <sz val="9"/>
            <color indexed="81"/>
            <rFont val="細明體"/>
            <family val="3"/>
            <charset val="136"/>
          </rPr>
          <t>將會考慮</t>
        </r>
        <r>
          <rPr>
            <sz val="9"/>
            <color indexed="81"/>
            <rFont val="Tahoma"/>
            <family val="2"/>
          </rPr>
          <t xml:space="preserve"> </t>
        </r>
        <r>
          <rPr>
            <b/>
            <sz val="9"/>
            <color indexed="81"/>
            <rFont val="細明體"/>
            <family val="3"/>
            <charset val="136"/>
          </rPr>
          <t>數學科</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數學及</t>
        </r>
        <r>
          <rPr>
            <b/>
            <sz val="9"/>
            <color indexed="81"/>
            <rFont val="Tahoma"/>
            <family val="2"/>
          </rPr>
          <t>M1/2</t>
        </r>
        <r>
          <rPr>
            <b/>
            <sz val="9"/>
            <color indexed="81"/>
            <rFont val="細明體"/>
            <family val="3"/>
            <charset val="136"/>
          </rPr>
          <t>的組合分數</t>
        </r>
        <r>
          <rPr>
            <sz val="9"/>
            <color indexed="81"/>
            <rFont val="Tahoma"/>
            <family val="2"/>
          </rPr>
          <t xml:space="preserve"> (</t>
        </r>
        <r>
          <rPr>
            <sz val="9"/>
            <color indexed="81"/>
            <rFont val="細明體"/>
            <family val="3"/>
            <charset val="136"/>
          </rPr>
          <t>公式如下</t>
        </r>
        <r>
          <rPr>
            <sz val="9"/>
            <color indexed="81"/>
            <rFont val="Tahoma"/>
            <family val="2"/>
          </rPr>
          <t xml:space="preserve">) </t>
        </r>
        <r>
          <rPr>
            <sz val="9"/>
            <color indexed="81"/>
            <rFont val="細明體"/>
            <family val="3"/>
            <charset val="136"/>
          </rPr>
          <t>較高者</t>
        </r>
        <r>
          <rPr>
            <sz val="9"/>
            <color indexed="81"/>
            <rFont val="Tahoma"/>
            <family val="2"/>
          </rPr>
          <t xml:space="preserve">
</t>
        </r>
        <r>
          <rPr>
            <b/>
            <sz val="9"/>
            <color indexed="81"/>
            <rFont val="Tahoma"/>
            <family val="2"/>
          </rPr>
          <t>[MA+(M1/M2*0.5)]/1.5</t>
        </r>
      </text>
    </comment>
    <comment ref="C283" authorId="3" shapeId="0" xr:uid="{00000000-0006-0000-0400-0000CB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C284" authorId="3" shapeId="0" xr:uid="{00000000-0006-0000-0400-0000CC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C285" authorId="3" shapeId="0" xr:uid="{00000000-0006-0000-0400-0000CD000000}">
      <text>
        <r>
          <rPr>
            <sz val="9"/>
            <color indexed="81"/>
            <rFont val="細明體"/>
            <family val="3"/>
            <charset val="136"/>
          </rPr>
          <t>將會考慮</t>
        </r>
        <r>
          <rPr>
            <sz val="9"/>
            <color indexed="81"/>
            <rFont val="Tahoma"/>
            <family val="2"/>
          </rPr>
          <t xml:space="preserve"> </t>
        </r>
        <r>
          <rPr>
            <b/>
            <sz val="9"/>
            <color indexed="81"/>
            <rFont val="細明體"/>
            <family val="3"/>
            <charset val="136"/>
          </rPr>
          <t>數學科</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數學及</t>
        </r>
        <r>
          <rPr>
            <b/>
            <sz val="9"/>
            <color indexed="81"/>
            <rFont val="Tahoma"/>
            <family val="2"/>
          </rPr>
          <t>M1/2</t>
        </r>
        <r>
          <rPr>
            <b/>
            <sz val="9"/>
            <color indexed="81"/>
            <rFont val="細明體"/>
            <family val="3"/>
            <charset val="136"/>
          </rPr>
          <t>的組合分數</t>
        </r>
        <r>
          <rPr>
            <sz val="9"/>
            <color indexed="81"/>
            <rFont val="Tahoma"/>
            <family val="2"/>
          </rPr>
          <t xml:space="preserve"> (</t>
        </r>
        <r>
          <rPr>
            <sz val="9"/>
            <color indexed="81"/>
            <rFont val="細明體"/>
            <family val="3"/>
            <charset val="136"/>
          </rPr>
          <t>公式如下</t>
        </r>
        <r>
          <rPr>
            <sz val="9"/>
            <color indexed="81"/>
            <rFont val="Tahoma"/>
            <family val="2"/>
          </rPr>
          <t xml:space="preserve">) </t>
        </r>
        <r>
          <rPr>
            <sz val="9"/>
            <color indexed="81"/>
            <rFont val="細明體"/>
            <family val="3"/>
            <charset val="136"/>
          </rPr>
          <t>較高者</t>
        </r>
        <r>
          <rPr>
            <sz val="9"/>
            <color indexed="81"/>
            <rFont val="Tahoma"/>
            <family val="2"/>
          </rPr>
          <t xml:space="preserve">
</t>
        </r>
        <r>
          <rPr>
            <b/>
            <sz val="9"/>
            <color indexed="81"/>
            <rFont val="Tahoma"/>
            <family val="2"/>
          </rPr>
          <t>[MA+(M1/M2*0.5)]/1.5</t>
        </r>
      </text>
    </comment>
    <comment ref="C286" authorId="3" shapeId="0" xr:uid="{00000000-0006-0000-0400-0000CE000000}">
      <text>
        <r>
          <rPr>
            <sz val="9"/>
            <color indexed="81"/>
            <rFont val="細明體"/>
            <family val="3"/>
            <charset val="136"/>
          </rPr>
          <t>將會考慮</t>
        </r>
        <r>
          <rPr>
            <sz val="9"/>
            <color indexed="81"/>
            <rFont val="Tahoma"/>
            <family val="2"/>
          </rPr>
          <t xml:space="preserve"> </t>
        </r>
        <r>
          <rPr>
            <b/>
            <sz val="9"/>
            <color indexed="81"/>
            <rFont val="細明體"/>
            <family val="3"/>
            <charset val="136"/>
          </rPr>
          <t>數學科</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數學及</t>
        </r>
        <r>
          <rPr>
            <b/>
            <sz val="9"/>
            <color indexed="81"/>
            <rFont val="Tahoma"/>
            <family val="2"/>
          </rPr>
          <t>M1/2</t>
        </r>
        <r>
          <rPr>
            <b/>
            <sz val="9"/>
            <color indexed="81"/>
            <rFont val="細明體"/>
            <family val="3"/>
            <charset val="136"/>
          </rPr>
          <t>的組合分數</t>
        </r>
        <r>
          <rPr>
            <sz val="9"/>
            <color indexed="81"/>
            <rFont val="Tahoma"/>
            <family val="2"/>
          </rPr>
          <t xml:space="preserve"> (</t>
        </r>
        <r>
          <rPr>
            <sz val="9"/>
            <color indexed="81"/>
            <rFont val="細明體"/>
            <family val="3"/>
            <charset val="136"/>
          </rPr>
          <t>公式如下</t>
        </r>
        <r>
          <rPr>
            <sz val="9"/>
            <color indexed="81"/>
            <rFont val="Tahoma"/>
            <family val="2"/>
          </rPr>
          <t xml:space="preserve">) </t>
        </r>
        <r>
          <rPr>
            <sz val="9"/>
            <color indexed="81"/>
            <rFont val="細明體"/>
            <family val="3"/>
            <charset val="136"/>
          </rPr>
          <t>較高者</t>
        </r>
        <r>
          <rPr>
            <sz val="9"/>
            <color indexed="81"/>
            <rFont val="Tahoma"/>
            <family val="2"/>
          </rPr>
          <t xml:space="preserve">
</t>
        </r>
        <r>
          <rPr>
            <b/>
            <sz val="9"/>
            <color indexed="81"/>
            <rFont val="Tahoma"/>
            <family val="2"/>
          </rPr>
          <t>[MA+(M1/M2*0.5)]/1.5</t>
        </r>
      </text>
    </comment>
    <comment ref="C287" authorId="1" shapeId="0" xr:uid="{00000000-0006-0000-0400-0000CF000000}">
      <text>
        <r>
          <rPr>
            <b/>
            <sz val="9"/>
            <color indexed="81"/>
            <rFont val="Tahoma"/>
            <family val="2"/>
          </rPr>
          <t>2021</t>
        </r>
        <r>
          <rPr>
            <b/>
            <sz val="9"/>
            <color indexed="81"/>
            <rFont val="細明體"/>
            <family val="3"/>
            <charset val="136"/>
          </rPr>
          <t>年新科目</t>
        </r>
        <r>
          <rPr>
            <sz val="9"/>
            <color indexed="81"/>
            <rFont val="Tahoma"/>
            <family val="2"/>
          </rPr>
          <t xml:space="preserve">
</t>
        </r>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Tahoma"/>
            <family val="2"/>
          </rPr>
          <t>M1/2</t>
        </r>
        <r>
          <rPr>
            <sz val="9"/>
            <color indexed="81"/>
            <rFont val="細明體"/>
            <family val="3"/>
            <charset val="136"/>
          </rPr>
          <t>、及最佳兩科</t>
        </r>
        <r>
          <rPr>
            <b/>
            <sz val="9"/>
            <color indexed="81"/>
            <rFont val="細明體"/>
            <family val="3"/>
            <charset val="136"/>
          </rPr>
          <t>理科</t>
        </r>
        <r>
          <rPr>
            <sz val="9"/>
            <color indexed="81"/>
            <rFont val="Tahoma"/>
            <family val="2"/>
          </rPr>
          <t>*</t>
        </r>
        <r>
          <rPr>
            <b/>
            <sz val="9"/>
            <color indexed="81"/>
            <rFont val="Tahoma"/>
            <family val="2"/>
          </rPr>
          <t xml:space="preserve">
x2: </t>
        </r>
        <r>
          <rPr>
            <sz val="9"/>
            <color indexed="81"/>
            <rFont val="細明體"/>
            <family val="3"/>
            <charset val="136"/>
          </rPr>
          <t>英文、數學、</t>
        </r>
        <r>
          <rPr>
            <sz val="9"/>
            <color indexed="81"/>
            <rFont val="Tahoma"/>
            <family val="2"/>
          </rPr>
          <t>M1/2</t>
        </r>
        <r>
          <rPr>
            <sz val="9"/>
            <color indexed="81"/>
            <rFont val="細明體"/>
            <family val="3"/>
            <charset val="136"/>
          </rPr>
          <t>、生物、化學、物理</t>
        </r>
        <r>
          <rPr>
            <b/>
            <sz val="9"/>
            <color indexed="81"/>
            <rFont val="Tahoma"/>
            <family val="2"/>
          </rPr>
          <t xml:space="preserve">
x1.25: </t>
        </r>
        <r>
          <rPr>
            <sz val="9"/>
            <color indexed="81"/>
            <rFont val="細明體"/>
            <family val="3"/>
            <charset val="136"/>
          </rPr>
          <t>其他選修科目</t>
        </r>
        <r>
          <rPr>
            <b/>
            <sz val="9"/>
            <color indexed="81"/>
            <rFont val="Tahoma"/>
            <family val="2"/>
          </rPr>
          <t xml:space="preserve">
*</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t>
        </r>
      </text>
    </comment>
    <comment ref="O287" authorId="1" shapeId="0" xr:uid="{00000000-0006-0000-0400-0000D0000000}">
      <text>
        <r>
          <rPr>
            <sz val="9"/>
            <color indexed="81"/>
            <rFont val="Tahoma"/>
            <family val="2"/>
          </rPr>
          <t>Penalty for previous sitting(s) (2019 and before) will be imposed on a case-by-case basis</t>
        </r>
      </text>
    </comment>
    <comment ref="C288" authorId="1" shapeId="0" xr:uid="{00000000-0006-0000-0400-0000D1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Tahoma"/>
            <family val="2"/>
          </rPr>
          <t>M1/2</t>
        </r>
        <r>
          <rPr>
            <sz val="9"/>
            <color indexed="81"/>
            <rFont val="細明體"/>
            <family val="3"/>
            <charset val="136"/>
          </rPr>
          <t xml:space="preserve">
</t>
        </r>
        <r>
          <rPr>
            <b/>
            <sz val="9"/>
            <color indexed="81"/>
            <rFont val="細明體"/>
            <family val="3"/>
            <charset val="136"/>
          </rPr>
          <t xml:space="preserve">
</t>
        </r>
        <r>
          <rPr>
            <b/>
            <sz val="9"/>
            <color indexed="81"/>
            <rFont val="Tahoma"/>
            <family val="2"/>
          </rPr>
          <t xml:space="preserve">x2: </t>
        </r>
        <r>
          <rPr>
            <sz val="9"/>
            <color indexed="81"/>
            <rFont val="細明體"/>
            <family val="3"/>
            <charset val="136"/>
          </rPr>
          <t>英文、數學、</t>
        </r>
        <r>
          <rPr>
            <sz val="9"/>
            <color indexed="81"/>
            <rFont val="Tahoma"/>
            <family val="2"/>
          </rPr>
          <t>M1/2</t>
        </r>
      </text>
    </comment>
    <comment ref="O288" authorId="1" shapeId="0" xr:uid="{00000000-0006-0000-0400-0000D2000000}">
      <text>
        <r>
          <rPr>
            <sz val="9"/>
            <color indexed="81"/>
            <rFont val="Tahoma"/>
            <family val="2"/>
          </rPr>
          <t>Penalty for previous sitting(s) (2019 and before) will be imposed on a case-by-case basis</t>
        </r>
      </text>
    </comment>
    <comment ref="C289" authorId="3" shapeId="0" xr:uid="{00000000-0006-0000-0400-0000D3000000}">
      <text>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細明體"/>
            <family val="3"/>
            <charset val="136"/>
          </rPr>
          <t>最佳理科</t>
        </r>
        <r>
          <rPr>
            <sz val="9"/>
            <color indexed="81"/>
            <rFont val="Tahoma"/>
            <family val="2"/>
          </rPr>
          <t>*
M1/2</t>
        </r>
        <r>
          <rPr>
            <sz val="9"/>
            <color indexed="81"/>
            <rFont val="細明體"/>
            <family val="3"/>
            <charset val="136"/>
          </rPr>
          <t xml:space="preserve">可被當作一科選修
</t>
        </r>
        <r>
          <rPr>
            <b/>
            <sz val="9"/>
            <color indexed="81"/>
            <rFont val="Tahoma"/>
            <family val="2"/>
          </rPr>
          <t xml:space="preserve">x2: </t>
        </r>
        <r>
          <rPr>
            <sz val="9"/>
            <color indexed="81"/>
            <rFont val="細明體"/>
            <family val="3"/>
            <charset val="136"/>
          </rPr>
          <t>數學、</t>
        </r>
        <r>
          <rPr>
            <sz val="9"/>
            <color indexed="81"/>
            <rFont val="Tahoma"/>
            <family val="2"/>
          </rPr>
          <t>M1/2</t>
        </r>
        <r>
          <rPr>
            <sz val="9"/>
            <color indexed="81"/>
            <rFont val="細明體"/>
            <family val="3"/>
            <charset val="136"/>
          </rPr>
          <t>、</t>
        </r>
        <r>
          <rPr>
            <sz val="9"/>
            <color indexed="81"/>
            <rFont val="Tahoma"/>
            <family val="2"/>
          </rPr>
          <t xml:space="preserve"> </t>
        </r>
        <r>
          <rPr>
            <sz val="9"/>
            <color indexed="81"/>
            <rFont val="細明體"/>
            <family val="3"/>
            <charset val="136"/>
          </rPr>
          <t xml:space="preserve">生物、化學、物理、組合科學、綜合科學
</t>
        </r>
        <r>
          <rPr>
            <b/>
            <sz val="9"/>
            <color indexed="81"/>
            <rFont val="Tahoma"/>
            <family val="2"/>
          </rPr>
          <t>x1.5:</t>
        </r>
        <r>
          <rPr>
            <sz val="9"/>
            <color indexed="81"/>
            <rFont val="Tahoma"/>
            <family val="2"/>
          </rPr>
          <t xml:space="preserve"> </t>
        </r>
        <r>
          <rPr>
            <sz val="9"/>
            <color indexed="81"/>
            <rFont val="細明體"/>
            <family val="3"/>
            <charset val="136"/>
          </rPr>
          <t xml:space="preserve">英文
</t>
        </r>
        <r>
          <rPr>
            <b/>
            <sz val="9"/>
            <color indexed="81"/>
            <rFont val="Tahoma"/>
            <family val="2"/>
          </rPr>
          <t xml:space="preserve">x1.25: </t>
        </r>
        <r>
          <rPr>
            <sz val="9"/>
            <color indexed="81"/>
            <rFont val="細明體"/>
            <family val="3"/>
            <charset val="136"/>
          </rPr>
          <t>非理科選修科</t>
        </r>
        <r>
          <rPr>
            <sz val="9"/>
            <color indexed="81"/>
            <rFont val="細明體"/>
            <family val="3"/>
            <charset val="136"/>
          </rPr>
          <t xml:space="preserve">
</t>
        </r>
        <r>
          <rPr>
            <b/>
            <sz val="9"/>
            <color indexed="81"/>
            <rFont val="Tahoma"/>
            <family val="2"/>
          </rPr>
          <t>*</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生物、化學、物理、組合科學、綜合科學</t>
        </r>
      </text>
    </comment>
    <comment ref="C290" authorId="3" shapeId="0" xr:uid="{00000000-0006-0000-0400-0000D4000000}">
      <text>
        <r>
          <rPr>
            <sz val="9"/>
            <color indexed="81"/>
            <rFont val="細明體"/>
            <family val="3"/>
            <charset val="136"/>
          </rPr>
          <t>將考慮甲類及丙類科目，但</t>
        </r>
        <r>
          <rPr>
            <b/>
            <sz val="9"/>
            <color indexed="81"/>
            <rFont val="細明體"/>
            <family val="3"/>
            <charset val="136"/>
          </rPr>
          <t>不包括M1/2</t>
        </r>
      </text>
    </comment>
    <comment ref="C291" authorId="3" shapeId="0" xr:uid="{00000000-0006-0000-0400-0000D5000000}">
      <text>
        <r>
          <rPr>
            <sz val="9"/>
            <color indexed="81"/>
            <rFont val="細明體"/>
            <family val="3"/>
            <charset val="136"/>
          </rPr>
          <t>將考慮甲類及丙類科目，但</t>
        </r>
        <r>
          <rPr>
            <b/>
            <sz val="9"/>
            <color indexed="81"/>
            <rFont val="細明體"/>
            <family val="3"/>
            <charset val="136"/>
          </rPr>
          <t>不包括M1/2</t>
        </r>
      </text>
    </comment>
    <comment ref="C293" authorId="3" shapeId="0" xr:uid="{00000000-0006-0000-0400-0000D6000000}">
      <text>
        <r>
          <rPr>
            <sz val="9"/>
            <color indexed="81"/>
            <rFont val="細明體"/>
            <family val="3"/>
            <charset val="136"/>
          </rPr>
          <t>將考慮甲類及丙類科目，但</t>
        </r>
        <r>
          <rPr>
            <b/>
            <sz val="9"/>
            <color indexed="81"/>
            <rFont val="細明體"/>
            <family val="3"/>
            <charset val="136"/>
          </rPr>
          <t>不包括M1/2</t>
        </r>
      </text>
    </comment>
    <comment ref="C294" authorId="3" shapeId="0" xr:uid="{00000000-0006-0000-0400-0000D7000000}">
      <text>
        <r>
          <rPr>
            <sz val="9"/>
            <color indexed="81"/>
            <rFont val="細明體"/>
            <family val="3"/>
            <charset val="136"/>
          </rPr>
          <t>將考慮甲類及丙類科目，但</t>
        </r>
        <r>
          <rPr>
            <b/>
            <sz val="9"/>
            <color indexed="81"/>
            <rFont val="細明體"/>
            <family val="3"/>
            <charset val="136"/>
          </rPr>
          <t>不包括M1/2</t>
        </r>
      </text>
    </comment>
    <comment ref="C295" authorId="3" shapeId="0" xr:uid="{00000000-0006-0000-0400-0000D8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Tahoma"/>
            <family val="2"/>
          </rPr>
          <t>M1/2</t>
        </r>
        <r>
          <rPr>
            <sz val="9"/>
            <color indexed="81"/>
            <rFont val="Tahoma"/>
            <family val="2"/>
          </rPr>
          <t xml:space="preserve">
</t>
        </r>
        <r>
          <rPr>
            <b/>
            <sz val="9"/>
            <color indexed="81"/>
            <rFont val="Tahoma"/>
            <family val="2"/>
          </rPr>
          <t xml:space="preserve">x2: </t>
        </r>
        <r>
          <rPr>
            <sz val="9"/>
            <color indexed="81"/>
            <rFont val="細明體"/>
            <family val="3"/>
            <charset val="136"/>
          </rPr>
          <t>英文、數學、</t>
        </r>
        <r>
          <rPr>
            <sz val="9"/>
            <color indexed="81"/>
            <rFont val="Tahoma"/>
            <family val="2"/>
          </rPr>
          <t>M1/2</t>
        </r>
        <r>
          <rPr>
            <sz val="9"/>
            <color indexed="81"/>
            <rFont val="細明體"/>
            <family val="3"/>
            <charset val="136"/>
          </rPr>
          <t xml:space="preserve">
</t>
        </r>
        <r>
          <rPr>
            <b/>
            <sz val="9"/>
            <color indexed="81"/>
            <rFont val="Tahoma"/>
            <family val="2"/>
          </rPr>
          <t>x1.5:</t>
        </r>
        <r>
          <rPr>
            <sz val="9"/>
            <color indexed="81"/>
            <rFont val="Tahoma"/>
            <family val="2"/>
          </rPr>
          <t xml:space="preserve"> </t>
        </r>
        <r>
          <rPr>
            <sz val="9"/>
            <color indexed="81"/>
            <rFont val="細明體"/>
            <family val="3"/>
            <charset val="136"/>
          </rPr>
          <t>生物、化學、物理、組合科學、綜合科學、</t>
        </r>
        <r>
          <rPr>
            <sz val="9"/>
            <color indexed="81"/>
            <rFont val="Tahoma"/>
            <family val="2"/>
          </rPr>
          <t>ICT</t>
        </r>
      </text>
    </comment>
    <comment ref="O295" authorId="1" shapeId="0" xr:uid="{00000000-0006-0000-0400-0000D9000000}">
      <text>
        <r>
          <rPr>
            <sz val="9"/>
            <color indexed="81"/>
            <rFont val="Tahoma"/>
            <family val="2"/>
          </rPr>
          <t>Penalty for previous sitting(s) (2019 and before) will be imposed on a case-by-case basis</t>
        </r>
      </text>
    </comment>
    <comment ref="C296" authorId="1" shapeId="0" xr:uid="{00000000-0006-0000-0400-0000DA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text>
    </comment>
    <comment ref="C297" authorId="3" shapeId="0" xr:uid="{00000000-0006-0000-0400-0000DB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Tahoma"/>
            <family val="2"/>
          </rPr>
          <t xml:space="preserve">
</t>
        </r>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text>
    </comment>
    <comment ref="C298" authorId="3" shapeId="0" xr:uid="{00000000-0006-0000-0400-0000DC000000}">
      <text>
        <r>
          <rPr>
            <sz val="9"/>
            <color indexed="81"/>
            <rFont val="細明體"/>
            <family val="3"/>
            <charset val="136"/>
          </rPr>
          <t>將考慮甲類及丙類科目，但</t>
        </r>
        <r>
          <rPr>
            <b/>
            <sz val="9"/>
            <color indexed="81"/>
            <rFont val="細明體"/>
            <family val="3"/>
            <charset val="136"/>
          </rPr>
          <t>不包括M1/2</t>
        </r>
      </text>
    </comment>
    <comment ref="C384" authorId="1" shapeId="0" xr:uid="{00000000-0006-0000-0400-0000DD000000}">
      <text>
        <r>
          <rPr>
            <b/>
            <sz val="9"/>
            <color indexed="81"/>
            <rFont val="Tahoma"/>
            <family val="2"/>
          </rPr>
          <t>Best 5 (</t>
        </r>
        <r>
          <rPr>
            <b/>
            <sz val="9"/>
            <color indexed="81"/>
            <rFont val="細明體"/>
            <family val="3"/>
            <charset val="136"/>
          </rPr>
          <t>包括英文、數學</t>
        </r>
        <r>
          <rPr>
            <b/>
            <sz val="9"/>
            <color indexed="81"/>
            <rFont val="Tahoma"/>
            <family val="2"/>
          </rPr>
          <t xml:space="preserve">)
</t>
        </r>
        <r>
          <rPr>
            <sz val="9"/>
            <color indexed="81"/>
            <rFont val="Tahoma"/>
            <family val="2"/>
          </rPr>
          <t xml:space="preserve">
</t>
        </r>
        <r>
          <rPr>
            <b/>
            <sz val="9"/>
            <color indexed="81"/>
            <rFont val="細明體"/>
            <family val="3"/>
            <charset val="136"/>
          </rPr>
          <t>此處並無計算比重</t>
        </r>
        <r>
          <rPr>
            <sz val="9"/>
            <color indexed="81"/>
            <rFont val="細明體"/>
            <family val="3"/>
            <charset val="136"/>
          </rPr>
          <t xml:space="preserve">
</t>
        </r>
        <r>
          <rPr>
            <b/>
            <sz val="9"/>
            <color indexed="81"/>
            <rFont val="Tahoma"/>
            <family val="2"/>
          </rPr>
          <t>x10:</t>
        </r>
        <r>
          <rPr>
            <sz val="9"/>
            <color indexed="81"/>
            <rFont val="Tahoma"/>
            <family val="2"/>
          </rPr>
          <t xml:space="preserve"> </t>
        </r>
        <r>
          <rPr>
            <sz val="9"/>
            <color indexed="81"/>
            <rFont val="細明體"/>
            <family val="3"/>
            <charset val="136"/>
          </rPr>
          <t>英文、數學、</t>
        </r>
        <r>
          <rPr>
            <sz val="9"/>
            <color indexed="81"/>
            <rFont val="Tahoma"/>
            <family val="2"/>
          </rPr>
          <t>BAFS</t>
        </r>
        <r>
          <rPr>
            <sz val="9"/>
            <color indexed="81"/>
            <rFont val="細明體"/>
            <family val="3"/>
            <charset val="136"/>
          </rPr>
          <t>、經濟、地理、</t>
        </r>
        <r>
          <rPr>
            <sz val="9"/>
            <color indexed="81"/>
            <rFont val="Tahoma"/>
            <family val="2"/>
          </rPr>
          <t>ICT</t>
        </r>
        <r>
          <rPr>
            <sz val="9"/>
            <color indexed="81"/>
            <rFont val="細明體"/>
            <family val="3"/>
            <charset val="136"/>
          </rPr>
          <t>、物理、</t>
        </r>
        <r>
          <rPr>
            <sz val="9"/>
            <color indexed="81"/>
            <rFont val="Tahoma"/>
            <family val="2"/>
          </rPr>
          <t xml:space="preserve">M1/2
</t>
        </r>
        <r>
          <rPr>
            <b/>
            <sz val="9"/>
            <color indexed="81"/>
            <rFont val="Tahoma"/>
            <family val="2"/>
          </rPr>
          <t xml:space="preserve">x7: </t>
        </r>
        <r>
          <rPr>
            <sz val="9"/>
            <color indexed="81"/>
            <rFont val="細明體"/>
            <family val="3"/>
            <charset val="136"/>
          </rPr>
          <t xml:space="preserve">中文、通識、組合科學、綜合科學、化學、生物
</t>
        </r>
        <r>
          <rPr>
            <b/>
            <sz val="9"/>
            <color indexed="81"/>
            <rFont val="Tahoma"/>
            <family val="2"/>
          </rPr>
          <t xml:space="preserve">x5: </t>
        </r>
        <r>
          <rPr>
            <sz val="9"/>
            <color indexed="81"/>
            <rFont val="細明體"/>
            <family val="3"/>
            <charset val="136"/>
          </rPr>
          <t>其他選修科目</t>
        </r>
        <r>
          <rPr>
            <sz val="9"/>
            <color indexed="81"/>
            <rFont val="Tahoma"/>
            <family val="2"/>
          </rPr>
          <t xml:space="preserve"> (1</t>
        </r>
        <r>
          <rPr>
            <sz val="9"/>
            <color indexed="81"/>
            <rFont val="細明體"/>
            <family val="3"/>
            <charset val="136"/>
          </rPr>
          <t>個選修科</t>
        </r>
        <r>
          <rPr>
            <sz val="9"/>
            <color indexed="81"/>
            <rFont val="Tahoma"/>
            <family val="2"/>
          </rPr>
          <t>)</t>
        </r>
      </text>
    </comment>
    <comment ref="C385" authorId="1" shapeId="0" xr:uid="{00000000-0006-0000-0400-0000DE000000}">
      <text>
        <r>
          <rPr>
            <b/>
            <sz val="9"/>
            <color indexed="81"/>
            <rFont val="細明體"/>
            <family val="3"/>
            <charset val="136"/>
          </rPr>
          <t xml:space="preserve">此處並無計算比重
</t>
        </r>
        <r>
          <rPr>
            <b/>
            <sz val="9"/>
            <color indexed="81"/>
            <rFont val="Tahoma"/>
            <family val="2"/>
          </rPr>
          <t xml:space="preserve">x5: </t>
        </r>
        <r>
          <rPr>
            <sz val="9"/>
            <color indexed="81"/>
            <rFont val="細明體"/>
            <family val="3"/>
            <charset val="136"/>
          </rPr>
          <t>英文、數學、</t>
        </r>
        <r>
          <rPr>
            <sz val="9"/>
            <color indexed="81"/>
            <rFont val="Tahoma"/>
            <family val="2"/>
          </rPr>
          <t>BAFS</t>
        </r>
        <r>
          <rPr>
            <sz val="9"/>
            <color indexed="81"/>
            <rFont val="細明體"/>
            <family val="3"/>
            <charset val="136"/>
          </rPr>
          <t>、經濟、</t>
        </r>
        <r>
          <rPr>
            <sz val="9"/>
            <color indexed="81"/>
            <rFont val="Tahoma"/>
            <family val="2"/>
          </rPr>
          <t>M1/2</t>
        </r>
        <r>
          <rPr>
            <sz val="9"/>
            <color indexed="81"/>
            <rFont val="細明體"/>
            <family val="3"/>
            <charset val="136"/>
          </rPr>
          <t>、經濟、物理</t>
        </r>
        <r>
          <rPr>
            <b/>
            <sz val="9"/>
            <color indexed="81"/>
            <rFont val="細明體"/>
            <family val="3"/>
            <charset val="136"/>
          </rPr>
          <t xml:space="preserve">
</t>
        </r>
        <r>
          <rPr>
            <b/>
            <sz val="9"/>
            <color indexed="81"/>
            <rFont val="Tahoma"/>
            <family val="2"/>
          </rPr>
          <t xml:space="preserve">x3: </t>
        </r>
        <r>
          <rPr>
            <sz val="9"/>
            <color indexed="81"/>
            <rFont val="細明體"/>
            <family val="3"/>
            <charset val="136"/>
          </rPr>
          <t>中文、通識、</t>
        </r>
        <r>
          <rPr>
            <sz val="9"/>
            <color indexed="81"/>
            <rFont val="Tahoma"/>
            <family val="2"/>
          </rPr>
          <t>ICT</t>
        </r>
        <r>
          <rPr>
            <sz val="9"/>
            <color indexed="81"/>
            <rFont val="細明體"/>
            <family val="3"/>
            <charset val="136"/>
          </rPr>
          <t>、組合科學、綜合科學、化學、生物</t>
        </r>
        <r>
          <rPr>
            <b/>
            <sz val="9"/>
            <color indexed="81"/>
            <rFont val="Tahoma"/>
            <family val="2"/>
          </rPr>
          <t xml:space="preserve">
</t>
        </r>
        <r>
          <rPr>
            <b/>
            <sz val="9"/>
            <color indexed="81"/>
            <rFont val="細明體"/>
            <family val="3"/>
            <charset val="136"/>
          </rPr>
          <t xml:space="preserve">
</t>
        </r>
        <r>
          <rPr>
            <b/>
            <sz val="9"/>
            <color indexed="81"/>
            <rFont val="Tahoma"/>
            <family val="2"/>
          </rPr>
          <t>x2:</t>
        </r>
        <r>
          <rPr>
            <sz val="9"/>
            <color indexed="81"/>
            <rFont val="Tahoma"/>
            <family val="2"/>
          </rPr>
          <t xml:space="preserve"> </t>
        </r>
        <r>
          <rPr>
            <sz val="9"/>
            <color indexed="81"/>
            <rFont val="細明體"/>
            <family val="3"/>
            <charset val="136"/>
          </rPr>
          <t>其他選修科</t>
        </r>
        <r>
          <rPr>
            <sz val="9"/>
            <color indexed="81"/>
            <rFont val="Tahoma"/>
            <family val="2"/>
          </rPr>
          <t xml:space="preserve"> (1</t>
        </r>
        <r>
          <rPr>
            <sz val="9"/>
            <color indexed="81"/>
            <rFont val="細明體"/>
            <family val="3"/>
            <charset val="136"/>
          </rPr>
          <t>個選修科</t>
        </r>
        <r>
          <rPr>
            <sz val="9"/>
            <color indexed="81"/>
            <rFont val="Tahoma"/>
            <family val="2"/>
          </rPr>
          <t>)</t>
        </r>
      </text>
    </comment>
    <comment ref="C386" authorId="1" shapeId="0" xr:uid="{00000000-0006-0000-0400-0000DF000000}">
      <text>
        <r>
          <rPr>
            <b/>
            <sz val="9"/>
            <color indexed="81"/>
            <rFont val="細明體"/>
            <family val="3"/>
            <charset val="136"/>
          </rPr>
          <t>此處並無計算比重</t>
        </r>
        <r>
          <rPr>
            <b/>
            <sz val="9"/>
            <color indexed="81"/>
            <rFont val="Tahoma"/>
            <family val="2"/>
          </rPr>
          <t xml:space="preserve">
x3:</t>
        </r>
        <r>
          <rPr>
            <sz val="9"/>
            <color indexed="81"/>
            <rFont val="Tahoma"/>
            <family val="2"/>
          </rPr>
          <t xml:space="preserve"> </t>
        </r>
        <r>
          <rPr>
            <sz val="9"/>
            <color indexed="81"/>
            <rFont val="細明體"/>
            <family val="3"/>
            <charset val="136"/>
          </rPr>
          <t>數學、</t>
        </r>
        <r>
          <rPr>
            <sz val="9"/>
            <color indexed="81"/>
            <rFont val="Tahoma"/>
            <family val="2"/>
          </rPr>
          <t>ICT</t>
        </r>
        <r>
          <rPr>
            <sz val="9"/>
            <color indexed="81"/>
            <rFont val="細明體"/>
            <family val="3"/>
            <charset val="136"/>
          </rPr>
          <t>、</t>
        </r>
        <r>
          <rPr>
            <sz val="9"/>
            <color indexed="81"/>
            <rFont val="Tahoma"/>
            <family val="2"/>
          </rPr>
          <t>M1/2</t>
        </r>
        <r>
          <rPr>
            <sz val="9"/>
            <color indexed="81"/>
            <rFont val="細明體"/>
            <family val="3"/>
            <charset val="136"/>
          </rPr>
          <t>、經濟、</t>
        </r>
        <r>
          <rPr>
            <sz val="9"/>
            <color indexed="81"/>
            <rFont val="Tahoma"/>
            <family val="2"/>
          </rPr>
          <t>BAFS</t>
        </r>
        <r>
          <rPr>
            <sz val="9"/>
            <color indexed="81"/>
            <rFont val="細明體"/>
            <family val="3"/>
            <charset val="136"/>
          </rPr>
          <t xml:space="preserve">、物理
</t>
        </r>
        <r>
          <rPr>
            <b/>
            <sz val="9"/>
            <color indexed="81"/>
            <rFont val="Tahoma"/>
            <family val="2"/>
          </rPr>
          <t>x2:</t>
        </r>
        <r>
          <rPr>
            <sz val="9"/>
            <color indexed="81"/>
            <rFont val="Tahoma"/>
            <family val="2"/>
          </rPr>
          <t xml:space="preserve"> </t>
        </r>
        <r>
          <rPr>
            <sz val="9"/>
            <color indexed="81"/>
            <rFont val="細明體"/>
            <family val="3"/>
            <charset val="136"/>
          </rPr>
          <t>中文、英文、通識、生物、化學、組合科學、綜合科學</t>
        </r>
      </text>
    </comment>
    <comment ref="C387" authorId="1" shapeId="0" xr:uid="{00000000-0006-0000-0400-0000E0000000}">
      <text>
        <r>
          <rPr>
            <b/>
            <sz val="9"/>
            <color indexed="81"/>
            <rFont val="Tahoma"/>
            <family val="2"/>
          </rPr>
          <t>Best 5 (</t>
        </r>
        <r>
          <rPr>
            <b/>
            <sz val="9"/>
            <color indexed="81"/>
            <rFont val="細明體"/>
            <family val="3"/>
            <charset val="136"/>
          </rPr>
          <t>包括數學</t>
        </r>
        <r>
          <rPr>
            <b/>
            <sz val="9"/>
            <color indexed="81"/>
            <rFont val="Tahoma"/>
            <family val="2"/>
          </rPr>
          <t>)</t>
        </r>
      </text>
    </comment>
    <comment ref="C388" authorId="1" shapeId="0" xr:uid="{00000000-0006-0000-0400-0000E1000000}">
      <text>
        <r>
          <rPr>
            <b/>
            <sz val="9"/>
            <color indexed="81"/>
            <rFont val="細明體"/>
            <family val="3"/>
            <charset val="136"/>
          </rPr>
          <t>此處並無計算比重</t>
        </r>
        <r>
          <rPr>
            <b/>
            <sz val="9"/>
            <color indexed="81"/>
            <rFont val="Tahoma"/>
            <family val="2"/>
          </rPr>
          <t xml:space="preserve">
x10:</t>
        </r>
        <r>
          <rPr>
            <sz val="9"/>
            <color indexed="81"/>
            <rFont val="Tahoma"/>
            <family val="2"/>
          </rPr>
          <t xml:space="preserve"> </t>
        </r>
        <r>
          <rPr>
            <sz val="9"/>
            <color indexed="81"/>
            <rFont val="細明體"/>
            <family val="3"/>
            <charset val="136"/>
          </rPr>
          <t>英文、數學、</t>
        </r>
        <r>
          <rPr>
            <sz val="9"/>
            <color indexed="81"/>
            <rFont val="Tahoma"/>
            <family val="2"/>
          </rPr>
          <t>BAFS</t>
        </r>
        <r>
          <rPr>
            <sz val="9"/>
            <color indexed="81"/>
            <rFont val="細明體"/>
            <family val="3"/>
            <charset val="136"/>
          </rPr>
          <t>、經濟、地理、</t>
        </r>
        <r>
          <rPr>
            <sz val="9"/>
            <color indexed="81"/>
            <rFont val="Tahoma"/>
            <family val="2"/>
          </rPr>
          <t>ICT</t>
        </r>
        <r>
          <rPr>
            <sz val="9"/>
            <color indexed="81"/>
            <rFont val="細明體"/>
            <family val="3"/>
            <charset val="136"/>
          </rPr>
          <t>、物理、</t>
        </r>
        <r>
          <rPr>
            <sz val="9"/>
            <color indexed="81"/>
            <rFont val="Tahoma"/>
            <family val="2"/>
          </rPr>
          <t xml:space="preserve">M1/2
</t>
        </r>
        <r>
          <rPr>
            <b/>
            <sz val="9"/>
            <color indexed="81"/>
            <rFont val="Tahoma"/>
            <family val="2"/>
          </rPr>
          <t xml:space="preserve">x7: </t>
        </r>
        <r>
          <rPr>
            <sz val="9"/>
            <color indexed="81"/>
            <rFont val="細明體"/>
            <family val="3"/>
            <charset val="136"/>
          </rPr>
          <t xml:space="preserve">中文、通識、組合科學、綜合科學、化學、生物
</t>
        </r>
        <r>
          <rPr>
            <b/>
            <sz val="9"/>
            <color indexed="81"/>
            <rFont val="Tahoma"/>
            <family val="2"/>
          </rPr>
          <t>x5:</t>
        </r>
        <r>
          <rPr>
            <sz val="9"/>
            <color indexed="81"/>
            <rFont val="Tahoma"/>
            <family val="2"/>
          </rPr>
          <t xml:space="preserve"> </t>
        </r>
        <r>
          <rPr>
            <sz val="9"/>
            <color indexed="81"/>
            <rFont val="細明體"/>
            <family val="3"/>
            <charset val="136"/>
          </rPr>
          <t>其他選修科目</t>
        </r>
        <r>
          <rPr>
            <sz val="9"/>
            <color indexed="81"/>
            <rFont val="Tahoma"/>
            <family val="2"/>
          </rPr>
          <t xml:space="preserve"> (1</t>
        </r>
        <r>
          <rPr>
            <sz val="9"/>
            <color indexed="81"/>
            <rFont val="細明體"/>
            <family val="3"/>
            <charset val="136"/>
          </rPr>
          <t>個選修科</t>
        </r>
        <r>
          <rPr>
            <sz val="9"/>
            <color indexed="81"/>
            <rFont val="Tahoma"/>
            <family val="2"/>
          </rPr>
          <t xml:space="preserve">)
</t>
        </r>
      </text>
    </comment>
    <comment ref="C390" authorId="3" shapeId="0" xr:uid="{00000000-0006-0000-0400-0000E2000000}">
      <text>
        <r>
          <rPr>
            <sz val="9"/>
            <color indexed="81"/>
            <rFont val="細明體"/>
            <family val="3"/>
            <charset val="136"/>
          </rPr>
          <t>只考慮甲類科目</t>
        </r>
      </text>
    </comment>
    <comment ref="C391" authorId="1" shapeId="0" xr:uid="{00000000-0006-0000-0400-0000E3000000}">
      <text>
        <r>
          <rPr>
            <sz val="9"/>
            <color indexed="81"/>
            <rFont val="細明體"/>
            <family val="3"/>
            <charset val="136"/>
          </rPr>
          <t>優先考慮</t>
        </r>
        <r>
          <rPr>
            <sz val="9"/>
            <color indexed="81"/>
            <rFont val="Tahoma"/>
            <family val="2"/>
          </rPr>
          <t>:</t>
        </r>
        <r>
          <rPr>
            <sz val="9"/>
            <color indexed="81"/>
            <rFont val="細明體"/>
            <family val="3"/>
            <charset val="136"/>
          </rPr>
          <t xml:space="preserve">
</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 xml:space="preserve">者
</t>
        </r>
        <r>
          <rPr>
            <sz val="9"/>
            <color indexed="81"/>
            <rFont val="Tahoma"/>
            <family val="2"/>
          </rPr>
          <t xml:space="preserve">- </t>
        </r>
        <r>
          <rPr>
            <b/>
            <sz val="9"/>
            <color indexed="81"/>
            <rFont val="細明體"/>
            <family val="3"/>
            <charset val="136"/>
          </rPr>
          <t>化學</t>
        </r>
        <r>
          <rPr>
            <b/>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化學</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C392" authorId="1" shapeId="0" xr:uid="{00000000-0006-0000-0400-0000E4000000}">
      <text>
        <r>
          <rPr>
            <sz val="9"/>
            <color indexed="81"/>
            <rFont val="細明體"/>
            <family val="3"/>
            <charset val="136"/>
          </rPr>
          <t>優先考慮</t>
        </r>
        <r>
          <rPr>
            <sz val="9"/>
            <color indexed="81"/>
            <rFont val="Tahoma"/>
            <family val="2"/>
          </rPr>
          <t>:</t>
        </r>
        <r>
          <rPr>
            <sz val="9"/>
            <color indexed="81"/>
            <rFont val="細明體"/>
            <family val="3"/>
            <charset val="136"/>
          </rPr>
          <t xml:space="preserve">
</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r>
          <rPr>
            <sz val="9"/>
            <color indexed="81"/>
            <rFont val="Tahoma"/>
            <family val="2"/>
          </rPr>
          <t xml:space="preserve">
- </t>
        </r>
        <r>
          <rPr>
            <b/>
            <sz val="9"/>
            <color indexed="81"/>
            <rFont val="細明體"/>
            <family val="3"/>
            <charset val="136"/>
          </rPr>
          <t>數學</t>
        </r>
        <r>
          <rPr>
            <sz val="9"/>
            <color indexed="81"/>
            <rFont val="Tahoma"/>
            <family val="2"/>
          </rPr>
          <t xml:space="preserve"> </t>
        </r>
        <r>
          <rPr>
            <sz val="9"/>
            <color indexed="81"/>
            <rFont val="細明體"/>
            <family val="3"/>
            <charset val="136"/>
          </rPr>
          <t>和</t>
        </r>
        <r>
          <rPr>
            <sz val="9"/>
            <color indexed="81"/>
            <rFont val="Tahoma"/>
            <family val="2"/>
          </rPr>
          <t xml:space="preserve"> </t>
        </r>
        <r>
          <rPr>
            <b/>
            <sz val="9"/>
            <color indexed="81"/>
            <rFont val="細明體"/>
            <family val="3"/>
            <charset val="136"/>
          </rPr>
          <t>通識</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 xml:space="preserve">者
</t>
        </r>
        <r>
          <rPr>
            <sz val="9"/>
            <color indexed="81"/>
            <rFont val="Tahoma"/>
            <family val="2"/>
          </rPr>
          <t xml:space="preserve">- </t>
        </r>
        <r>
          <rPr>
            <b/>
            <sz val="9"/>
            <color indexed="81"/>
            <rFont val="細明體"/>
            <family val="3"/>
            <charset val="136"/>
          </rPr>
          <t>物理</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綜合科學</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t>
        </r>
        <r>
          <rPr>
            <b/>
            <sz val="9"/>
            <color indexed="81"/>
            <rFont val="細明體"/>
            <family val="3"/>
            <charset val="136"/>
          </rPr>
          <t>物理</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者</t>
        </r>
      </text>
    </comment>
    <comment ref="C393" authorId="1" shapeId="0" xr:uid="{00000000-0006-0000-0400-0000E5000000}">
      <text>
        <r>
          <rPr>
            <sz val="9"/>
            <color indexed="81"/>
            <rFont val="細明體"/>
            <family val="3"/>
            <charset val="136"/>
          </rPr>
          <t>優先考慮</t>
        </r>
        <r>
          <rPr>
            <sz val="9"/>
            <color indexed="81"/>
            <rFont val="Tahoma"/>
            <family val="2"/>
          </rPr>
          <t xml:space="preserve">:
- </t>
        </r>
        <r>
          <rPr>
            <b/>
            <sz val="9"/>
            <color indexed="81"/>
            <rFont val="細明體"/>
            <family val="3"/>
            <charset val="136"/>
          </rPr>
          <t>生物</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生物</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 xml:space="preserve">者
</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C394" authorId="1" shapeId="0" xr:uid="{00000000-0006-0000-0400-0000E6000000}">
      <text>
        <r>
          <rPr>
            <sz val="9"/>
            <color indexed="81"/>
            <rFont val="細明體"/>
            <family val="3"/>
            <charset val="136"/>
          </rPr>
          <t>優先考慮</t>
        </r>
        <r>
          <rPr>
            <sz val="9"/>
            <color indexed="81"/>
            <rFont val="Tahoma"/>
            <family val="2"/>
          </rPr>
          <t xml:space="preserve">:
- </t>
        </r>
        <r>
          <rPr>
            <b/>
            <sz val="9"/>
            <color indexed="81"/>
            <rFont val="細明體"/>
            <family val="3"/>
            <charset val="136"/>
          </rPr>
          <t>生物</t>
        </r>
        <r>
          <rPr>
            <sz val="9"/>
            <color indexed="81"/>
            <rFont val="Tahoma"/>
            <family val="2"/>
          </rPr>
          <t xml:space="preserve"> </t>
        </r>
        <r>
          <rPr>
            <sz val="9"/>
            <color indexed="81"/>
            <rFont val="細明體"/>
            <family val="3"/>
            <charset val="136"/>
          </rPr>
          <t>或</t>
        </r>
        <r>
          <rPr>
            <b/>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生物</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 xml:space="preserve">者
</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Michael</author>
    <author>Michael Chan</author>
  </authors>
  <commentList>
    <comment ref="N1" authorId="0" shapeId="0" xr:uid="{00000000-0006-0000-0C00-000001000000}">
      <text>
        <r>
          <rPr>
            <b/>
            <sz val="9"/>
            <color indexed="81"/>
            <rFont val="Tahoma"/>
            <family val="2"/>
          </rPr>
          <t xml:space="preserve">Note 1: </t>
        </r>
        <r>
          <rPr>
            <sz val="9"/>
            <color indexed="81"/>
            <rFont val="Tahoma"/>
            <family val="2"/>
          </rPr>
          <t xml:space="preserve">In view of the large number of applicants, preference for interview invitation will be given to candidates who place the programme as their </t>
        </r>
        <r>
          <rPr>
            <b/>
            <sz val="9"/>
            <color indexed="81"/>
            <rFont val="Tahoma"/>
            <family val="2"/>
          </rPr>
          <t xml:space="preserve">Band-A </t>
        </r>
        <r>
          <rPr>
            <sz val="9"/>
            <color indexed="81"/>
            <rFont val="Tahoma"/>
            <family val="2"/>
          </rPr>
          <t xml:space="preserve">choice.
</t>
        </r>
        <r>
          <rPr>
            <b/>
            <sz val="9"/>
            <color indexed="81"/>
            <rFont val="Tahoma"/>
            <family val="2"/>
          </rPr>
          <t xml:space="preserve">
Note 2: </t>
        </r>
        <r>
          <rPr>
            <sz val="9"/>
            <color indexed="81"/>
            <rFont val="Tahoma"/>
            <family val="2"/>
          </rPr>
          <t xml:space="preserve">If the programme has scheduled two interview sessions, candidates are normally required to </t>
        </r>
        <r>
          <rPr>
            <b/>
            <sz val="9"/>
            <color indexed="81"/>
            <rFont val="Tahoma"/>
            <family val="2"/>
          </rPr>
          <t>attend one interview session only</t>
        </r>
        <r>
          <rPr>
            <sz val="9"/>
            <color indexed="81"/>
            <rFont val="Tahoma"/>
            <family val="2"/>
          </rPr>
          <t>.</t>
        </r>
      </text>
    </comment>
    <comment ref="E2" authorId="1" shapeId="0" xr:uid="{00000000-0006-0000-0C00-000002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text>
    </comment>
    <comment ref="M2" authorId="0" shapeId="0" xr:uid="{00000000-0006-0000-0C00-000003000000}">
      <text>
        <r>
          <rPr>
            <sz val="9"/>
            <color indexed="81"/>
            <rFont val="細明體"/>
            <family val="3"/>
            <charset val="136"/>
          </rPr>
          <t>申請人須參與</t>
        </r>
        <r>
          <rPr>
            <sz val="9"/>
            <color indexed="81"/>
            <rFont val="Tahoma"/>
            <family val="2"/>
          </rPr>
          <t xml:space="preserve"> </t>
        </r>
        <r>
          <rPr>
            <b/>
            <sz val="9"/>
            <color indexed="81"/>
            <rFont val="細明體"/>
            <family val="3"/>
            <charset val="136"/>
          </rPr>
          <t>能力傾向測試</t>
        </r>
        <r>
          <rPr>
            <b/>
            <sz val="9"/>
            <color indexed="81"/>
            <rFont val="Tahoma"/>
            <family val="2"/>
          </rPr>
          <t>(Aptitude Test)</t>
        </r>
        <r>
          <rPr>
            <sz val="9"/>
            <color indexed="81"/>
            <rFont val="Tahoma"/>
            <family val="2"/>
          </rPr>
          <t xml:space="preserve">
</t>
        </r>
        <r>
          <rPr>
            <sz val="9"/>
            <color indexed="81"/>
            <rFont val="細明體"/>
            <family val="3"/>
            <charset val="136"/>
          </rPr>
          <t>詳情可細閱</t>
        </r>
        <r>
          <rPr>
            <b/>
            <sz val="9"/>
            <color indexed="81"/>
            <rFont val="細明體"/>
            <family val="3"/>
            <charset val="136"/>
          </rPr>
          <t>課程網站</t>
        </r>
        <r>
          <rPr>
            <sz val="9"/>
            <color indexed="81"/>
            <rFont val="細明體"/>
            <family val="3"/>
            <charset val="136"/>
          </rPr>
          <t>，受邀申請人亦會於</t>
        </r>
        <r>
          <rPr>
            <b/>
            <sz val="9"/>
            <color indexed="81"/>
            <rFont val="細明體"/>
            <family val="3"/>
            <charset val="136"/>
          </rPr>
          <t>電郵</t>
        </r>
        <r>
          <rPr>
            <sz val="9"/>
            <color indexed="81"/>
            <rFont val="細明體"/>
            <family val="3"/>
            <charset val="136"/>
          </rPr>
          <t>收到相應指示。</t>
        </r>
      </text>
    </comment>
    <comment ref="N2" authorId="0" shapeId="0" xr:uid="{00000000-0006-0000-0C00-000004000000}">
      <text>
        <r>
          <rPr>
            <b/>
            <sz val="9"/>
            <color indexed="81"/>
            <rFont val="細明體"/>
            <family val="3"/>
            <charset val="136"/>
          </rPr>
          <t>前</t>
        </r>
        <r>
          <rPr>
            <b/>
            <sz val="9"/>
            <color indexed="81"/>
            <rFont val="Tahoma"/>
            <family val="2"/>
          </rPr>
          <t>:</t>
        </r>
        <r>
          <rPr>
            <sz val="9"/>
            <color indexed="81"/>
            <rFont val="Tahoma"/>
            <family val="2"/>
          </rPr>
          <t xml:space="preserve"> Late May to Early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E3" authorId="0" shapeId="0" xr:uid="{00000000-0006-0000-0C00-000005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E4" authorId="0" shapeId="0" xr:uid="{00000000-0006-0000-0C00-000006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M4" authorId="0" shapeId="0" xr:uid="{00000000-0006-0000-0C00-000007000000}">
      <text>
        <r>
          <rPr>
            <sz val="9"/>
            <color indexed="81"/>
            <rFont val="細明體"/>
            <family val="3"/>
            <charset val="136"/>
          </rPr>
          <t>申請人可遞交</t>
        </r>
        <r>
          <rPr>
            <sz val="9"/>
            <color indexed="81"/>
            <rFont val="Tahoma"/>
            <family val="2"/>
          </rPr>
          <t xml:space="preserve"> </t>
        </r>
        <r>
          <rPr>
            <sz val="9"/>
            <color indexed="81"/>
            <rFont val="細明體"/>
            <family val="3"/>
            <charset val="136"/>
          </rPr>
          <t>一份</t>
        </r>
        <r>
          <rPr>
            <sz val="9"/>
            <color indexed="81"/>
            <rFont val="Tahoma"/>
            <family val="2"/>
          </rPr>
          <t xml:space="preserve"> </t>
        </r>
        <r>
          <rPr>
            <b/>
            <sz val="9"/>
            <color indexed="81"/>
            <rFont val="細明體"/>
            <family val="3"/>
            <charset val="136"/>
          </rPr>
          <t>創意作品</t>
        </r>
        <r>
          <rPr>
            <b/>
            <sz val="9"/>
            <color indexed="81"/>
            <rFont val="Tahoma"/>
            <family val="2"/>
          </rPr>
          <t xml:space="preserve"> </t>
        </r>
        <r>
          <rPr>
            <sz val="9"/>
            <color indexed="81"/>
            <rFont val="Tahoma"/>
            <family val="2"/>
          </rPr>
          <t>(</t>
        </r>
        <r>
          <rPr>
            <sz val="9"/>
            <color indexed="81"/>
            <rFont val="細明體"/>
            <family val="3"/>
            <charset val="136"/>
          </rPr>
          <t>如</t>
        </r>
        <r>
          <rPr>
            <sz val="9"/>
            <color indexed="81"/>
            <rFont val="Tahoma"/>
            <family val="2"/>
          </rPr>
          <t xml:space="preserve"> </t>
        </r>
        <r>
          <rPr>
            <sz val="9"/>
            <color indexed="81"/>
            <rFont val="細明體"/>
            <family val="3"/>
            <charset val="136"/>
          </rPr>
          <t>畫作、寫作</t>
        </r>
        <r>
          <rPr>
            <sz val="9"/>
            <color indexed="81"/>
            <rFont val="Tahoma"/>
            <family val="2"/>
          </rPr>
          <t xml:space="preserve"> </t>
        </r>
        <r>
          <rPr>
            <sz val="9"/>
            <color indexed="81"/>
            <rFont val="細明體"/>
            <family val="3"/>
            <charset val="136"/>
          </rPr>
          <t>或</t>
        </r>
        <r>
          <rPr>
            <sz val="9"/>
            <color indexed="81"/>
            <rFont val="Tahoma"/>
            <family val="2"/>
          </rPr>
          <t xml:space="preserve"> </t>
        </r>
        <r>
          <rPr>
            <sz val="9"/>
            <color indexed="81"/>
            <rFont val="細明體"/>
            <family val="3"/>
            <charset val="136"/>
          </rPr>
          <t>任何創作</t>
        </r>
        <r>
          <rPr>
            <sz val="9"/>
            <color indexed="81"/>
            <rFont val="Tahoma"/>
            <family val="2"/>
          </rPr>
          <t xml:space="preserve">) </t>
        </r>
        <r>
          <rPr>
            <sz val="9"/>
            <color indexed="81"/>
            <rFont val="細明體"/>
            <family val="3"/>
            <charset val="136"/>
          </rPr>
          <t>供學系作考慮。
作品集</t>
        </r>
        <r>
          <rPr>
            <sz val="9"/>
            <color indexed="81"/>
            <rFont val="Tahoma"/>
            <family val="2"/>
          </rPr>
          <t xml:space="preserve"> </t>
        </r>
        <r>
          <rPr>
            <sz val="9"/>
            <color indexed="81"/>
            <rFont val="細明體"/>
            <family val="3"/>
            <charset val="136"/>
          </rPr>
          <t>及</t>
        </r>
        <r>
          <rPr>
            <sz val="9"/>
            <color indexed="81"/>
            <rFont val="Tahoma"/>
            <family val="2"/>
          </rPr>
          <t xml:space="preserve"> </t>
        </r>
        <r>
          <rPr>
            <sz val="9"/>
            <color indexed="81"/>
            <rFont val="細明體"/>
            <family val="3"/>
            <charset val="136"/>
          </rPr>
          <t>推薦信</t>
        </r>
        <r>
          <rPr>
            <sz val="9"/>
            <color indexed="81"/>
            <rFont val="Tahoma"/>
            <family val="2"/>
          </rPr>
          <t>(</t>
        </r>
        <r>
          <rPr>
            <sz val="9"/>
            <color indexed="81"/>
            <rFont val="細明體"/>
            <family val="3"/>
            <charset val="136"/>
          </rPr>
          <t>如有</t>
        </r>
        <r>
          <rPr>
            <sz val="9"/>
            <color indexed="81"/>
            <rFont val="Tahoma"/>
            <family val="2"/>
          </rPr>
          <t xml:space="preserve">) </t>
        </r>
        <r>
          <rPr>
            <sz val="9"/>
            <color indexed="81"/>
            <rFont val="細明體"/>
            <family val="3"/>
            <charset val="136"/>
          </rPr>
          <t>應直接以紙本方式向學系遞交。</t>
        </r>
      </text>
    </comment>
    <comment ref="E5" authorId="0" shapeId="0" xr:uid="{00000000-0006-0000-0C00-000008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N5" authorId="0" shapeId="0" xr:uid="{00000000-0006-0000-0C00-000009000000}">
      <text>
        <r>
          <rPr>
            <b/>
            <sz val="9"/>
            <color indexed="81"/>
            <rFont val="細明體"/>
            <family val="3"/>
            <charset val="136"/>
          </rPr>
          <t>前</t>
        </r>
        <r>
          <rPr>
            <b/>
            <sz val="9"/>
            <color indexed="81"/>
            <rFont val="Tahoma"/>
            <family val="2"/>
          </rPr>
          <t>:</t>
        </r>
        <r>
          <rPr>
            <sz val="9"/>
            <color indexed="81"/>
            <rFont val="Tahoma"/>
            <family val="2"/>
          </rPr>
          <t xml:space="preserve"> Mid-May to Late May</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(For selected candidates)</t>
        </r>
      </text>
    </comment>
    <comment ref="E6" authorId="0" shapeId="0" xr:uid="{00000000-0006-0000-0C00-00000A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text>
    </comment>
    <comment ref="E7" authorId="1" shapeId="0" xr:uid="{00000000-0006-0000-0C00-00000B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Tahoma"/>
            <family val="2"/>
          </rPr>
          <t xml:space="preserve">
M1/2</t>
        </r>
        <r>
          <rPr>
            <sz val="9"/>
            <color indexed="81"/>
            <rFont val="細明體"/>
            <family val="3"/>
            <charset val="136"/>
          </rPr>
          <t>可被當作一科選修</t>
        </r>
        <r>
          <rPr>
            <sz val="9"/>
            <color indexed="81"/>
            <rFont val="Tahoma"/>
            <family val="2"/>
          </rPr>
          <t xml:space="preserve">
</t>
        </r>
        <r>
          <rPr>
            <b/>
            <sz val="9"/>
            <color indexed="81"/>
            <rFont val="Tahoma"/>
            <family val="2"/>
          </rPr>
          <t xml:space="preserve">x1.5: </t>
        </r>
        <r>
          <rPr>
            <sz val="9"/>
            <color indexed="81"/>
            <rFont val="細明體"/>
            <family val="3"/>
            <charset val="136"/>
          </rPr>
          <t>英文、數學</t>
        </r>
      </text>
    </comment>
    <comment ref="L7" authorId="0" shapeId="0" xr:uid="{00000000-0006-0000-0C00-00000C000000}">
      <text>
        <r>
          <rPr>
            <b/>
            <sz val="9"/>
            <color indexed="81"/>
            <rFont val="Tahoma"/>
            <family val="2"/>
          </rPr>
          <t>Combined Figure</t>
        </r>
        <r>
          <rPr>
            <sz val="9"/>
            <color indexed="81"/>
            <rFont val="Tahoma"/>
            <family val="2"/>
          </rPr>
          <t xml:space="preserve"> for JS6767, 6781 &amp; 6860</t>
        </r>
      </text>
    </comment>
    <comment ref="N7" authorId="0" shapeId="0" xr:uid="{00000000-0006-0000-0C00-00000D000000}">
      <text>
        <r>
          <rPr>
            <b/>
            <sz val="9"/>
            <color indexed="81"/>
            <rFont val="細明體"/>
            <family val="3"/>
            <charset val="136"/>
          </rPr>
          <t>前</t>
        </r>
        <r>
          <rPr>
            <b/>
            <sz val="9"/>
            <color indexed="81"/>
            <rFont val="Tahoma"/>
            <family val="2"/>
          </rPr>
          <t>:</t>
        </r>
        <r>
          <rPr>
            <sz val="9"/>
            <color indexed="81"/>
            <rFont val="Tahoma"/>
            <family val="2"/>
          </rPr>
          <t xml:space="preserv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E8" authorId="1" shapeId="0" xr:uid="{00000000-0006-0000-0C00-00000E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細明體"/>
            <family val="3"/>
            <charset val="136"/>
          </rPr>
          <t xml:space="preserve">
</t>
        </r>
        <r>
          <rPr>
            <sz val="9"/>
            <color indexed="81"/>
            <rFont val="Tahoma"/>
            <family val="2"/>
          </rPr>
          <t>M1/2</t>
        </r>
        <r>
          <rPr>
            <sz val="9"/>
            <color indexed="81"/>
            <rFont val="細明體"/>
            <family val="3"/>
            <charset val="136"/>
          </rPr>
          <t xml:space="preserve">可被用作取代數學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英文、[數學或</t>
        </r>
        <r>
          <rPr>
            <sz val="9"/>
            <color indexed="81"/>
            <rFont val="Tahoma"/>
            <family val="2"/>
          </rPr>
          <t>M1/2]</t>
        </r>
      </text>
    </comment>
    <comment ref="N8" authorId="0" shapeId="0" xr:uid="{00000000-0006-0000-0C00-00000F000000}">
      <text>
        <r>
          <rPr>
            <b/>
            <sz val="9"/>
            <color indexed="81"/>
            <rFont val="細明體"/>
            <family val="3"/>
            <charset val="136"/>
          </rPr>
          <t>前</t>
        </r>
        <r>
          <rPr>
            <b/>
            <sz val="9"/>
            <color indexed="81"/>
            <rFont val="Tahoma"/>
            <family val="2"/>
          </rPr>
          <t>:</t>
        </r>
        <r>
          <rPr>
            <sz val="9"/>
            <color indexed="81"/>
            <rFont val="Tahoma"/>
            <family val="2"/>
          </rPr>
          <t xml:space="preserv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E9" authorId="1" shapeId="0" xr:uid="{00000000-0006-0000-0C00-000010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細明體"/>
            <family val="3"/>
            <charset val="136"/>
          </rPr>
          <t xml:space="preserve">
</t>
        </r>
        <r>
          <rPr>
            <sz val="9"/>
            <color indexed="81"/>
            <rFont val="Tahoma"/>
            <family val="2"/>
          </rPr>
          <t>M1/2</t>
        </r>
        <r>
          <rPr>
            <sz val="9"/>
            <color indexed="81"/>
            <rFont val="細明體"/>
            <family val="3"/>
            <charset val="136"/>
          </rPr>
          <t xml:space="preserve">可被用作取代數學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英文、</t>
        </r>
        <r>
          <rPr>
            <sz val="9"/>
            <color indexed="81"/>
            <rFont val="Tahoma"/>
            <family val="2"/>
          </rPr>
          <t>[</t>
        </r>
        <r>
          <rPr>
            <sz val="9"/>
            <color indexed="81"/>
            <rFont val="細明體"/>
            <family val="3"/>
            <charset val="136"/>
          </rPr>
          <t>數學或</t>
        </r>
        <r>
          <rPr>
            <sz val="9"/>
            <color indexed="81"/>
            <rFont val="Tahoma"/>
            <family val="2"/>
          </rPr>
          <t>M1/2]</t>
        </r>
      </text>
    </comment>
    <comment ref="N9" authorId="0" shapeId="0" xr:uid="{00000000-0006-0000-0C00-000011000000}">
      <text>
        <r>
          <rPr>
            <b/>
            <sz val="9"/>
            <color indexed="81"/>
            <rFont val="細明體"/>
            <family val="3"/>
            <charset val="136"/>
          </rPr>
          <t>前</t>
        </r>
        <r>
          <rPr>
            <b/>
            <sz val="9"/>
            <color indexed="81"/>
            <rFont val="Tahoma"/>
            <family val="2"/>
          </rPr>
          <t>:</t>
        </r>
        <r>
          <rPr>
            <sz val="9"/>
            <color indexed="81"/>
            <rFont val="Tahoma"/>
            <family val="2"/>
          </rPr>
          <t xml:space="preserv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E10" authorId="1" shapeId="0" xr:uid="{00000000-0006-0000-0C00-000012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Tahoma"/>
            <family val="2"/>
          </rPr>
          <t xml:space="preserve">
M1/2</t>
        </r>
        <r>
          <rPr>
            <sz val="9"/>
            <color indexed="81"/>
            <rFont val="細明體"/>
            <family val="3"/>
            <charset val="136"/>
          </rPr>
          <t>可被當作一科選修</t>
        </r>
        <r>
          <rPr>
            <sz val="9"/>
            <color indexed="81"/>
            <rFont val="Tahoma"/>
            <family val="2"/>
          </rPr>
          <t xml:space="preserve">
</t>
        </r>
        <r>
          <rPr>
            <b/>
            <sz val="9"/>
            <color indexed="81"/>
            <rFont val="Tahoma"/>
            <family val="2"/>
          </rPr>
          <t xml:space="preserve">x1.5: </t>
        </r>
        <r>
          <rPr>
            <sz val="9"/>
            <color indexed="81"/>
            <rFont val="細明體"/>
            <family val="3"/>
            <charset val="136"/>
          </rPr>
          <t>英文、數學</t>
        </r>
      </text>
    </comment>
    <comment ref="N10" authorId="0" shapeId="0" xr:uid="{00000000-0006-0000-0C00-000013000000}">
      <text>
        <r>
          <rPr>
            <b/>
            <sz val="9"/>
            <color indexed="81"/>
            <rFont val="細明體"/>
            <family val="3"/>
            <charset val="136"/>
          </rPr>
          <t>前</t>
        </r>
        <r>
          <rPr>
            <b/>
            <sz val="9"/>
            <color indexed="81"/>
            <rFont val="Tahoma"/>
            <family val="2"/>
          </rPr>
          <t>:</t>
        </r>
        <r>
          <rPr>
            <sz val="9"/>
            <color indexed="81"/>
            <rFont val="Tahoma"/>
            <family val="2"/>
          </rPr>
          <t xml:space="preserv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S10" authorId="0" shapeId="0" xr:uid="{00000000-0006-0000-0C00-000014000000}">
      <text>
        <r>
          <rPr>
            <b/>
            <sz val="9"/>
            <color indexed="81"/>
            <rFont val="細明體"/>
            <family val="3"/>
            <charset val="136"/>
          </rPr>
          <t>以下一科</t>
        </r>
        <r>
          <rPr>
            <b/>
            <sz val="9"/>
            <color indexed="81"/>
            <rFont val="Tahoma"/>
            <family val="2"/>
          </rPr>
          <t>:</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物理</t>
        </r>
        <r>
          <rPr>
            <sz val="9"/>
            <color indexed="81"/>
            <rFont val="細明體"/>
            <family val="3"/>
            <charset val="136"/>
          </rPr>
          <t xml:space="preserve">
</t>
        </r>
        <r>
          <rPr>
            <sz val="9"/>
            <color indexed="81"/>
            <rFont val="Tahoma"/>
            <family val="2"/>
          </rPr>
          <t xml:space="preserve">- ICT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T10" authorId="0" shapeId="0" xr:uid="{00000000-0006-0000-0C00-000015000000}">
      <text>
        <r>
          <rPr>
            <sz val="9"/>
            <color indexed="81"/>
            <rFont val="細明體"/>
            <family val="3"/>
            <charset val="136"/>
          </rPr>
          <t>優先考慮</t>
        </r>
        <r>
          <rPr>
            <sz val="9"/>
            <color indexed="81"/>
            <rFont val="Tahoma"/>
            <family val="2"/>
          </rPr>
          <t xml:space="preserve"> </t>
        </r>
        <r>
          <rPr>
            <b/>
            <sz val="9"/>
            <color indexed="81"/>
            <rFont val="Tahoma"/>
            <family val="2"/>
          </rPr>
          <t xml:space="preserve">M1/2 </t>
        </r>
        <r>
          <rPr>
            <b/>
            <sz val="9"/>
            <color indexed="81"/>
            <rFont val="細明體"/>
            <family val="3"/>
            <charset val="136"/>
          </rPr>
          <t>考獲</t>
        </r>
        <r>
          <rPr>
            <b/>
            <sz val="9"/>
            <color indexed="81"/>
            <rFont val="Tahoma"/>
            <family val="2"/>
          </rPr>
          <t xml:space="preserve"> Lv.3</t>
        </r>
        <r>
          <rPr>
            <sz val="9"/>
            <color indexed="81"/>
            <rFont val="細明體"/>
            <family val="3"/>
            <charset val="136"/>
          </rPr>
          <t>或以上者</t>
        </r>
        <r>
          <rPr>
            <sz val="9"/>
            <color indexed="81"/>
            <rFont val="Tahoma"/>
            <family val="2"/>
          </rPr>
          <t xml:space="preserve"> (</t>
        </r>
        <r>
          <rPr>
            <sz val="9"/>
            <color indexed="81"/>
            <rFont val="細明體"/>
            <family val="3"/>
            <charset val="136"/>
          </rPr>
          <t>非必須</t>
        </r>
        <r>
          <rPr>
            <sz val="9"/>
            <color indexed="81"/>
            <rFont val="Tahoma"/>
            <family val="2"/>
          </rPr>
          <t>)</t>
        </r>
      </text>
    </comment>
    <comment ref="E11" authorId="1" shapeId="0" xr:uid="{00000000-0006-0000-0C00-000016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細明體"/>
            <family val="3"/>
            <charset val="136"/>
          </rPr>
          <t xml:space="preserve">
</t>
        </r>
        <r>
          <rPr>
            <sz val="9"/>
            <color indexed="81"/>
            <rFont val="Tahoma"/>
            <family val="2"/>
          </rPr>
          <t>M1/2</t>
        </r>
        <r>
          <rPr>
            <sz val="9"/>
            <color indexed="81"/>
            <rFont val="細明體"/>
            <family val="3"/>
            <charset val="136"/>
          </rPr>
          <t xml:space="preserve">可被用作取代數學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英文、</t>
        </r>
        <r>
          <rPr>
            <sz val="9"/>
            <color indexed="81"/>
            <rFont val="Tahoma"/>
            <family val="2"/>
          </rPr>
          <t>[</t>
        </r>
        <r>
          <rPr>
            <sz val="9"/>
            <color indexed="81"/>
            <rFont val="細明體"/>
            <family val="3"/>
            <charset val="136"/>
          </rPr>
          <t>數學或</t>
        </r>
        <r>
          <rPr>
            <sz val="9"/>
            <color indexed="81"/>
            <rFont val="Tahoma"/>
            <family val="2"/>
          </rPr>
          <t>M1/2]</t>
        </r>
      </text>
    </comment>
    <comment ref="N11" authorId="0" shapeId="0" xr:uid="{00000000-0006-0000-0C00-000017000000}">
      <text>
        <r>
          <rPr>
            <b/>
            <sz val="9"/>
            <color indexed="81"/>
            <rFont val="細明體"/>
            <family val="3"/>
            <charset val="136"/>
          </rPr>
          <t>前</t>
        </r>
        <r>
          <rPr>
            <b/>
            <sz val="9"/>
            <color indexed="81"/>
            <rFont val="Tahoma"/>
            <family val="2"/>
          </rPr>
          <t>:</t>
        </r>
        <r>
          <rPr>
            <sz val="9"/>
            <color indexed="81"/>
            <rFont val="Tahoma"/>
            <family val="2"/>
          </rPr>
          <t xml:space="preserv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E12" authorId="0" shapeId="0" xr:uid="{00000000-0006-0000-0C00-000018000000}">
      <text>
        <r>
          <rPr>
            <sz val="9"/>
            <color indexed="81"/>
            <rFont val="細明體"/>
            <family val="3"/>
            <charset val="136"/>
          </rPr>
          <t>最佳</t>
        </r>
        <r>
          <rPr>
            <sz val="9"/>
            <color indexed="81"/>
            <rFont val="Tahoma"/>
            <family val="2"/>
          </rPr>
          <t>6</t>
        </r>
        <r>
          <rPr>
            <sz val="9"/>
            <color indexed="81"/>
            <rFont val="細明體"/>
            <family val="3"/>
            <charset val="136"/>
          </rPr>
          <t>科必須包括</t>
        </r>
        <r>
          <rPr>
            <b/>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Tahoma"/>
            <family val="2"/>
          </rPr>
          <t>M1/2</t>
        </r>
        <r>
          <rPr>
            <sz val="9"/>
            <color indexed="81"/>
            <rFont val="Tahoma"/>
            <family val="2"/>
          </rPr>
          <t xml:space="preserve">
</t>
        </r>
        <r>
          <rPr>
            <b/>
            <sz val="9"/>
            <color indexed="81"/>
            <rFont val="Tahoma"/>
            <family val="2"/>
          </rPr>
          <t>x1.5:</t>
        </r>
        <r>
          <rPr>
            <sz val="9"/>
            <color indexed="81"/>
            <rFont val="Tahoma"/>
            <family val="2"/>
          </rPr>
          <t xml:space="preserve"> </t>
        </r>
        <r>
          <rPr>
            <sz val="9"/>
            <color indexed="81"/>
            <rFont val="細明體"/>
            <family val="3"/>
            <charset val="136"/>
          </rPr>
          <t>英文</t>
        </r>
        <r>
          <rPr>
            <sz val="9"/>
            <color indexed="81"/>
            <rFont val="Tahoma"/>
            <family val="2"/>
          </rPr>
          <t xml:space="preserve">
</t>
        </r>
        <r>
          <rPr>
            <b/>
            <sz val="9"/>
            <color indexed="81"/>
            <rFont val="Tahoma"/>
            <family val="2"/>
          </rPr>
          <t xml:space="preserve">x1.25: </t>
        </r>
        <r>
          <rPr>
            <sz val="9"/>
            <color indexed="81"/>
            <rFont val="細明體"/>
            <family val="3"/>
            <charset val="136"/>
          </rPr>
          <t>數學</t>
        </r>
        <r>
          <rPr>
            <sz val="9"/>
            <color indexed="81"/>
            <rFont val="Tahoma"/>
            <family val="2"/>
          </rPr>
          <t>, M1/2</t>
        </r>
      </text>
    </comment>
    <comment ref="N12" authorId="0" shapeId="0" xr:uid="{00000000-0006-0000-0C00-000019000000}">
      <text>
        <r>
          <rPr>
            <b/>
            <sz val="9"/>
            <color indexed="81"/>
            <rFont val="細明體"/>
            <family val="3"/>
            <charset val="136"/>
          </rPr>
          <t>前</t>
        </r>
        <r>
          <rPr>
            <b/>
            <sz val="9"/>
            <color indexed="81"/>
            <rFont val="Tahoma"/>
            <family val="2"/>
          </rPr>
          <t>:</t>
        </r>
        <r>
          <rPr>
            <sz val="9"/>
            <color indexed="81"/>
            <rFont val="Tahoma"/>
            <family val="2"/>
          </rPr>
          <t xml:space="preserv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T12" authorId="0" shapeId="0" xr:uid="{00000000-0006-0000-0C00-00001A000000}">
      <text>
        <r>
          <rPr>
            <sz val="9"/>
            <color indexed="81"/>
            <rFont val="細明體"/>
            <family val="3"/>
            <charset val="136"/>
          </rPr>
          <t>必須修讀</t>
        </r>
        <r>
          <rPr>
            <b/>
            <sz val="9"/>
            <color indexed="81"/>
            <rFont val="Tahoma"/>
            <family val="2"/>
          </rPr>
          <t>M1/2</t>
        </r>
      </text>
    </comment>
    <comment ref="E13" authorId="1" shapeId="0" xr:uid="{00000000-0006-0000-0C00-00001B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細明體"/>
            <family val="3"/>
            <charset val="136"/>
          </rPr>
          <t xml:space="preserve">
</t>
        </r>
        <r>
          <rPr>
            <sz val="9"/>
            <color indexed="81"/>
            <rFont val="Tahoma"/>
            <family val="2"/>
          </rPr>
          <t>M1/2</t>
        </r>
        <r>
          <rPr>
            <sz val="9"/>
            <color indexed="81"/>
            <rFont val="細明體"/>
            <family val="3"/>
            <charset val="136"/>
          </rPr>
          <t xml:space="preserve">可被用作取代數學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英文、</t>
        </r>
        <r>
          <rPr>
            <sz val="9"/>
            <color indexed="81"/>
            <rFont val="Tahoma"/>
            <family val="2"/>
          </rPr>
          <t>[</t>
        </r>
        <r>
          <rPr>
            <sz val="9"/>
            <color indexed="81"/>
            <rFont val="細明體"/>
            <family val="3"/>
            <charset val="136"/>
          </rPr>
          <t>數學或</t>
        </r>
        <r>
          <rPr>
            <sz val="9"/>
            <color indexed="81"/>
            <rFont val="Tahoma"/>
            <family val="2"/>
          </rPr>
          <t>M1/2]</t>
        </r>
      </text>
    </comment>
    <comment ref="N13" authorId="0" shapeId="0" xr:uid="{00000000-0006-0000-0C00-00001C000000}">
      <text>
        <r>
          <rPr>
            <b/>
            <sz val="9"/>
            <color indexed="81"/>
            <rFont val="細明體"/>
            <family val="3"/>
            <charset val="136"/>
          </rPr>
          <t>前</t>
        </r>
        <r>
          <rPr>
            <b/>
            <sz val="9"/>
            <color indexed="81"/>
            <rFont val="Tahoma"/>
            <family val="2"/>
          </rPr>
          <t>:</t>
        </r>
        <r>
          <rPr>
            <sz val="9"/>
            <color indexed="81"/>
            <rFont val="Tahoma"/>
            <family val="2"/>
          </rPr>
          <t xml:space="preserv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E14" authorId="0" shapeId="0" xr:uid="{00000000-0006-0000-0C00-00001D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理科</t>
        </r>
        <r>
          <rPr>
            <sz val="9"/>
            <color indexed="81"/>
            <rFont val="Tahoma"/>
            <family val="2"/>
          </rPr>
          <t xml:space="preserve"> </t>
        </r>
        <r>
          <rPr>
            <sz val="9"/>
            <color indexed="81"/>
            <rFont val="細明體"/>
            <family val="3"/>
            <charset val="136"/>
          </rPr>
          <t>科目</t>
        </r>
        <r>
          <rPr>
            <sz val="9"/>
            <color indexed="81"/>
            <rFont val="Tahoma"/>
            <family val="2"/>
          </rPr>
          <t xml:space="preserve">*
</t>
        </r>
        <r>
          <rPr>
            <b/>
            <sz val="9"/>
            <color indexed="81"/>
            <rFont val="Tahoma"/>
            <family val="2"/>
          </rPr>
          <t>x1.3:</t>
        </r>
        <r>
          <rPr>
            <sz val="9"/>
            <color indexed="81"/>
            <rFont val="Tahoma"/>
            <family val="2"/>
          </rPr>
          <t xml:space="preserve"> [</t>
        </r>
        <r>
          <rPr>
            <sz val="9"/>
            <color indexed="81"/>
            <rFont val="細明體"/>
            <family val="3"/>
            <charset val="136"/>
          </rPr>
          <t>生物、化學、物理、組合科學</t>
        </r>
        <r>
          <rPr>
            <sz val="9"/>
            <color indexed="81"/>
            <rFont val="Tahoma"/>
            <family val="2"/>
          </rPr>
          <t xml:space="preserve">] </t>
        </r>
        <r>
          <rPr>
            <sz val="9"/>
            <color indexed="81"/>
            <rFont val="細明體"/>
            <family val="3"/>
            <charset val="136"/>
          </rPr>
          <t>其中最佳一科</t>
        </r>
      </text>
    </comment>
    <comment ref="M14" authorId="1" shapeId="0" xr:uid="{00000000-0006-0000-0C00-00001E000000}">
      <text>
        <r>
          <rPr>
            <b/>
            <sz val="9"/>
            <color indexed="81"/>
            <rFont val="細明體"/>
            <family val="3"/>
            <charset val="136"/>
          </rPr>
          <t>重考扣分</t>
        </r>
        <r>
          <rPr>
            <b/>
            <sz val="9"/>
            <color indexed="81"/>
            <rFont val="Tahoma"/>
            <family val="2"/>
          </rPr>
          <t xml:space="preserve">: </t>
        </r>
        <r>
          <rPr>
            <sz val="9"/>
            <color indexed="81"/>
            <rFont val="Tahoma"/>
            <family val="2"/>
          </rPr>
          <t>10%
(</t>
        </r>
        <r>
          <rPr>
            <sz val="9"/>
            <color indexed="81"/>
            <rFont val="細明體"/>
            <family val="3"/>
            <charset val="136"/>
          </rPr>
          <t>只有重修過的科目會被扣分</t>
        </r>
        <r>
          <rPr>
            <sz val="9"/>
            <color indexed="81"/>
            <rFont val="Tahoma"/>
            <family val="2"/>
          </rPr>
          <t>)</t>
        </r>
      </text>
    </comment>
    <comment ref="N14" authorId="0" shapeId="0" xr:uid="{00000000-0006-0000-0C00-00001F000000}">
      <text>
        <r>
          <rPr>
            <sz val="9"/>
            <color indexed="81"/>
            <rFont val="Tahoma"/>
            <family val="2"/>
          </rPr>
          <t>July 28 to August 3
(For selected candidates)</t>
        </r>
      </text>
    </comment>
    <comment ref="S14" authorId="0" shapeId="0" xr:uid="{00000000-0006-0000-0C00-000020000000}">
      <text>
        <r>
          <rPr>
            <b/>
            <sz val="9"/>
            <color indexed="81"/>
            <rFont val="細明體"/>
            <family val="3"/>
            <charset val="136"/>
          </rPr>
          <t>以下一科</t>
        </r>
        <r>
          <rPr>
            <b/>
            <sz val="9"/>
            <color indexed="81"/>
            <rFont val="Tahoma"/>
            <family val="2"/>
          </rPr>
          <t>:</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E15" authorId="0" shapeId="0" xr:uid="{00000000-0006-0000-0C00-000021000000}">
      <text>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sz val="9"/>
            <color indexed="81"/>
            <rFont val="細明體"/>
            <family val="3"/>
            <charset val="136"/>
          </rPr>
          <t xml:space="preserve">英文、通識
</t>
        </r>
        <r>
          <rPr>
            <sz val="9"/>
            <color indexed="81"/>
            <rFont val="Tahoma"/>
            <family val="2"/>
          </rPr>
          <t xml:space="preserve">
</t>
        </r>
        <r>
          <rPr>
            <b/>
            <sz val="9"/>
            <color indexed="81"/>
            <rFont val="Tahoma"/>
            <family val="2"/>
          </rPr>
          <t>x1.5:</t>
        </r>
        <r>
          <rPr>
            <sz val="9"/>
            <color indexed="81"/>
            <rFont val="Tahoma"/>
            <family val="2"/>
          </rPr>
          <t xml:space="preserve"> </t>
        </r>
        <r>
          <rPr>
            <sz val="9"/>
            <color indexed="81"/>
            <rFont val="細明體"/>
            <family val="3"/>
            <charset val="136"/>
          </rPr>
          <t>英文</t>
        </r>
        <r>
          <rPr>
            <sz val="9"/>
            <color indexed="81"/>
            <rFont val="Tahoma"/>
            <family val="2"/>
          </rPr>
          <t xml:space="preserve">
</t>
        </r>
        <r>
          <rPr>
            <b/>
            <sz val="9"/>
            <color indexed="81"/>
            <rFont val="Tahoma"/>
            <family val="2"/>
          </rPr>
          <t>x1.2</t>
        </r>
        <r>
          <rPr>
            <sz val="9"/>
            <color indexed="81"/>
            <rFont val="Tahoma"/>
            <family val="2"/>
          </rPr>
          <t xml:space="preserve">: </t>
        </r>
        <r>
          <rPr>
            <sz val="9"/>
            <color indexed="81"/>
            <rFont val="細明體"/>
            <family val="3"/>
            <charset val="136"/>
          </rPr>
          <t>通識</t>
        </r>
      </text>
    </comment>
    <comment ref="N15" authorId="0" shapeId="0" xr:uid="{00000000-0006-0000-0C00-000022000000}">
      <text>
        <r>
          <rPr>
            <sz val="9"/>
            <color indexed="81"/>
            <rFont val="Tahoma"/>
            <family val="2"/>
          </rPr>
          <t>August 2 to 3
(For selected candidates)</t>
        </r>
      </text>
    </comment>
    <comment ref="E16" authorId="0" shapeId="0" xr:uid="{00000000-0006-0000-0C00-000023000000}">
      <text>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中文</t>
        </r>
        <r>
          <rPr>
            <sz val="9"/>
            <color indexed="81"/>
            <rFont val="細明體"/>
            <family val="3"/>
            <charset val="136"/>
          </rPr>
          <t>、</t>
        </r>
        <r>
          <rPr>
            <b/>
            <sz val="9"/>
            <color indexed="81"/>
            <rFont val="細明體"/>
            <family val="3"/>
            <charset val="136"/>
          </rPr>
          <t xml:space="preserve">通識
</t>
        </r>
        <r>
          <rPr>
            <sz val="9"/>
            <color indexed="81"/>
            <rFont val="細明體"/>
            <family val="3"/>
            <charset val="136"/>
          </rPr>
          <t xml:space="preserve">
</t>
        </r>
        <r>
          <rPr>
            <b/>
            <sz val="9"/>
            <color indexed="81"/>
            <rFont val="Tahoma"/>
            <family val="2"/>
          </rPr>
          <t>x1.5:</t>
        </r>
        <r>
          <rPr>
            <sz val="9"/>
            <color indexed="81"/>
            <rFont val="Tahoma"/>
            <family val="2"/>
          </rPr>
          <t xml:space="preserve"> </t>
        </r>
        <r>
          <rPr>
            <sz val="9"/>
            <color indexed="81"/>
            <rFont val="細明體"/>
            <family val="3"/>
            <charset val="136"/>
          </rPr>
          <t xml:space="preserve">中文
</t>
        </r>
        <r>
          <rPr>
            <b/>
            <sz val="9"/>
            <color indexed="81"/>
            <rFont val="Tahoma"/>
            <family val="2"/>
          </rPr>
          <t>x1.2:</t>
        </r>
        <r>
          <rPr>
            <sz val="9"/>
            <color indexed="81"/>
            <rFont val="Tahoma"/>
            <family val="2"/>
          </rPr>
          <t xml:space="preserve"> </t>
        </r>
        <r>
          <rPr>
            <sz val="9"/>
            <color indexed="81"/>
            <rFont val="細明體"/>
            <family val="3"/>
            <charset val="136"/>
          </rPr>
          <t>通識</t>
        </r>
      </text>
    </comment>
    <comment ref="N16" authorId="0" shapeId="0" xr:uid="{00000000-0006-0000-0C00-000024000000}">
      <text>
        <r>
          <rPr>
            <sz val="9"/>
            <color indexed="81"/>
            <rFont val="Tahoma"/>
            <family val="2"/>
          </rPr>
          <t>August 2 to 3
(For selected candidates)</t>
        </r>
      </text>
    </comment>
    <comment ref="E17" authorId="0" shapeId="0" xr:uid="{00000000-0006-0000-0C00-000025000000}">
      <text>
        <r>
          <rPr>
            <sz val="9"/>
            <color indexed="81"/>
            <rFont val="細明體"/>
            <family val="3"/>
            <charset val="136"/>
          </rPr>
          <t>最佳</t>
        </r>
        <r>
          <rPr>
            <sz val="9"/>
            <color indexed="81"/>
            <rFont val="Tahoma"/>
            <family val="2"/>
          </rPr>
          <t>5</t>
        </r>
        <r>
          <rPr>
            <sz val="9"/>
            <color indexed="81"/>
            <rFont val="細明體"/>
            <family val="3"/>
            <charset val="136"/>
          </rPr>
          <t>科必須包括</t>
        </r>
        <r>
          <rPr>
            <b/>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中文</t>
        </r>
        <r>
          <rPr>
            <sz val="9"/>
            <color indexed="81"/>
            <rFont val="細明體"/>
            <family val="3"/>
            <charset val="136"/>
          </rPr>
          <t xml:space="preserve">
</t>
        </r>
        <r>
          <rPr>
            <b/>
            <sz val="9"/>
            <color indexed="81"/>
            <rFont val="Tahoma"/>
            <family val="2"/>
          </rPr>
          <t xml:space="preserve">x1.5: </t>
        </r>
        <r>
          <rPr>
            <sz val="9"/>
            <color indexed="81"/>
            <rFont val="細明體"/>
            <family val="3"/>
            <charset val="136"/>
          </rPr>
          <t xml:space="preserve">英文
</t>
        </r>
        <r>
          <rPr>
            <b/>
            <sz val="9"/>
            <color indexed="81"/>
            <rFont val="Tahoma"/>
            <family val="2"/>
          </rPr>
          <t xml:space="preserve">x1.2: </t>
        </r>
        <r>
          <rPr>
            <sz val="9"/>
            <color indexed="81"/>
            <rFont val="細明體"/>
            <family val="3"/>
            <charset val="136"/>
          </rPr>
          <t>中文</t>
        </r>
      </text>
    </comment>
    <comment ref="N17" authorId="0" shapeId="0" xr:uid="{00000000-0006-0000-0C00-000026000000}">
      <text>
        <r>
          <rPr>
            <sz val="9"/>
            <color indexed="81"/>
            <rFont val="Tahoma"/>
            <family val="2"/>
          </rPr>
          <t>July 30 to August 3
(For selected candidates)</t>
        </r>
      </text>
    </comment>
    <comment ref="E18" authorId="0" shapeId="0" xr:uid="{00000000-0006-0000-0C00-000027000000}">
      <text>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細明體"/>
            <family val="3"/>
            <charset val="136"/>
          </rPr>
          <t>最佳理科</t>
        </r>
        <r>
          <rPr>
            <sz val="9"/>
            <color indexed="81"/>
            <rFont val="Tahoma"/>
            <family val="2"/>
          </rPr>
          <t>*
M1/2</t>
        </r>
        <r>
          <rPr>
            <sz val="9"/>
            <color indexed="81"/>
            <rFont val="細明體"/>
            <family val="3"/>
            <charset val="136"/>
          </rPr>
          <t xml:space="preserve">可被當作一科選修
</t>
        </r>
        <r>
          <rPr>
            <b/>
            <sz val="9"/>
            <color indexed="81"/>
            <rFont val="Tahoma"/>
            <family val="2"/>
          </rPr>
          <t xml:space="preserve">
x2: </t>
        </r>
        <r>
          <rPr>
            <sz val="9"/>
            <color indexed="81"/>
            <rFont val="細明體"/>
            <family val="3"/>
            <charset val="136"/>
          </rPr>
          <t>數學、</t>
        </r>
        <r>
          <rPr>
            <sz val="9"/>
            <color indexed="81"/>
            <rFont val="Tahoma"/>
            <family val="2"/>
          </rPr>
          <t>M1/2</t>
        </r>
        <r>
          <rPr>
            <sz val="9"/>
            <color indexed="81"/>
            <rFont val="細明體"/>
            <family val="3"/>
            <charset val="136"/>
          </rPr>
          <t>、</t>
        </r>
        <r>
          <rPr>
            <sz val="9"/>
            <color indexed="81"/>
            <rFont val="Tahoma"/>
            <family val="2"/>
          </rPr>
          <t xml:space="preserve"> </t>
        </r>
        <r>
          <rPr>
            <sz val="9"/>
            <color indexed="81"/>
            <rFont val="細明體"/>
            <family val="3"/>
            <charset val="136"/>
          </rPr>
          <t>生物、化學、物理、組合科學、綜合科學</t>
        </r>
        <r>
          <rPr>
            <sz val="9"/>
            <color indexed="81"/>
            <rFont val="Tahoma"/>
            <family val="2"/>
          </rPr>
          <t xml:space="preserve">
</t>
        </r>
        <r>
          <rPr>
            <b/>
            <sz val="9"/>
            <color indexed="81"/>
            <rFont val="Tahoma"/>
            <family val="2"/>
          </rPr>
          <t xml:space="preserve">x1.5: </t>
        </r>
        <r>
          <rPr>
            <sz val="9"/>
            <color indexed="81"/>
            <rFont val="細明體"/>
            <family val="3"/>
            <charset val="136"/>
          </rPr>
          <t xml:space="preserve">英文
</t>
        </r>
        <r>
          <rPr>
            <b/>
            <sz val="9"/>
            <color indexed="81"/>
            <rFont val="Tahoma"/>
            <family val="2"/>
          </rPr>
          <t>x1.25:</t>
        </r>
        <r>
          <rPr>
            <sz val="9"/>
            <color indexed="81"/>
            <rFont val="Tahoma"/>
            <family val="2"/>
          </rPr>
          <t xml:space="preserve"> </t>
        </r>
        <r>
          <rPr>
            <sz val="9"/>
            <color indexed="81"/>
            <rFont val="細明體"/>
            <family val="3"/>
            <charset val="136"/>
          </rPr>
          <t xml:space="preserve">非理科選修科
</t>
        </r>
        <r>
          <rPr>
            <b/>
            <sz val="9"/>
            <color indexed="81"/>
            <rFont val="Tahoma"/>
            <family val="2"/>
          </rPr>
          <t>*</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生物、化學、物理、組合科學、綜合科學</t>
        </r>
      </text>
    </comment>
    <comment ref="S18" authorId="0" shapeId="0" xr:uid="{00000000-0006-0000-0C00-000028000000}">
      <text>
        <r>
          <rPr>
            <b/>
            <sz val="9"/>
            <color indexed="81"/>
            <rFont val="細明體"/>
            <family val="3"/>
            <charset val="136"/>
          </rPr>
          <t>以下一科</t>
        </r>
        <r>
          <rPr>
            <b/>
            <sz val="9"/>
            <color indexed="81"/>
            <rFont val="Tahoma"/>
            <family val="2"/>
          </rPr>
          <t>:</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N19" authorId="0" shapeId="0" xr:uid="{00000000-0006-0000-0C00-000029000000}">
      <text>
        <r>
          <rPr>
            <b/>
            <sz val="9"/>
            <color indexed="81"/>
            <rFont val="細明體"/>
            <family val="3"/>
            <charset val="136"/>
          </rPr>
          <t>前</t>
        </r>
        <r>
          <rPr>
            <b/>
            <sz val="9"/>
            <color indexed="81"/>
            <rFont val="Tahoma"/>
            <family val="2"/>
          </rPr>
          <t>:</t>
        </r>
        <r>
          <rPr>
            <sz val="9"/>
            <color indexed="81"/>
            <rFont val="Tahoma"/>
            <family val="2"/>
          </rPr>
          <t xml:space="preserve"> June 15 to 18</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S19" authorId="0" shapeId="0" xr:uid="{00000000-0006-0000-0C00-00002A000000}">
      <text>
        <r>
          <rPr>
            <b/>
            <sz val="9"/>
            <color indexed="81"/>
            <rFont val="細明體"/>
            <family val="3"/>
            <charset val="136"/>
          </rPr>
          <t>以下一科</t>
        </r>
        <r>
          <rPr>
            <b/>
            <sz val="9"/>
            <color indexed="81"/>
            <rFont val="Tahoma"/>
            <family val="2"/>
          </rPr>
          <t xml:space="preserve">:
</t>
        </r>
        <r>
          <rPr>
            <sz val="9"/>
            <color indexed="81"/>
            <rFont val="Tahoma"/>
            <family val="2"/>
          </rPr>
          <t xml:space="preserve">- </t>
        </r>
        <r>
          <rPr>
            <sz val="9"/>
            <color indexed="81"/>
            <rFont val="細明體"/>
            <family val="3"/>
            <charset val="136"/>
          </rPr>
          <t>生物</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生物</t>
        </r>
        <r>
          <rPr>
            <sz val="9"/>
            <color indexed="81"/>
            <rFont val="Tahoma"/>
            <family val="2"/>
          </rPr>
          <t>)</t>
        </r>
      </text>
    </comment>
    <comment ref="E20" authorId="0" shapeId="0" xr:uid="{00000000-0006-0000-0C00-00002B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E21" authorId="0" shapeId="0" xr:uid="{00000000-0006-0000-0C00-00002C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text>
    </comment>
    <comment ref="N21" authorId="0" shapeId="0" xr:uid="{00000000-0006-0000-0C00-00002D000000}">
      <text>
        <r>
          <rPr>
            <b/>
            <sz val="9"/>
            <color indexed="81"/>
            <rFont val="細明體"/>
            <family val="3"/>
            <charset val="136"/>
          </rPr>
          <t>前</t>
        </r>
        <r>
          <rPr>
            <b/>
            <sz val="9"/>
            <color indexed="81"/>
            <rFont val="Tahoma"/>
            <family val="2"/>
          </rPr>
          <t>:</t>
        </r>
        <r>
          <rPr>
            <sz val="9"/>
            <color indexed="81"/>
            <rFont val="Tahoma"/>
            <family val="2"/>
          </rPr>
          <t xml:space="preserve"> 
1st Round: Dec 28 to 30, 2020 (Updated)
2nd Round: June 15 to 17, 2021
</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
</t>
        </r>
      </text>
    </comment>
    <comment ref="S21" authorId="0" shapeId="0" xr:uid="{00000000-0006-0000-0C00-00002E000000}">
      <text>
        <r>
          <rPr>
            <b/>
            <sz val="9"/>
            <color indexed="81"/>
            <rFont val="細明體"/>
            <family val="3"/>
            <charset val="136"/>
          </rPr>
          <t>以下一科</t>
        </r>
        <r>
          <rPr>
            <b/>
            <sz val="9"/>
            <color indexed="81"/>
            <rFont val="Tahoma"/>
            <family val="2"/>
          </rPr>
          <t>:</t>
        </r>
        <r>
          <rPr>
            <b/>
            <sz val="9"/>
            <color indexed="81"/>
            <rFont val="細明體"/>
            <family val="3"/>
            <charset val="136"/>
          </rPr>
          <t xml:space="preserve">
</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物理</t>
        </r>
        <r>
          <rPr>
            <sz val="9"/>
            <color indexed="81"/>
            <rFont val="Tahoma"/>
            <family val="2"/>
          </rPr>
          <t>)</t>
        </r>
      </text>
    </comment>
    <comment ref="T21" authorId="0" shapeId="0" xr:uid="{00000000-0006-0000-0C00-00002F000000}">
      <text>
        <r>
          <rPr>
            <sz val="9"/>
            <color indexed="81"/>
            <rFont val="細明體"/>
            <family val="3"/>
            <charset val="136"/>
          </rPr>
          <t>優先考慮</t>
        </r>
        <r>
          <rPr>
            <sz val="9"/>
            <color indexed="81"/>
            <rFont val="Tahoma"/>
            <family val="2"/>
          </rPr>
          <t xml:space="preserve"> </t>
        </r>
        <r>
          <rPr>
            <b/>
            <sz val="9"/>
            <color indexed="81"/>
            <rFont val="Tahoma"/>
            <family val="2"/>
          </rPr>
          <t xml:space="preserve">M1/2 </t>
        </r>
        <r>
          <rPr>
            <b/>
            <sz val="9"/>
            <color indexed="81"/>
            <rFont val="細明體"/>
            <family val="3"/>
            <charset val="136"/>
          </rPr>
          <t>考獲</t>
        </r>
        <r>
          <rPr>
            <b/>
            <sz val="9"/>
            <color indexed="81"/>
            <rFont val="Tahoma"/>
            <family val="2"/>
          </rPr>
          <t xml:space="preserve"> Lv.3</t>
        </r>
        <r>
          <rPr>
            <sz val="9"/>
            <color indexed="81"/>
            <rFont val="細明體"/>
            <family val="3"/>
            <charset val="136"/>
          </rPr>
          <t>或以上者</t>
        </r>
        <r>
          <rPr>
            <sz val="9"/>
            <color indexed="81"/>
            <rFont val="Tahoma"/>
            <family val="2"/>
          </rPr>
          <t xml:space="preserve"> (</t>
        </r>
        <r>
          <rPr>
            <sz val="9"/>
            <color indexed="81"/>
            <rFont val="細明體"/>
            <family val="3"/>
            <charset val="136"/>
          </rPr>
          <t>非必須</t>
        </r>
        <r>
          <rPr>
            <sz val="9"/>
            <color indexed="81"/>
            <rFont val="Tahoma"/>
            <family val="2"/>
          </rPr>
          <t>)</t>
        </r>
      </text>
    </comment>
    <comment ref="E22" authorId="0" shapeId="0" xr:uid="{00000000-0006-0000-0C00-000030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text>
    </comment>
    <comment ref="N22" authorId="0" shapeId="0" xr:uid="{00000000-0006-0000-0C00-000031000000}">
      <text>
        <r>
          <rPr>
            <b/>
            <sz val="9"/>
            <color indexed="81"/>
            <rFont val="細明體"/>
            <family val="3"/>
            <charset val="136"/>
          </rPr>
          <t>前</t>
        </r>
        <r>
          <rPr>
            <b/>
            <sz val="9"/>
            <color indexed="81"/>
            <rFont val="Tahoma"/>
            <family val="2"/>
          </rPr>
          <t>:</t>
        </r>
        <r>
          <rPr>
            <sz val="9"/>
            <color indexed="81"/>
            <rFont val="Tahoma"/>
            <family val="2"/>
          </rPr>
          <t xml:space="preserve"> 
1st Round: Dec 28 to 30, 2020 (Updated)
2nd Round: June 15 to 17, 2021
</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
</t>
        </r>
      </text>
    </comment>
    <comment ref="S22" authorId="0" shapeId="0" xr:uid="{00000000-0006-0000-0C00-000032000000}">
      <text>
        <r>
          <rPr>
            <b/>
            <sz val="9"/>
            <color indexed="81"/>
            <rFont val="細明體"/>
            <family val="3"/>
            <charset val="136"/>
          </rPr>
          <t>以下一科</t>
        </r>
        <r>
          <rPr>
            <b/>
            <sz val="9"/>
            <color indexed="81"/>
            <rFont val="Tahoma"/>
            <family val="2"/>
          </rPr>
          <t>:</t>
        </r>
        <r>
          <rPr>
            <b/>
            <sz val="9"/>
            <color indexed="81"/>
            <rFont val="細明體"/>
            <family val="3"/>
            <charset val="136"/>
          </rPr>
          <t xml:space="preserve">
</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物理</t>
        </r>
        <r>
          <rPr>
            <sz val="9"/>
            <color indexed="81"/>
            <rFont val="Tahoma"/>
            <family val="2"/>
          </rPr>
          <t>)</t>
        </r>
      </text>
    </comment>
    <comment ref="T22" authorId="0" shapeId="0" xr:uid="{00000000-0006-0000-0C00-000033000000}">
      <text>
        <r>
          <rPr>
            <sz val="9"/>
            <color indexed="81"/>
            <rFont val="細明體"/>
            <family val="3"/>
            <charset val="136"/>
          </rPr>
          <t>優先考慮</t>
        </r>
        <r>
          <rPr>
            <sz val="9"/>
            <color indexed="81"/>
            <rFont val="Tahoma"/>
            <family val="2"/>
          </rPr>
          <t xml:space="preserve"> </t>
        </r>
        <r>
          <rPr>
            <b/>
            <sz val="9"/>
            <color indexed="81"/>
            <rFont val="Tahoma"/>
            <family val="2"/>
          </rPr>
          <t xml:space="preserve">M1/2 </t>
        </r>
        <r>
          <rPr>
            <b/>
            <sz val="9"/>
            <color indexed="81"/>
            <rFont val="細明體"/>
            <family val="3"/>
            <charset val="136"/>
          </rPr>
          <t>考獲</t>
        </r>
        <r>
          <rPr>
            <b/>
            <sz val="9"/>
            <color indexed="81"/>
            <rFont val="Tahoma"/>
            <family val="2"/>
          </rPr>
          <t xml:space="preserve"> Lv.3</t>
        </r>
        <r>
          <rPr>
            <sz val="9"/>
            <color indexed="81"/>
            <rFont val="細明體"/>
            <family val="3"/>
            <charset val="136"/>
          </rPr>
          <t>或以上者</t>
        </r>
        <r>
          <rPr>
            <sz val="9"/>
            <color indexed="81"/>
            <rFont val="Tahoma"/>
            <family val="2"/>
          </rPr>
          <t xml:space="preserve"> (</t>
        </r>
        <r>
          <rPr>
            <sz val="9"/>
            <color indexed="81"/>
            <rFont val="細明體"/>
            <family val="3"/>
            <charset val="136"/>
          </rPr>
          <t>非必須</t>
        </r>
        <r>
          <rPr>
            <sz val="9"/>
            <color indexed="81"/>
            <rFont val="Tahoma"/>
            <family val="2"/>
          </rPr>
          <t>)</t>
        </r>
      </text>
    </comment>
    <comment ref="E23" authorId="0" shapeId="0" xr:uid="{00000000-0006-0000-0C00-000034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text>
    </comment>
    <comment ref="N23" authorId="0" shapeId="0" xr:uid="{00000000-0006-0000-0C00-000035000000}">
      <text>
        <r>
          <rPr>
            <b/>
            <sz val="9"/>
            <color indexed="81"/>
            <rFont val="細明體"/>
            <family val="3"/>
            <charset val="136"/>
          </rPr>
          <t>前</t>
        </r>
        <r>
          <rPr>
            <b/>
            <sz val="9"/>
            <color indexed="81"/>
            <rFont val="Tahoma"/>
            <family val="2"/>
          </rPr>
          <t>:</t>
        </r>
        <r>
          <rPr>
            <sz val="9"/>
            <color indexed="81"/>
            <rFont val="Tahoma"/>
            <family val="2"/>
          </rPr>
          <t xml:space="preserve"> 
1st Round: Dec 28 to 30, 2020 (Updated)
2nd Round: June 15 to 17, 2021
</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
</t>
        </r>
      </text>
    </comment>
    <comment ref="S23" authorId="0" shapeId="0" xr:uid="{00000000-0006-0000-0C00-000036000000}">
      <text>
        <r>
          <rPr>
            <b/>
            <sz val="9"/>
            <color indexed="81"/>
            <rFont val="細明體"/>
            <family val="3"/>
            <charset val="136"/>
          </rPr>
          <t>以下一科</t>
        </r>
        <r>
          <rPr>
            <b/>
            <sz val="9"/>
            <color indexed="81"/>
            <rFont val="Tahoma"/>
            <family val="2"/>
          </rPr>
          <t>:</t>
        </r>
        <r>
          <rPr>
            <b/>
            <sz val="9"/>
            <color indexed="81"/>
            <rFont val="細明體"/>
            <family val="3"/>
            <charset val="136"/>
          </rPr>
          <t xml:space="preserve">
</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物理</t>
        </r>
        <r>
          <rPr>
            <sz val="9"/>
            <color indexed="81"/>
            <rFont val="Tahoma"/>
            <family val="2"/>
          </rPr>
          <t>)</t>
        </r>
      </text>
    </comment>
    <comment ref="T23" authorId="0" shapeId="0" xr:uid="{00000000-0006-0000-0C00-000037000000}">
      <text>
        <r>
          <rPr>
            <sz val="9"/>
            <color indexed="81"/>
            <rFont val="細明體"/>
            <family val="3"/>
            <charset val="136"/>
          </rPr>
          <t>優先考慮</t>
        </r>
        <r>
          <rPr>
            <sz val="9"/>
            <color indexed="81"/>
            <rFont val="Tahoma"/>
            <family val="2"/>
          </rPr>
          <t xml:space="preserve"> </t>
        </r>
        <r>
          <rPr>
            <b/>
            <sz val="9"/>
            <color indexed="81"/>
            <rFont val="Tahoma"/>
            <family val="2"/>
          </rPr>
          <t xml:space="preserve">M1/2 </t>
        </r>
        <r>
          <rPr>
            <b/>
            <sz val="9"/>
            <color indexed="81"/>
            <rFont val="細明體"/>
            <family val="3"/>
            <charset val="136"/>
          </rPr>
          <t>考獲</t>
        </r>
        <r>
          <rPr>
            <b/>
            <sz val="9"/>
            <color indexed="81"/>
            <rFont val="Tahoma"/>
            <family val="2"/>
          </rPr>
          <t xml:space="preserve"> Lv.3</t>
        </r>
        <r>
          <rPr>
            <sz val="9"/>
            <color indexed="81"/>
            <rFont val="細明體"/>
            <family val="3"/>
            <charset val="136"/>
          </rPr>
          <t>或以上者</t>
        </r>
        <r>
          <rPr>
            <sz val="9"/>
            <color indexed="81"/>
            <rFont val="Tahoma"/>
            <family val="2"/>
          </rPr>
          <t xml:space="preserve"> (</t>
        </r>
        <r>
          <rPr>
            <sz val="9"/>
            <color indexed="81"/>
            <rFont val="細明體"/>
            <family val="3"/>
            <charset val="136"/>
          </rPr>
          <t>非必須</t>
        </r>
        <r>
          <rPr>
            <sz val="9"/>
            <color indexed="81"/>
            <rFont val="Tahoma"/>
            <family val="2"/>
          </rPr>
          <t>)</t>
        </r>
      </text>
    </comment>
    <comment ref="E24" authorId="0" shapeId="0" xr:uid="{00000000-0006-0000-0C00-000038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r>
          <rPr>
            <sz val="9"/>
            <color indexed="81"/>
            <rFont val="Tahoma"/>
            <family val="2"/>
          </rPr>
          <t xml:space="preserve">
</t>
        </r>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text>
    </comment>
    <comment ref="N24" authorId="0" shapeId="0" xr:uid="{00000000-0006-0000-0C00-000039000000}">
      <text>
        <r>
          <rPr>
            <b/>
            <sz val="9"/>
            <color indexed="81"/>
            <rFont val="細明體"/>
            <family val="3"/>
            <charset val="136"/>
          </rPr>
          <t>前</t>
        </r>
        <r>
          <rPr>
            <b/>
            <sz val="9"/>
            <color indexed="81"/>
            <rFont val="Tahoma"/>
            <family val="2"/>
          </rPr>
          <t>:</t>
        </r>
        <r>
          <rPr>
            <sz val="9"/>
            <color indexed="81"/>
            <rFont val="Tahoma"/>
            <family val="2"/>
          </rPr>
          <t xml:space="preserve"> 
1st Round: Dec 28 to 30, 2020 (Updated)
2nd Round: June 15 to 17, 2021
</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
</t>
        </r>
      </text>
    </comment>
    <comment ref="S24" authorId="0" shapeId="0" xr:uid="{00000000-0006-0000-0C00-00003A000000}">
      <text>
        <r>
          <rPr>
            <b/>
            <sz val="9"/>
            <color indexed="81"/>
            <rFont val="細明體"/>
            <family val="3"/>
            <charset val="136"/>
          </rPr>
          <t>以下一科</t>
        </r>
        <r>
          <rPr>
            <b/>
            <sz val="9"/>
            <color indexed="81"/>
            <rFont val="Tahoma"/>
            <family val="2"/>
          </rPr>
          <t>:</t>
        </r>
        <r>
          <rPr>
            <b/>
            <sz val="9"/>
            <color indexed="81"/>
            <rFont val="細明體"/>
            <family val="3"/>
            <charset val="136"/>
          </rPr>
          <t xml:space="preserve">
</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物理</t>
        </r>
        <r>
          <rPr>
            <sz val="9"/>
            <color indexed="81"/>
            <rFont val="Tahoma"/>
            <family val="2"/>
          </rPr>
          <t>)</t>
        </r>
      </text>
    </comment>
    <comment ref="T24" authorId="0" shapeId="0" xr:uid="{00000000-0006-0000-0C00-00003B000000}">
      <text>
        <r>
          <rPr>
            <sz val="9"/>
            <color indexed="81"/>
            <rFont val="細明體"/>
            <family val="3"/>
            <charset val="136"/>
          </rPr>
          <t>優先考慮</t>
        </r>
        <r>
          <rPr>
            <sz val="9"/>
            <color indexed="81"/>
            <rFont val="Tahoma"/>
            <family val="2"/>
          </rPr>
          <t xml:space="preserve"> </t>
        </r>
        <r>
          <rPr>
            <b/>
            <sz val="9"/>
            <color indexed="81"/>
            <rFont val="Tahoma"/>
            <family val="2"/>
          </rPr>
          <t xml:space="preserve">M1/2 </t>
        </r>
        <r>
          <rPr>
            <b/>
            <sz val="9"/>
            <color indexed="81"/>
            <rFont val="細明體"/>
            <family val="3"/>
            <charset val="136"/>
          </rPr>
          <t>考獲</t>
        </r>
        <r>
          <rPr>
            <b/>
            <sz val="9"/>
            <color indexed="81"/>
            <rFont val="Tahoma"/>
            <family val="2"/>
          </rPr>
          <t xml:space="preserve"> Lv.3</t>
        </r>
        <r>
          <rPr>
            <sz val="9"/>
            <color indexed="81"/>
            <rFont val="細明體"/>
            <family val="3"/>
            <charset val="136"/>
          </rPr>
          <t>或以上者</t>
        </r>
        <r>
          <rPr>
            <sz val="9"/>
            <color indexed="81"/>
            <rFont val="Tahoma"/>
            <family val="2"/>
          </rPr>
          <t xml:space="preserve"> (</t>
        </r>
        <r>
          <rPr>
            <sz val="9"/>
            <color indexed="81"/>
            <rFont val="細明體"/>
            <family val="3"/>
            <charset val="136"/>
          </rPr>
          <t>非必須</t>
        </r>
        <r>
          <rPr>
            <sz val="9"/>
            <color indexed="81"/>
            <rFont val="Tahoma"/>
            <family val="2"/>
          </rPr>
          <t>)</t>
        </r>
      </text>
    </comment>
    <comment ref="E25" authorId="0" shapeId="0" xr:uid="{00000000-0006-0000-0C00-00003C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text>
    </comment>
    <comment ref="E26" authorId="0" shapeId="0" xr:uid="{00000000-0006-0000-0C00-00003D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text>
    </comment>
    <comment ref="E27" authorId="0" shapeId="0" xr:uid="{00000000-0006-0000-0C00-00003E000000}">
      <text>
        <r>
          <rPr>
            <b/>
            <sz val="9"/>
            <color indexed="81"/>
            <rFont val="Tahoma"/>
            <family val="2"/>
          </rPr>
          <t>2021</t>
        </r>
        <r>
          <rPr>
            <b/>
            <sz val="9"/>
            <color indexed="81"/>
            <rFont val="細明體"/>
            <family val="3"/>
            <charset val="136"/>
          </rPr>
          <t xml:space="preserve">年新科目
</t>
        </r>
        <r>
          <rPr>
            <sz val="9"/>
            <color indexed="81"/>
            <rFont val="細明體"/>
            <family val="3"/>
            <charset val="136"/>
          </rPr>
          <t>將考慮甲類及丙類科目，但不包括</t>
        </r>
        <r>
          <rPr>
            <b/>
            <sz val="9"/>
            <color indexed="81"/>
            <rFont val="Tahoma"/>
            <family val="2"/>
          </rPr>
          <t xml:space="preserve">M1/2
</t>
        </r>
        <r>
          <rPr>
            <sz val="9"/>
            <color indexed="81"/>
            <rFont val="細明體"/>
            <family val="3"/>
            <charset val="136"/>
          </rPr>
          <t>若同學欲接駁到</t>
        </r>
        <r>
          <rPr>
            <sz val="9"/>
            <color indexed="81"/>
            <rFont val="Tahoma"/>
            <family val="2"/>
          </rPr>
          <t xml:space="preserve"> MBBS </t>
        </r>
        <r>
          <rPr>
            <sz val="9"/>
            <color indexed="81"/>
            <rFont val="細明體"/>
            <family val="3"/>
            <charset val="136"/>
          </rPr>
          <t>的升學途徑，同學須獲一級榮譽畢業，以及</t>
        </r>
        <r>
          <rPr>
            <b/>
            <sz val="9"/>
            <color indexed="81"/>
            <rFont val="Tahoma"/>
            <family val="2"/>
          </rPr>
          <t>DSE</t>
        </r>
        <r>
          <rPr>
            <b/>
            <sz val="9"/>
            <color indexed="81"/>
            <rFont val="細明體"/>
            <family val="3"/>
            <charset val="136"/>
          </rPr>
          <t>有修讀化學</t>
        </r>
        <r>
          <rPr>
            <b/>
            <sz val="9"/>
            <color indexed="81"/>
            <rFont val="Tahoma"/>
            <family val="2"/>
          </rPr>
          <t xml:space="preserve"> </t>
        </r>
        <r>
          <rPr>
            <b/>
            <sz val="9"/>
            <color indexed="81"/>
            <rFont val="細明體"/>
            <family val="3"/>
            <charset val="136"/>
          </rPr>
          <t>或</t>
        </r>
        <r>
          <rPr>
            <b/>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化學</t>
        </r>
        <r>
          <rPr>
            <b/>
            <sz val="9"/>
            <color indexed="81"/>
            <rFont val="Tahoma"/>
            <family val="2"/>
          </rPr>
          <t xml:space="preserve">)
</t>
        </r>
        <r>
          <rPr>
            <sz val="9"/>
            <color indexed="81"/>
            <rFont val="Tahoma"/>
            <family val="2"/>
          </rPr>
          <t>* BNurs with first class honours and HKDSE “Chemistry” or “Combined Science (Chemistry)” are required for the MBBS articulation pathway</t>
        </r>
      </text>
    </comment>
    <comment ref="L27" authorId="1" shapeId="0" xr:uid="{00000000-0006-0000-0C00-00003F000000}">
      <text>
        <r>
          <rPr>
            <b/>
            <sz val="9"/>
            <color indexed="81"/>
            <rFont val="Tahoma"/>
            <family val="2"/>
          </rPr>
          <t xml:space="preserve">210
</t>
        </r>
        <r>
          <rPr>
            <sz val="9"/>
            <color indexed="81"/>
            <rFont val="Tahoma"/>
            <family val="2"/>
          </rPr>
          <t>(</t>
        </r>
        <r>
          <rPr>
            <b/>
            <sz val="9"/>
            <color indexed="81"/>
            <rFont val="Tahoma"/>
            <family val="2"/>
          </rPr>
          <t>Combined figure</t>
        </r>
        <r>
          <rPr>
            <sz val="9"/>
            <color indexed="81"/>
            <rFont val="Tahoma"/>
            <family val="2"/>
          </rPr>
          <t xml:space="preserve"> for programmes JS6468 (</t>
        </r>
        <r>
          <rPr>
            <b/>
            <sz val="9"/>
            <color indexed="81"/>
            <rFont val="Tahoma"/>
            <family val="2"/>
          </rPr>
          <t>195</t>
        </r>
        <r>
          <rPr>
            <sz val="9"/>
            <color indexed="81"/>
            <rFont val="Tahoma"/>
            <family val="2"/>
          </rPr>
          <t>) &amp; JS6418 (</t>
        </r>
        <r>
          <rPr>
            <b/>
            <sz val="9"/>
            <color indexed="81"/>
            <rFont val="Tahoma"/>
            <family val="2"/>
          </rPr>
          <t>15</t>
        </r>
        <r>
          <rPr>
            <sz val="9"/>
            <color indexed="81"/>
            <rFont val="Tahoma"/>
            <family val="2"/>
          </rPr>
          <t xml:space="preserve">))
</t>
        </r>
      </text>
    </comment>
    <comment ref="E28" authorId="0" shapeId="0" xr:uid="{00000000-0006-0000-0C00-000040000000}">
      <text>
        <r>
          <rPr>
            <sz val="9"/>
            <color indexed="81"/>
            <rFont val="細明體"/>
            <family val="3"/>
            <charset val="136"/>
          </rPr>
          <t>將會考慮</t>
        </r>
        <r>
          <rPr>
            <sz val="9"/>
            <color indexed="81"/>
            <rFont val="Tahoma"/>
            <family val="2"/>
          </rPr>
          <t xml:space="preserve"> </t>
        </r>
        <r>
          <rPr>
            <b/>
            <sz val="9"/>
            <color indexed="81"/>
            <rFont val="細明體"/>
            <family val="3"/>
            <charset val="136"/>
          </rPr>
          <t>數學科</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數學及</t>
        </r>
        <r>
          <rPr>
            <b/>
            <sz val="9"/>
            <color indexed="81"/>
            <rFont val="Tahoma"/>
            <family val="2"/>
          </rPr>
          <t>M1/2</t>
        </r>
        <r>
          <rPr>
            <b/>
            <sz val="9"/>
            <color indexed="81"/>
            <rFont val="細明體"/>
            <family val="3"/>
            <charset val="136"/>
          </rPr>
          <t>的組合分數</t>
        </r>
        <r>
          <rPr>
            <sz val="9"/>
            <color indexed="81"/>
            <rFont val="Tahoma"/>
            <family val="2"/>
          </rPr>
          <t xml:space="preserve"> (</t>
        </r>
        <r>
          <rPr>
            <sz val="9"/>
            <color indexed="81"/>
            <rFont val="細明體"/>
            <family val="3"/>
            <charset val="136"/>
          </rPr>
          <t>公式如下</t>
        </r>
        <r>
          <rPr>
            <sz val="9"/>
            <color indexed="81"/>
            <rFont val="Tahoma"/>
            <family val="2"/>
          </rPr>
          <t xml:space="preserve">) </t>
        </r>
        <r>
          <rPr>
            <sz val="9"/>
            <color indexed="81"/>
            <rFont val="細明體"/>
            <family val="3"/>
            <charset val="136"/>
          </rPr>
          <t>較高者</t>
        </r>
        <r>
          <rPr>
            <sz val="9"/>
            <color indexed="81"/>
            <rFont val="Tahoma"/>
            <family val="2"/>
          </rPr>
          <t xml:space="preserve">
</t>
        </r>
        <r>
          <rPr>
            <b/>
            <sz val="9"/>
            <color indexed="81"/>
            <rFont val="Tahoma"/>
            <family val="2"/>
          </rPr>
          <t>[MA+(M1/M2*0.5)]/1.5</t>
        </r>
      </text>
    </comment>
    <comment ref="M28" authorId="1" shapeId="0" xr:uid="{00000000-0006-0000-0C00-000041000000}">
      <text>
        <r>
          <rPr>
            <b/>
            <sz val="9"/>
            <color indexed="81"/>
            <rFont val="細明體"/>
            <family val="3"/>
            <charset val="136"/>
          </rPr>
          <t>重考扣分</t>
        </r>
        <r>
          <rPr>
            <b/>
            <sz val="9"/>
            <color indexed="81"/>
            <rFont val="Tahoma"/>
            <family val="2"/>
          </rPr>
          <t xml:space="preserve">: </t>
        </r>
        <r>
          <rPr>
            <sz val="9"/>
            <color indexed="81"/>
            <rFont val="Tahoma"/>
            <family val="2"/>
          </rPr>
          <t>10%</t>
        </r>
        <r>
          <rPr>
            <b/>
            <sz val="9"/>
            <color indexed="81"/>
            <rFont val="Tahoma"/>
            <family val="2"/>
          </rPr>
          <t xml:space="preserve">
</t>
        </r>
        <r>
          <rPr>
            <sz val="9"/>
            <color indexed="81"/>
            <rFont val="Tahoma"/>
            <family val="2"/>
          </rPr>
          <t>(</t>
        </r>
        <r>
          <rPr>
            <sz val="9"/>
            <color indexed="81"/>
            <rFont val="細明體"/>
            <family val="3"/>
            <charset val="136"/>
          </rPr>
          <t>只有重修過的科目會被扣分</t>
        </r>
        <r>
          <rPr>
            <sz val="9"/>
            <color indexed="81"/>
            <rFont val="Tahoma"/>
            <family val="2"/>
          </rPr>
          <t>)</t>
        </r>
      </text>
    </comment>
    <comment ref="N28" authorId="0" shapeId="0" xr:uid="{00000000-0006-0000-0C00-000042000000}">
      <text>
        <r>
          <rPr>
            <b/>
            <sz val="9"/>
            <color indexed="81"/>
            <rFont val="細明體"/>
            <family val="3"/>
            <charset val="136"/>
          </rPr>
          <t>前</t>
        </r>
        <r>
          <rPr>
            <b/>
            <sz val="9"/>
            <color indexed="81"/>
            <rFont val="Tahoma"/>
            <family val="2"/>
          </rPr>
          <t>:</t>
        </r>
        <r>
          <rPr>
            <sz val="9"/>
            <color indexed="81"/>
            <rFont val="Tahoma"/>
            <family val="2"/>
          </rPr>
          <t xml:space="preserve"> 
1st Round: Dec 21 to 39, 2020
2nd Round: June 16 to 17, 2021
</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August 2
(For selected candidates)
</t>
        </r>
      </text>
    </comment>
    <comment ref="S28" authorId="1" shapeId="0" xr:uid="{00000000-0006-0000-0C00-000043000000}">
      <text>
        <r>
          <rPr>
            <b/>
            <sz val="9"/>
            <color indexed="81"/>
            <rFont val="細明體"/>
            <family val="3"/>
            <charset val="136"/>
          </rPr>
          <t>以下一科</t>
        </r>
        <r>
          <rPr>
            <b/>
            <sz val="9"/>
            <color indexed="81"/>
            <rFont val="Tahoma"/>
            <family val="2"/>
          </rPr>
          <t>:</t>
        </r>
        <r>
          <rPr>
            <sz val="9"/>
            <color indexed="81"/>
            <rFont val="Tahoma"/>
            <family val="2"/>
          </rPr>
          <t xml:space="preserve">
-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組合科學</t>
        </r>
        <r>
          <rPr>
            <sz val="9"/>
            <color indexed="81"/>
            <rFont val="Tahoma"/>
            <family val="2"/>
          </rPr>
          <t xml:space="preserve"> (</t>
        </r>
        <r>
          <rPr>
            <sz val="9"/>
            <color indexed="81"/>
            <rFont val="細明體"/>
            <family val="3"/>
            <charset val="136"/>
          </rPr>
          <t>化學</t>
        </r>
        <r>
          <rPr>
            <sz val="9"/>
            <color indexed="81"/>
            <rFont val="Tahoma"/>
            <family val="2"/>
          </rPr>
          <t>)</t>
        </r>
      </text>
    </comment>
    <comment ref="E29" authorId="0" shapeId="0" xr:uid="{00000000-0006-0000-0C00-000044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L29" authorId="1" shapeId="0" xr:uid="{00000000-0006-0000-0C00-000045000000}">
      <text>
        <r>
          <rPr>
            <b/>
            <sz val="9"/>
            <color indexed="81"/>
            <rFont val="Tahoma"/>
            <family val="2"/>
          </rPr>
          <t xml:space="preserve">210 </t>
        </r>
        <r>
          <rPr>
            <sz val="9"/>
            <color indexed="81"/>
            <rFont val="Tahoma"/>
            <family val="2"/>
          </rPr>
          <t xml:space="preserve">
(</t>
        </r>
        <r>
          <rPr>
            <b/>
            <sz val="9"/>
            <color indexed="81"/>
            <rFont val="Tahoma"/>
            <family val="2"/>
          </rPr>
          <t>Combined figure</t>
        </r>
        <r>
          <rPr>
            <sz val="9"/>
            <color indexed="81"/>
            <rFont val="Tahoma"/>
            <family val="2"/>
          </rPr>
          <t xml:space="preserve"> for programmes JS6468 (</t>
        </r>
        <r>
          <rPr>
            <b/>
            <sz val="9"/>
            <color indexed="81"/>
            <rFont val="Tahoma"/>
            <family val="2"/>
          </rPr>
          <t>195</t>
        </r>
        <r>
          <rPr>
            <sz val="9"/>
            <color indexed="81"/>
            <rFont val="Tahoma"/>
            <family val="2"/>
          </rPr>
          <t>) &amp; JS6418 (</t>
        </r>
        <r>
          <rPr>
            <b/>
            <sz val="9"/>
            <color indexed="81"/>
            <rFont val="Tahoma"/>
            <family val="2"/>
          </rPr>
          <t>15</t>
        </r>
        <r>
          <rPr>
            <sz val="9"/>
            <color indexed="81"/>
            <rFont val="Tahoma"/>
            <family val="2"/>
          </rPr>
          <t xml:space="preserve">))
</t>
        </r>
      </text>
    </comment>
    <comment ref="N29" authorId="0" shapeId="0" xr:uid="{00000000-0006-0000-0C00-000046000000}">
      <text>
        <r>
          <rPr>
            <b/>
            <sz val="9"/>
            <color indexed="81"/>
            <rFont val="細明體"/>
            <family val="3"/>
            <charset val="136"/>
          </rPr>
          <t>前</t>
        </r>
        <r>
          <rPr>
            <b/>
            <sz val="9"/>
            <color indexed="81"/>
            <rFont val="Tahoma"/>
            <family val="2"/>
          </rPr>
          <t xml:space="preserve">: </t>
        </r>
        <r>
          <rPr>
            <sz val="9"/>
            <color indexed="81"/>
            <rFont val="Tahoma"/>
            <family val="2"/>
          </rPr>
          <t>Early June to Late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Mid-July to Late July
(For selected candidates)</t>
        </r>
      </text>
    </comment>
    <comment ref="E30" authorId="0" shapeId="0" xr:uid="{00000000-0006-0000-0C00-000047000000}">
      <text>
        <r>
          <rPr>
            <sz val="9"/>
            <color indexed="81"/>
            <rFont val="細明體"/>
            <family val="3"/>
            <charset val="136"/>
          </rPr>
          <t>將考慮甲類及丙類科目，但</t>
        </r>
        <r>
          <rPr>
            <b/>
            <sz val="9"/>
            <color indexed="81"/>
            <rFont val="細明體"/>
            <family val="3"/>
            <charset val="136"/>
          </rPr>
          <t>不包括</t>
        </r>
        <r>
          <rPr>
            <b/>
            <sz val="9"/>
            <color indexed="81"/>
            <rFont val="Tahoma"/>
            <family val="2"/>
          </rPr>
          <t>M1/2</t>
        </r>
      </text>
    </comment>
    <comment ref="N30" authorId="0" shapeId="0" xr:uid="{00000000-0006-0000-0C00-000048000000}">
      <text>
        <r>
          <rPr>
            <b/>
            <sz val="9"/>
            <color indexed="81"/>
            <rFont val="細明體"/>
            <family val="3"/>
            <charset val="136"/>
          </rPr>
          <t>前</t>
        </r>
        <r>
          <rPr>
            <b/>
            <sz val="9"/>
            <color indexed="81"/>
            <rFont val="Tahoma"/>
            <family val="2"/>
          </rPr>
          <t xml:space="preserve">: </t>
        </r>
        <r>
          <rPr>
            <sz val="9"/>
            <color indexed="81"/>
            <rFont val="Tahoma"/>
            <family val="2"/>
          </rPr>
          <t>June 23 to 29</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July 27 to August 3
(For selected candidates)
</t>
        </r>
      </text>
    </comment>
    <comment ref="S30" authorId="0" shapeId="0" xr:uid="{00000000-0006-0000-0C00-000049000000}">
      <text>
        <r>
          <rPr>
            <b/>
            <sz val="9"/>
            <color indexed="81"/>
            <rFont val="細明體"/>
            <family val="3"/>
            <charset val="136"/>
          </rPr>
          <t>以下一科</t>
        </r>
        <r>
          <rPr>
            <b/>
            <sz val="9"/>
            <color indexed="81"/>
            <rFont val="Tahoma"/>
            <family val="2"/>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E31" authorId="0" shapeId="0" xr:uid="{00000000-0006-0000-0C00-00004A000000}">
      <text>
        <r>
          <rPr>
            <sz val="9"/>
            <color indexed="81"/>
            <rFont val="細明體"/>
            <family val="3"/>
            <charset val="136"/>
          </rPr>
          <t>將會考慮</t>
        </r>
        <r>
          <rPr>
            <sz val="9"/>
            <color indexed="81"/>
            <rFont val="Tahoma"/>
            <family val="2"/>
          </rPr>
          <t xml:space="preserve"> </t>
        </r>
        <r>
          <rPr>
            <b/>
            <sz val="9"/>
            <color indexed="81"/>
            <rFont val="細明體"/>
            <family val="3"/>
            <charset val="136"/>
          </rPr>
          <t>數學科</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數學及</t>
        </r>
        <r>
          <rPr>
            <b/>
            <sz val="9"/>
            <color indexed="81"/>
            <rFont val="Tahoma"/>
            <family val="2"/>
          </rPr>
          <t>M1/2</t>
        </r>
        <r>
          <rPr>
            <b/>
            <sz val="9"/>
            <color indexed="81"/>
            <rFont val="細明體"/>
            <family val="3"/>
            <charset val="136"/>
          </rPr>
          <t>的組合分數</t>
        </r>
        <r>
          <rPr>
            <sz val="9"/>
            <color indexed="81"/>
            <rFont val="Tahoma"/>
            <family val="2"/>
          </rPr>
          <t xml:space="preserve"> (</t>
        </r>
        <r>
          <rPr>
            <sz val="9"/>
            <color indexed="81"/>
            <rFont val="細明體"/>
            <family val="3"/>
            <charset val="136"/>
          </rPr>
          <t>公式如下</t>
        </r>
        <r>
          <rPr>
            <sz val="9"/>
            <color indexed="81"/>
            <rFont val="Tahoma"/>
            <family val="2"/>
          </rPr>
          <t xml:space="preserve">) </t>
        </r>
        <r>
          <rPr>
            <sz val="9"/>
            <color indexed="81"/>
            <rFont val="細明體"/>
            <family val="3"/>
            <charset val="136"/>
          </rPr>
          <t>較高者</t>
        </r>
        <r>
          <rPr>
            <sz val="9"/>
            <color indexed="81"/>
            <rFont val="Tahoma"/>
            <family val="2"/>
          </rPr>
          <t xml:space="preserve">
</t>
        </r>
        <r>
          <rPr>
            <b/>
            <sz val="9"/>
            <color indexed="81"/>
            <rFont val="Tahoma"/>
            <family val="2"/>
          </rPr>
          <t>[MA+(M1/M2*0.5)]/1.5</t>
        </r>
      </text>
    </comment>
    <comment ref="M31" authorId="1" shapeId="0" xr:uid="{00000000-0006-0000-0C00-00004B000000}">
      <text>
        <r>
          <rPr>
            <b/>
            <sz val="9"/>
            <color indexed="81"/>
            <rFont val="細明體"/>
            <family val="3"/>
            <charset val="136"/>
          </rPr>
          <t>重考扣分</t>
        </r>
        <r>
          <rPr>
            <b/>
            <sz val="9"/>
            <color indexed="81"/>
            <rFont val="Tahoma"/>
            <family val="2"/>
          </rPr>
          <t xml:space="preserve">: </t>
        </r>
        <r>
          <rPr>
            <sz val="9"/>
            <color indexed="81"/>
            <rFont val="Tahoma"/>
            <family val="2"/>
          </rPr>
          <t>10%
(</t>
        </r>
        <r>
          <rPr>
            <sz val="9"/>
            <color indexed="81"/>
            <rFont val="細明體"/>
            <family val="3"/>
            <charset val="136"/>
          </rPr>
          <t>只有重修過的科目會被扣分</t>
        </r>
        <r>
          <rPr>
            <sz val="9"/>
            <color indexed="81"/>
            <rFont val="Tahoma"/>
            <family val="2"/>
          </rPr>
          <t>)</t>
        </r>
      </text>
    </comment>
    <comment ref="N31" authorId="0" shapeId="0" xr:uid="{00000000-0006-0000-0C00-00004C000000}">
      <text>
        <r>
          <rPr>
            <b/>
            <sz val="9"/>
            <color indexed="81"/>
            <rFont val="細明體"/>
            <family val="3"/>
            <charset val="136"/>
          </rPr>
          <t>前</t>
        </r>
        <r>
          <rPr>
            <b/>
            <sz val="9"/>
            <color indexed="81"/>
            <rFont val="Tahoma"/>
            <family val="2"/>
          </rPr>
          <t xml:space="preserve">: </t>
        </r>
        <r>
          <rPr>
            <sz val="9"/>
            <color indexed="81"/>
            <rFont val="Tahoma"/>
            <family val="2"/>
          </rPr>
          <t>June 18</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August 3
(For selected candidates)
</t>
        </r>
      </text>
    </comment>
    <comment ref="S31" authorId="1" shapeId="0" xr:uid="{00000000-0006-0000-0C00-00004D000000}">
      <text>
        <r>
          <rPr>
            <b/>
            <sz val="9"/>
            <color indexed="81"/>
            <rFont val="細明體"/>
            <family val="3"/>
            <charset val="136"/>
          </rPr>
          <t>以下一科</t>
        </r>
        <r>
          <rPr>
            <b/>
            <sz val="9"/>
            <color indexed="81"/>
            <rFont val="Tahoma"/>
            <family val="2"/>
          </rPr>
          <t>:</t>
        </r>
        <r>
          <rPr>
            <sz val="9"/>
            <color indexed="81"/>
            <rFont val="Tahoma"/>
            <family val="2"/>
          </rPr>
          <t xml:space="preserve">
-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組合科學</t>
        </r>
        <r>
          <rPr>
            <sz val="9"/>
            <color indexed="81"/>
            <rFont val="Tahoma"/>
            <family val="2"/>
          </rPr>
          <t xml:space="preserve"> (</t>
        </r>
        <r>
          <rPr>
            <sz val="9"/>
            <color indexed="81"/>
            <rFont val="細明體"/>
            <family val="3"/>
            <charset val="136"/>
          </rPr>
          <t>化學</t>
        </r>
        <r>
          <rPr>
            <sz val="9"/>
            <color indexed="81"/>
            <rFont val="Tahoma"/>
            <family val="2"/>
          </rPr>
          <t>)</t>
        </r>
      </text>
    </comment>
    <comment ref="E32" authorId="0" shapeId="0" xr:uid="{00000000-0006-0000-0C00-00004E000000}">
      <text>
        <r>
          <rPr>
            <sz val="9"/>
            <color indexed="81"/>
            <rFont val="細明體"/>
            <family val="3"/>
            <charset val="136"/>
          </rPr>
          <t>將會考慮</t>
        </r>
        <r>
          <rPr>
            <sz val="9"/>
            <color indexed="81"/>
            <rFont val="Tahoma"/>
            <family val="2"/>
          </rPr>
          <t xml:space="preserve"> </t>
        </r>
        <r>
          <rPr>
            <b/>
            <sz val="9"/>
            <color indexed="81"/>
            <rFont val="細明體"/>
            <family val="3"/>
            <charset val="136"/>
          </rPr>
          <t>數學科</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數學及</t>
        </r>
        <r>
          <rPr>
            <b/>
            <sz val="9"/>
            <color indexed="81"/>
            <rFont val="Tahoma"/>
            <family val="2"/>
          </rPr>
          <t>M1/2</t>
        </r>
        <r>
          <rPr>
            <b/>
            <sz val="9"/>
            <color indexed="81"/>
            <rFont val="細明體"/>
            <family val="3"/>
            <charset val="136"/>
          </rPr>
          <t>的組合分數</t>
        </r>
        <r>
          <rPr>
            <sz val="9"/>
            <color indexed="81"/>
            <rFont val="Tahoma"/>
            <family val="2"/>
          </rPr>
          <t xml:space="preserve"> (</t>
        </r>
        <r>
          <rPr>
            <sz val="9"/>
            <color indexed="81"/>
            <rFont val="細明體"/>
            <family val="3"/>
            <charset val="136"/>
          </rPr>
          <t>公式如下</t>
        </r>
        <r>
          <rPr>
            <sz val="9"/>
            <color indexed="81"/>
            <rFont val="Tahoma"/>
            <family val="2"/>
          </rPr>
          <t xml:space="preserve">) </t>
        </r>
        <r>
          <rPr>
            <sz val="9"/>
            <color indexed="81"/>
            <rFont val="細明體"/>
            <family val="3"/>
            <charset val="136"/>
          </rPr>
          <t>較高者</t>
        </r>
        <r>
          <rPr>
            <sz val="9"/>
            <color indexed="81"/>
            <rFont val="Tahoma"/>
            <family val="2"/>
          </rPr>
          <t xml:space="preserve">
</t>
        </r>
        <r>
          <rPr>
            <b/>
            <sz val="9"/>
            <color indexed="81"/>
            <rFont val="Tahoma"/>
            <family val="2"/>
          </rPr>
          <t>[MA+(M1/M2*0.5)]/1.5</t>
        </r>
      </text>
    </comment>
    <comment ref="M32" authorId="1" shapeId="0" xr:uid="{00000000-0006-0000-0C00-00004F000000}">
      <text>
        <r>
          <rPr>
            <b/>
            <sz val="9"/>
            <color indexed="81"/>
            <rFont val="細明體"/>
            <family val="3"/>
            <charset val="136"/>
          </rPr>
          <t>重考扣分</t>
        </r>
        <r>
          <rPr>
            <b/>
            <sz val="9"/>
            <color indexed="81"/>
            <rFont val="Tahoma"/>
            <family val="2"/>
          </rPr>
          <t xml:space="preserve">: </t>
        </r>
        <r>
          <rPr>
            <sz val="9"/>
            <color indexed="81"/>
            <rFont val="Tahoma"/>
            <family val="2"/>
          </rPr>
          <t>10%
(</t>
        </r>
        <r>
          <rPr>
            <sz val="9"/>
            <color indexed="81"/>
            <rFont val="細明體"/>
            <family val="3"/>
            <charset val="136"/>
          </rPr>
          <t>只有重修過的科目會被扣分</t>
        </r>
        <r>
          <rPr>
            <sz val="9"/>
            <color indexed="81"/>
            <rFont val="Tahoma"/>
            <family val="2"/>
          </rPr>
          <t>)</t>
        </r>
      </text>
    </comment>
    <comment ref="N32" authorId="0" shapeId="0" xr:uid="{00000000-0006-0000-0C00-000050000000}">
      <text>
        <r>
          <rPr>
            <b/>
            <sz val="9"/>
            <color indexed="81"/>
            <rFont val="細明體"/>
            <family val="3"/>
            <charset val="136"/>
          </rPr>
          <t>前</t>
        </r>
        <r>
          <rPr>
            <b/>
            <sz val="9"/>
            <color indexed="81"/>
            <rFont val="Tahoma"/>
            <family val="2"/>
          </rPr>
          <t xml:space="preserve">: </t>
        </r>
        <r>
          <rPr>
            <sz val="9"/>
            <color indexed="81"/>
            <rFont val="Tahoma"/>
            <family val="2"/>
          </rPr>
          <t>June 23</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July 30
(For selected candidates)
</t>
        </r>
      </text>
    </comment>
    <comment ref="S32" authorId="1" shapeId="0" xr:uid="{00000000-0006-0000-0C00-000051000000}">
      <text>
        <r>
          <rPr>
            <b/>
            <sz val="9"/>
            <color indexed="81"/>
            <rFont val="細明體"/>
            <family val="3"/>
            <charset val="136"/>
          </rPr>
          <t>以下一科</t>
        </r>
        <r>
          <rPr>
            <b/>
            <sz val="9"/>
            <color indexed="81"/>
            <rFont val="Tahoma"/>
            <family val="2"/>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組合科學</t>
        </r>
      </text>
    </comment>
    <comment ref="E33" authorId="1" shapeId="0" xr:uid="{00000000-0006-0000-0C00-000052000000}">
      <text>
        <r>
          <rPr>
            <b/>
            <sz val="9"/>
            <color indexed="81"/>
            <rFont val="Tahoma"/>
            <family val="2"/>
          </rPr>
          <t>2021</t>
        </r>
        <r>
          <rPr>
            <b/>
            <sz val="9"/>
            <color indexed="81"/>
            <rFont val="細明體"/>
            <family val="3"/>
            <charset val="136"/>
          </rPr>
          <t>年新科目</t>
        </r>
        <r>
          <rPr>
            <sz val="9"/>
            <color indexed="81"/>
            <rFont val="Tahoma"/>
            <family val="2"/>
          </rPr>
          <t xml:space="preserve">
</t>
        </r>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Tahoma"/>
            <family val="2"/>
          </rPr>
          <t>M1/2</t>
        </r>
        <r>
          <rPr>
            <sz val="9"/>
            <color indexed="81"/>
            <rFont val="細明體"/>
            <family val="3"/>
            <charset val="136"/>
          </rPr>
          <t>、及最佳兩科</t>
        </r>
        <r>
          <rPr>
            <b/>
            <sz val="9"/>
            <color indexed="81"/>
            <rFont val="細明體"/>
            <family val="3"/>
            <charset val="136"/>
          </rPr>
          <t>理科</t>
        </r>
        <r>
          <rPr>
            <sz val="9"/>
            <color indexed="81"/>
            <rFont val="Tahoma"/>
            <family val="2"/>
          </rPr>
          <t>*</t>
        </r>
        <r>
          <rPr>
            <b/>
            <sz val="9"/>
            <color indexed="81"/>
            <rFont val="Tahoma"/>
            <family val="2"/>
          </rPr>
          <t xml:space="preserve">
x2: </t>
        </r>
        <r>
          <rPr>
            <sz val="9"/>
            <color indexed="81"/>
            <rFont val="細明體"/>
            <family val="3"/>
            <charset val="136"/>
          </rPr>
          <t>英文、數學、</t>
        </r>
        <r>
          <rPr>
            <sz val="9"/>
            <color indexed="81"/>
            <rFont val="Tahoma"/>
            <family val="2"/>
          </rPr>
          <t>M1/2</t>
        </r>
        <r>
          <rPr>
            <sz val="9"/>
            <color indexed="81"/>
            <rFont val="細明體"/>
            <family val="3"/>
            <charset val="136"/>
          </rPr>
          <t>、生物、化學、物理</t>
        </r>
        <r>
          <rPr>
            <b/>
            <sz val="9"/>
            <color indexed="81"/>
            <rFont val="Tahoma"/>
            <family val="2"/>
          </rPr>
          <t xml:space="preserve">
x1.25: </t>
        </r>
        <r>
          <rPr>
            <sz val="9"/>
            <color indexed="81"/>
            <rFont val="細明體"/>
            <family val="3"/>
            <charset val="136"/>
          </rPr>
          <t>其他選修科目</t>
        </r>
        <r>
          <rPr>
            <b/>
            <sz val="9"/>
            <color indexed="81"/>
            <rFont val="Tahoma"/>
            <family val="2"/>
          </rPr>
          <t xml:space="preserve">
*</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t>
        </r>
      </text>
    </comment>
    <comment ref="N33" authorId="0" shapeId="0" xr:uid="{00000000-0006-0000-0C00-000053000000}">
      <text>
        <r>
          <rPr>
            <b/>
            <sz val="9"/>
            <color indexed="81"/>
            <rFont val="細明體"/>
            <family val="3"/>
            <charset val="136"/>
          </rPr>
          <t>前</t>
        </r>
        <r>
          <rPr>
            <b/>
            <sz val="9"/>
            <color indexed="81"/>
            <rFont val="Tahoma"/>
            <family val="2"/>
          </rPr>
          <t>:</t>
        </r>
        <r>
          <rPr>
            <sz val="9"/>
            <color indexed="81"/>
            <rFont val="Tahoma"/>
            <family val="2"/>
          </rPr>
          <t xml:space="preserve"> 
1st Round: Jan 13 to 15, 2021 (Updated)
2nd Round: June, 2021
</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t>
        </r>
      </text>
    </comment>
    <comment ref="P33" authorId="1" shapeId="0" xr:uid="{00000000-0006-0000-0C00-000054000000}">
      <text>
        <r>
          <rPr>
            <b/>
            <sz val="9"/>
            <color indexed="81"/>
            <rFont val="細明體"/>
            <family val="3"/>
            <charset val="136"/>
          </rPr>
          <t>英文科考獲</t>
        </r>
        <r>
          <rPr>
            <b/>
            <sz val="9"/>
            <color indexed="81"/>
            <rFont val="Tahoma"/>
            <family val="2"/>
          </rPr>
          <t xml:space="preserve"> Lv.4</t>
        </r>
        <r>
          <rPr>
            <sz val="9"/>
            <color indexed="81"/>
            <rFont val="Tahoma"/>
            <family val="2"/>
          </rPr>
          <t xml:space="preserve"> </t>
        </r>
        <r>
          <rPr>
            <sz val="9"/>
            <color indexed="81"/>
            <rFont val="細明體"/>
            <family val="3"/>
            <charset val="136"/>
          </rPr>
          <t>及</t>
        </r>
        <r>
          <rPr>
            <sz val="9"/>
            <color indexed="81"/>
            <rFont val="Tahoma"/>
            <family val="2"/>
          </rPr>
          <t xml:space="preserve"> </t>
        </r>
        <r>
          <rPr>
            <sz val="9"/>
            <color indexed="81"/>
            <rFont val="細明體"/>
            <family val="3"/>
            <charset val="136"/>
          </rPr>
          <t>其他科目考獲優異成績的考生，將會按個別情況考慮。</t>
        </r>
      </text>
    </comment>
    <comment ref="S33" authorId="1" shapeId="0" xr:uid="{00000000-0006-0000-0C00-000055000000}">
      <text>
        <r>
          <rPr>
            <b/>
            <sz val="9"/>
            <color indexed="81"/>
            <rFont val="細明體"/>
            <family val="3"/>
            <charset val="136"/>
          </rPr>
          <t>以下兩科</t>
        </r>
        <r>
          <rPr>
            <b/>
            <sz val="9"/>
            <color indexed="81"/>
            <rFont val="Tahoma"/>
            <family val="2"/>
          </rPr>
          <t>:</t>
        </r>
        <r>
          <rPr>
            <sz val="9"/>
            <color indexed="81"/>
            <rFont val="Tahoma"/>
            <family val="2"/>
          </rPr>
          <t xml:space="preserve">
- </t>
        </r>
        <r>
          <rPr>
            <sz val="9"/>
            <color indexed="81"/>
            <rFont val="細明體"/>
            <family val="3"/>
            <charset val="136"/>
          </rPr>
          <t>生物</t>
        </r>
        <r>
          <rPr>
            <sz val="9"/>
            <color indexed="81"/>
            <rFont val="Tahoma"/>
            <family val="2"/>
          </rPr>
          <t xml:space="preserve">
-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組合科學</t>
        </r>
      </text>
    </comment>
    <comment ref="T33" authorId="1" shapeId="0" xr:uid="{00000000-0006-0000-0C00-000056000000}">
      <text>
        <r>
          <rPr>
            <b/>
            <sz val="9"/>
            <color indexed="81"/>
            <rFont val="Tahoma"/>
            <family val="2"/>
          </rPr>
          <t xml:space="preserve">M1/2 </t>
        </r>
        <r>
          <rPr>
            <sz val="9"/>
            <color indexed="81"/>
            <rFont val="細明體"/>
            <family val="3"/>
            <charset val="136"/>
          </rPr>
          <t>必須考獲</t>
        </r>
        <r>
          <rPr>
            <b/>
            <sz val="9"/>
            <color indexed="81"/>
            <rFont val="Tahoma"/>
            <family val="2"/>
          </rPr>
          <t xml:space="preserve"> Lv.4</t>
        </r>
        <r>
          <rPr>
            <b/>
            <sz val="9"/>
            <color indexed="81"/>
            <rFont val="細明體"/>
            <family val="3"/>
            <charset val="136"/>
          </rPr>
          <t>或以上</t>
        </r>
      </text>
    </comment>
    <comment ref="E34" authorId="1" shapeId="0" xr:uid="{00000000-0006-0000-0C00-000057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Tahoma"/>
            <family val="2"/>
          </rPr>
          <t>M1/2</t>
        </r>
        <r>
          <rPr>
            <sz val="9"/>
            <color indexed="81"/>
            <rFont val="細明體"/>
            <family val="3"/>
            <charset val="136"/>
          </rPr>
          <t xml:space="preserve">
</t>
        </r>
        <r>
          <rPr>
            <b/>
            <sz val="9"/>
            <color indexed="81"/>
            <rFont val="細明體"/>
            <family val="3"/>
            <charset val="136"/>
          </rPr>
          <t xml:space="preserve">
</t>
        </r>
        <r>
          <rPr>
            <b/>
            <sz val="9"/>
            <color indexed="81"/>
            <rFont val="Tahoma"/>
            <family val="2"/>
          </rPr>
          <t xml:space="preserve">x2: </t>
        </r>
        <r>
          <rPr>
            <sz val="9"/>
            <color indexed="81"/>
            <rFont val="細明體"/>
            <family val="3"/>
            <charset val="136"/>
          </rPr>
          <t>英文、數學、</t>
        </r>
        <r>
          <rPr>
            <sz val="9"/>
            <color indexed="81"/>
            <rFont val="Tahoma"/>
            <family val="2"/>
          </rPr>
          <t>M1/2</t>
        </r>
      </text>
    </comment>
    <comment ref="M34" authorId="1" shapeId="0" xr:uid="{00000000-0006-0000-0C00-000058000000}">
      <text>
        <r>
          <rPr>
            <sz val="9"/>
            <color indexed="81"/>
            <rFont val="細明體"/>
            <family val="3"/>
            <charset val="136"/>
          </rPr>
          <t>以</t>
        </r>
        <r>
          <rPr>
            <b/>
            <sz val="9"/>
            <color indexed="81"/>
            <rFont val="Tahoma"/>
            <family val="2"/>
          </rPr>
          <t>2019</t>
        </r>
        <r>
          <rPr>
            <b/>
            <sz val="9"/>
            <color indexed="81"/>
            <rFont val="細明體"/>
            <family val="3"/>
            <charset val="136"/>
          </rPr>
          <t>年或之前</t>
        </r>
        <r>
          <rPr>
            <sz val="9"/>
            <color indexed="81"/>
            <rFont val="細明體"/>
            <family val="3"/>
            <charset val="136"/>
          </rPr>
          <t>成績報考的重考扣分將會以個別情況考慮</t>
        </r>
      </text>
    </comment>
    <comment ref="N34" authorId="0" shapeId="0" xr:uid="{00000000-0006-0000-0C00-000059000000}">
      <text>
        <r>
          <rPr>
            <b/>
            <sz val="9"/>
            <color indexed="81"/>
            <rFont val="細明體"/>
            <family val="3"/>
            <charset val="136"/>
          </rPr>
          <t>前</t>
        </r>
        <r>
          <rPr>
            <b/>
            <sz val="9"/>
            <color indexed="81"/>
            <rFont val="Tahoma"/>
            <family val="2"/>
          </rPr>
          <t>:</t>
        </r>
        <r>
          <rPr>
            <sz val="9"/>
            <color indexed="81"/>
            <rFont val="Tahoma"/>
            <family val="2"/>
          </rPr>
          <t xml:space="preserve"> June </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t>
        </r>
      </text>
    </comment>
    <comment ref="T34" authorId="0" shapeId="0" xr:uid="{00000000-0006-0000-0C00-00005A000000}">
      <text>
        <r>
          <rPr>
            <sz val="9"/>
            <color indexed="81"/>
            <rFont val="細明體"/>
            <family val="3"/>
            <charset val="136"/>
          </rPr>
          <t>必須修讀</t>
        </r>
        <r>
          <rPr>
            <b/>
            <sz val="9"/>
            <color indexed="81"/>
            <rFont val="Tahoma"/>
            <family val="2"/>
          </rPr>
          <t>M1/2</t>
        </r>
      </text>
    </comment>
    <comment ref="E35" authorId="0" shapeId="0" xr:uid="{00000000-0006-0000-0C00-00005B000000}">
      <text>
        <r>
          <rPr>
            <sz val="9"/>
            <color indexed="81"/>
            <rFont val="細明體"/>
            <family val="3"/>
            <charset val="136"/>
          </rPr>
          <t>最佳</t>
        </r>
        <r>
          <rPr>
            <sz val="9"/>
            <color indexed="81"/>
            <rFont val="Tahoma"/>
            <family val="2"/>
          </rPr>
          <t>5</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細明體"/>
            <family val="3"/>
            <charset val="136"/>
          </rPr>
          <t>最佳理科</t>
        </r>
        <r>
          <rPr>
            <sz val="9"/>
            <color indexed="81"/>
            <rFont val="Tahoma"/>
            <family val="2"/>
          </rPr>
          <t>*
M1/2</t>
        </r>
        <r>
          <rPr>
            <sz val="9"/>
            <color indexed="81"/>
            <rFont val="細明體"/>
            <family val="3"/>
            <charset val="136"/>
          </rPr>
          <t xml:space="preserve">可被當作一科選修
</t>
        </r>
        <r>
          <rPr>
            <b/>
            <sz val="9"/>
            <color indexed="81"/>
            <rFont val="Tahoma"/>
            <family val="2"/>
          </rPr>
          <t xml:space="preserve">x2: </t>
        </r>
        <r>
          <rPr>
            <sz val="9"/>
            <color indexed="81"/>
            <rFont val="細明體"/>
            <family val="3"/>
            <charset val="136"/>
          </rPr>
          <t>數學、</t>
        </r>
        <r>
          <rPr>
            <sz val="9"/>
            <color indexed="81"/>
            <rFont val="Tahoma"/>
            <family val="2"/>
          </rPr>
          <t>M1/2</t>
        </r>
        <r>
          <rPr>
            <sz val="9"/>
            <color indexed="81"/>
            <rFont val="細明體"/>
            <family val="3"/>
            <charset val="136"/>
          </rPr>
          <t>、</t>
        </r>
        <r>
          <rPr>
            <sz val="9"/>
            <color indexed="81"/>
            <rFont val="Tahoma"/>
            <family val="2"/>
          </rPr>
          <t xml:space="preserve"> </t>
        </r>
        <r>
          <rPr>
            <sz val="9"/>
            <color indexed="81"/>
            <rFont val="細明體"/>
            <family val="3"/>
            <charset val="136"/>
          </rPr>
          <t xml:space="preserve">生物、化學、物理、組合科學、綜合科學
</t>
        </r>
        <r>
          <rPr>
            <b/>
            <sz val="9"/>
            <color indexed="81"/>
            <rFont val="Tahoma"/>
            <family val="2"/>
          </rPr>
          <t>x1.5:</t>
        </r>
        <r>
          <rPr>
            <sz val="9"/>
            <color indexed="81"/>
            <rFont val="Tahoma"/>
            <family val="2"/>
          </rPr>
          <t xml:space="preserve"> </t>
        </r>
        <r>
          <rPr>
            <sz val="9"/>
            <color indexed="81"/>
            <rFont val="細明體"/>
            <family val="3"/>
            <charset val="136"/>
          </rPr>
          <t xml:space="preserve">英文
</t>
        </r>
        <r>
          <rPr>
            <b/>
            <sz val="9"/>
            <color indexed="81"/>
            <rFont val="Tahoma"/>
            <family val="2"/>
          </rPr>
          <t xml:space="preserve">x1.25: </t>
        </r>
        <r>
          <rPr>
            <sz val="9"/>
            <color indexed="81"/>
            <rFont val="細明體"/>
            <family val="3"/>
            <charset val="136"/>
          </rPr>
          <t>非理科選修科</t>
        </r>
        <r>
          <rPr>
            <sz val="9"/>
            <color indexed="81"/>
            <rFont val="細明體"/>
            <family val="3"/>
            <charset val="136"/>
          </rPr>
          <t xml:space="preserve">
</t>
        </r>
        <r>
          <rPr>
            <b/>
            <sz val="9"/>
            <color indexed="81"/>
            <rFont val="Tahoma"/>
            <family val="2"/>
          </rPr>
          <t>*</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生物、化學、物理、組合科學、綜合科學</t>
        </r>
      </text>
    </comment>
    <comment ref="S35" authorId="0" shapeId="0" xr:uid="{00000000-0006-0000-0C00-00005C000000}">
      <text>
        <r>
          <rPr>
            <b/>
            <sz val="9"/>
            <color indexed="81"/>
            <rFont val="細明體"/>
            <family val="3"/>
            <charset val="136"/>
          </rPr>
          <t>以下一科</t>
        </r>
        <r>
          <rPr>
            <b/>
            <sz val="9"/>
            <color indexed="81"/>
            <rFont val="Tahoma"/>
            <family val="2"/>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E36" authorId="0" shapeId="0" xr:uid="{00000000-0006-0000-0C00-00005D000000}">
      <text>
        <r>
          <rPr>
            <sz val="9"/>
            <color indexed="81"/>
            <rFont val="細明體"/>
            <family val="3"/>
            <charset val="136"/>
          </rPr>
          <t>將考慮甲類及丙類科目，但</t>
        </r>
        <r>
          <rPr>
            <b/>
            <sz val="9"/>
            <color indexed="81"/>
            <rFont val="細明體"/>
            <family val="3"/>
            <charset val="136"/>
          </rPr>
          <t>不包括M1/2</t>
        </r>
      </text>
    </comment>
    <comment ref="E37" authorId="0" shapeId="0" xr:uid="{00000000-0006-0000-0C00-00005E000000}">
      <text>
        <r>
          <rPr>
            <sz val="9"/>
            <color indexed="81"/>
            <rFont val="細明體"/>
            <family val="3"/>
            <charset val="136"/>
          </rPr>
          <t>將考慮甲類及丙類科目，但</t>
        </r>
        <r>
          <rPr>
            <b/>
            <sz val="9"/>
            <color indexed="81"/>
            <rFont val="細明體"/>
            <family val="3"/>
            <charset val="136"/>
          </rPr>
          <t>不包括M1/2</t>
        </r>
      </text>
    </comment>
    <comment ref="N37" authorId="0" shapeId="0" xr:uid="{00000000-0006-0000-0C00-00005F000000}">
      <text>
        <r>
          <rPr>
            <b/>
            <sz val="9"/>
            <color indexed="81"/>
            <rFont val="細明體"/>
            <family val="3"/>
            <charset val="136"/>
          </rPr>
          <t>前</t>
        </r>
        <r>
          <rPr>
            <b/>
            <sz val="9"/>
            <color indexed="81"/>
            <rFont val="Tahoma"/>
            <family val="2"/>
          </rPr>
          <t xml:space="preserve">: </t>
        </r>
        <r>
          <rPr>
            <sz val="9"/>
            <color indexed="81"/>
            <rFont val="Tahoma"/>
            <family val="2"/>
          </rPr>
          <t>June 14 to 18</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July 26 to 30
(For selected candidates)</t>
        </r>
      </text>
    </comment>
    <comment ref="E39" authorId="0" shapeId="0" xr:uid="{00000000-0006-0000-0C00-000060000000}">
      <text>
        <r>
          <rPr>
            <sz val="9"/>
            <color indexed="81"/>
            <rFont val="細明體"/>
            <family val="3"/>
            <charset val="136"/>
          </rPr>
          <t>將考慮甲類及丙類科目，但</t>
        </r>
        <r>
          <rPr>
            <b/>
            <sz val="9"/>
            <color indexed="81"/>
            <rFont val="細明體"/>
            <family val="3"/>
            <charset val="136"/>
          </rPr>
          <t>不包括M1/2</t>
        </r>
      </text>
    </comment>
    <comment ref="N39" authorId="0" shapeId="0" xr:uid="{00000000-0006-0000-0C00-000061000000}">
      <text>
        <r>
          <rPr>
            <b/>
            <sz val="9"/>
            <color indexed="81"/>
            <rFont val="細明體"/>
            <family val="3"/>
            <charset val="136"/>
          </rPr>
          <t>前</t>
        </r>
        <r>
          <rPr>
            <b/>
            <sz val="9"/>
            <color indexed="81"/>
            <rFont val="Tahoma"/>
            <family val="2"/>
          </rPr>
          <t>:</t>
        </r>
        <r>
          <rPr>
            <sz val="9"/>
            <color indexed="81"/>
            <rFont val="Tahoma"/>
            <family val="2"/>
          </rPr>
          <t xml:space="preserve"> June 9 to 11</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t>
        </r>
      </text>
    </comment>
    <comment ref="E40" authorId="0" shapeId="0" xr:uid="{00000000-0006-0000-0C00-000062000000}">
      <text>
        <r>
          <rPr>
            <sz val="9"/>
            <color indexed="81"/>
            <rFont val="細明體"/>
            <family val="3"/>
            <charset val="136"/>
          </rPr>
          <t>將考慮甲類及丙類科目，但</t>
        </r>
        <r>
          <rPr>
            <b/>
            <sz val="9"/>
            <color indexed="81"/>
            <rFont val="細明體"/>
            <family val="3"/>
            <charset val="136"/>
          </rPr>
          <t>不包括M1/2</t>
        </r>
      </text>
    </comment>
    <comment ref="N40" authorId="0" shapeId="0" xr:uid="{00000000-0006-0000-0C00-000063000000}">
      <text>
        <r>
          <rPr>
            <b/>
            <sz val="9"/>
            <color indexed="81"/>
            <rFont val="細明體"/>
            <family val="3"/>
            <charset val="136"/>
          </rPr>
          <t>前</t>
        </r>
        <r>
          <rPr>
            <b/>
            <sz val="9"/>
            <color indexed="81"/>
            <rFont val="Tahoma"/>
            <family val="2"/>
          </rPr>
          <t>:</t>
        </r>
        <r>
          <rPr>
            <sz val="9"/>
            <color indexed="81"/>
            <rFont val="Tahoma"/>
            <family val="2"/>
          </rPr>
          <t xml:space="preserve"> June 14 to 18</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
</t>
        </r>
      </text>
    </comment>
    <comment ref="P40" authorId="1" shapeId="0" xr:uid="{00000000-0006-0000-0C00-000064000000}">
      <text>
        <r>
          <rPr>
            <b/>
            <sz val="9"/>
            <color indexed="81"/>
            <rFont val="細明體"/>
            <family val="3"/>
            <charset val="136"/>
          </rPr>
          <t>英文科考獲</t>
        </r>
        <r>
          <rPr>
            <b/>
            <sz val="9"/>
            <color indexed="81"/>
            <rFont val="Tahoma"/>
            <family val="2"/>
          </rPr>
          <t xml:space="preserve"> Lv.4</t>
        </r>
        <r>
          <rPr>
            <sz val="9"/>
            <color indexed="81"/>
            <rFont val="Tahoma"/>
            <family val="2"/>
          </rPr>
          <t xml:space="preserve"> </t>
        </r>
        <r>
          <rPr>
            <sz val="9"/>
            <color indexed="81"/>
            <rFont val="細明體"/>
            <family val="3"/>
            <charset val="136"/>
          </rPr>
          <t>及</t>
        </r>
        <r>
          <rPr>
            <sz val="9"/>
            <color indexed="81"/>
            <rFont val="Tahoma"/>
            <family val="2"/>
          </rPr>
          <t xml:space="preserve"> </t>
        </r>
        <r>
          <rPr>
            <sz val="9"/>
            <color indexed="81"/>
            <rFont val="細明體"/>
            <family val="3"/>
            <charset val="136"/>
          </rPr>
          <t>其他科目考獲優異成績的考生，將會按個別情況考慮。</t>
        </r>
      </text>
    </comment>
    <comment ref="T40" authorId="0" shapeId="0" xr:uid="{00000000-0006-0000-0C00-000065000000}">
      <text>
        <r>
          <rPr>
            <sz val="9"/>
            <color indexed="81"/>
            <rFont val="細明體"/>
            <family val="3"/>
            <charset val="136"/>
          </rPr>
          <t>優先考慮</t>
        </r>
        <r>
          <rPr>
            <sz val="9"/>
            <color indexed="81"/>
            <rFont val="Tahoma"/>
            <family val="2"/>
          </rPr>
          <t xml:space="preserve"> </t>
        </r>
        <r>
          <rPr>
            <b/>
            <sz val="9"/>
            <color indexed="81"/>
            <rFont val="Tahoma"/>
            <family val="2"/>
          </rPr>
          <t xml:space="preserve">M1/2 </t>
        </r>
        <r>
          <rPr>
            <b/>
            <sz val="9"/>
            <color indexed="81"/>
            <rFont val="細明體"/>
            <family val="3"/>
            <charset val="136"/>
          </rPr>
          <t>考獲</t>
        </r>
        <r>
          <rPr>
            <b/>
            <sz val="9"/>
            <color indexed="81"/>
            <rFont val="Tahoma"/>
            <family val="2"/>
          </rPr>
          <t xml:space="preserve"> Lv.3</t>
        </r>
        <r>
          <rPr>
            <sz val="9"/>
            <color indexed="81"/>
            <rFont val="細明體"/>
            <family val="3"/>
            <charset val="136"/>
          </rPr>
          <t>或以上者</t>
        </r>
        <r>
          <rPr>
            <sz val="9"/>
            <color indexed="81"/>
            <rFont val="Tahoma"/>
            <family val="2"/>
          </rPr>
          <t xml:space="preserve"> (</t>
        </r>
        <r>
          <rPr>
            <sz val="9"/>
            <color indexed="81"/>
            <rFont val="細明體"/>
            <family val="3"/>
            <charset val="136"/>
          </rPr>
          <t>非必須</t>
        </r>
        <r>
          <rPr>
            <sz val="9"/>
            <color indexed="81"/>
            <rFont val="Tahoma"/>
            <family val="2"/>
          </rPr>
          <t>)</t>
        </r>
      </text>
    </comment>
    <comment ref="E41" authorId="0" shapeId="0" xr:uid="{00000000-0006-0000-0C00-000066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數學</t>
        </r>
        <r>
          <rPr>
            <sz val="9"/>
            <color indexed="81"/>
            <rFont val="細明體"/>
            <family val="3"/>
            <charset val="136"/>
          </rPr>
          <t>、</t>
        </r>
        <r>
          <rPr>
            <b/>
            <sz val="9"/>
            <color indexed="81"/>
            <rFont val="Tahoma"/>
            <family val="2"/>
          </rPr>
          <t>M1/2</t>
        </r>
        <r>
          <rPr>
            <sz val="9"/>
            <color indexed="81"/>
            <rFont val="Tahoma"/>
            <family val="2"/>
          </rPr>
          <t xml:space="preserve">
</t>
        </r>
        <r>
          <rPr>
            <b/>
            <sz val="9"/>
            <color indexed="81"/>
            <rFont val="Tahoma"/>
            <family val="2"/>
          </rPr>
          <t xml:space="preserve">x2: </t>
        </r>
        <r>
          <rPr>
            <sz val="9"/>
            <color indexed="81"/>
            <rFont val="細明體"/>
            <family val="3"/>
            <charset val="136"/>
          </rPr>
          <t>英文、數學、</t>
        </r>
        <r>
          <rPr>
            <sz val="9"/>
            <color indexed="81"/>
            <rFont val="Tahoma"/>
            <family val="2"/>
          </rPr>
          <t>M1/2</t>
        </r>
        <r>
          <rPr>
            <sz val="9"/>
            <color indexed="81"/>
            <rFont val="細明體"/>
            <family val="3"/>
            <charset val="136"/>
          </rPr>
          <t xml:space="preserve">
</t>
        </r>
        <r>
          <rPr>
            <b/>
            <sz val="9"/>
            <color indexed="81"/>
            <rFont val="Tahoma"/>
            <family val="2"/>
          </rPr>
          <t>x1.5:</t>
        </r>
        <r>
          <rPr>
            <sz val="9"/>
            <color indexed="81"/>
            <rFont val="Tahoma"/>
            <family val="2"/>
          </rPr>
          <t xml:space="preserve"> </t>
        </r>
        <r>
          <rPr>
            <sz val="9"/>
            <color indexed="81"/>
            <rFont val="細明體"/>
            <family val="3"/>
            <charset val="136"/>
          </rPr>
          <t>生物、化學、物理、組合科學、綜合科學、</t>
        </r>
        <r>
          <rPr>
            <sz val="9"/>
            <color indexed="81"/>
            <rFont val="Tahoma"/>
            <family val="2"/>
          </rPr>
          <t xml:space="preserve">ICT
</t>
        </r>
      </text>
    </comment>
    <comment ref="M41" authorId="1" shapeId="0" xr:uid="{00000000-0006-0000-0C00-000067000000}">
      <text>
        <r>
          <rPr>
            <sz val="9"/>
            <color indexed="81"/>
            <rFont val="細明體"/>
            <family val="3"/>
            <charset val="136"/>
          </rPr>
          <t>以</t>
        </r>
        <r>
          <rPr>
            <b/>
            <sz val="9"/>
            <color indexed="81"/>
            <rFont val="Tahoma"/>
            <family val="2"/>
          </rPr>
          <t>2019</t>
        </r>
        <r>
          <rPr>
            <b/>
            <sz val="9"/>
            <color indexed="81"/>
            <rFont val="細明體"/>
            <family val="3"/>
            <charset val="136"/>
          </rPr>
          <t>年或之前</t>
        </r>
        <r>
          <rPr>
            <sz val="9"/>
            <color indexed="81"/>
            <rFont val="細明體"/>
            <family val="3"/>
            <charset val="136"/>
          </rPr>
          <t>成績報考的重考扣分將會以個別情況考慮。</t>
        </r>
      </text>
    </comment>
    <comment ref="N41" authorId="0" shapeId="0" xr:uid="{00000000-0006-0000-0C00-000068000000}">
      <text>
        <r>
          <rPr>
            <b/>
            <sz val="9"/>
            <color indexed="81"/>
            <rFont val="細明體"/>
            <family val="3"/>
            <charset val="136"/>
          </rPr>
          <t>前</t>
        </r>
        <r>
          <rPr>
            <b/>
            <sz val="9"/>
            <color indexed="81"/>
            <rFont val="Tahoma"/>
            <family val="2"/>
          </rPr>
          <t>:</t>
        </r>
        <r>
          <rPr>
            <sz val="9"/>
            <color indexed="81"/>
            <rFont val="Tahoma"/>
            <family val="2"/>
          </rPr>
          <t xml:space="preserve">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
</t>
        </r>
      </text>
    </comment>
    <comment ref="P41" authorId="1" shapeId="0" xr:uid="{00000000-0006-0000-0C00-000069000000}">
      <text>
        <r>
          <rPr>
            <b/>
            <sz val="9"/>
            <color indexed="81"/>
            <rFont val="細明體"/>
            <family val="3"/>
            <charset val="136"/>
          </rPr>
          <t>英文科考獲</t>
        </r>
        <r>
          <rPr>
            <b/>
            <sz val="9"/>
            <color indexed="81"/>
            <rFont val="Tahoma"/>
            <family val="2"/>
          </rPr>
          <t xml:space="preserve"> Lv.4</t>
        </r>
        <r>
          <rPr>
            <sz val="9"/>
            <color indexed="81"/>
            <rFont val="Tahoma"/>
            <family val="2"/>
          </rPr>
          <t xml:space="preserve"> </t>
        </r>
        <r>
          <rPr>
            <sz val="9"/>
            <color indexed="81"/>
            <rFont val="細明體"/>
            <family val="3"/>
            <charset val="136"/>
          </rPr>
          <t>及</t>
        </r>
        <r>
          <rPr>
            <sz val="9"/>
            <color indexed="81"/>
            <rFont val="Tahoma"/>
            <family val="2"/>
          </rPr>
          <t xml:space="preserve"> </t>
        </r>
        <r>
          <rPr>
            <sz val="9"/>
            <color indexed="81"/>
            <rFont val="細明體"/>
            <family val="3"/>
            <charset val="136"/>
          </rPr>
          <t>其他科目考獲優異成績的考生，將會按個別情況考慮。</t>
        </r>
      </text>
    </comment>
    <comment ref="T41" authorId="0" shapeId="0" xr:uid="{00000000-0006-0000-0C00-00006A000000}">
      <text>
        <r>
          <rPr>
            <sz val="9"/>
            <color indexed="81"/>
            <rFont val="細明體"/>
            <family val="3"/>
            <charset val="136"/>
          </rPr>
          <t>必須修讀</t>
        </r>
        <r>
          <rPr>
            <b/>
            <sz val="9"/>
            <color indexed="81"/>
            <rFont val="Tahoma"/>
            <family val="2"/>
          </rPr>
          <t>M1/2</t>
        </r>
      </text>
    </comment>
    <comment ref="E42" authorId="1" shapeId="0" xr:uid="{00000000-0006-0000-0C00-00006B000000}">
      <text>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text>
    </comment>
    <comment ref="M42" authorId="1" shapeId="0" xr:uid="{00000000-0006-0000-0C00-00006C000000}">
      <text>
        <r>
          <rPr>
            <sz val="9"/>
            <color indexed="81"/>
            <rFont val="細明體"/>
            <family val="3"/>
            <charset val="136"/>
          </rPr>
          <t>申請人</t>
        </r>
        <r>
          <rPr>
            <b/>
            <sz val="9"/>
            <color indexed="81"/>
            <rFont val="細明體"/>
            <family val="3"/>
            <charset val="136"/>
          </rPr>
          <t>須</t>
        </r>
        <r>
          <rPr>
            <sz val="9"/>
            <color indexed="81"/>
            <rFont val="細明體"/>
            <family val="3"/>
            <charset val="136"/>
          </rPr>
          <t>遞交至少</t>
        </r>
        <r>
          <rPr>
            <sz val="9"/>
            <color indexed="81"/>
            <rFont val="Tahoma"/>
            <family val="2"/>
          </rPr>
          <t xml:space="preserve"> </t>
        </r>
        <r>
          <rPr>
            <sz val="9"/>
            <color indexed="81"/>
            <rFont val="細明體"/>
            <family val="3"/>
            <charset val="136"/>
          </rPr>
          <t>一份</t>
        </r>
        <r>
          <rPr>
            <sz val="9"/>
            <color indexed="81"/>
            <rFont val="Tahoma"/>
            <family val="2"/>
          </rPr>
          <t xml:space="preserve"> </t>
        </r>
        <r>
          <rPr>
            <sz val="9"/>
            <color indexed="81"/>
            <rFont val="細明體"/>
            <family val="3"/>
            <charset val="136"/>
          </rPr>
          <t>創意作品</t>
        </r>
        <r>
          <rPr>
            <sz val="9"/>
            <color indexed="81"/>
            <rFont val="Tahoma"/>
            <family val="2"/>
          </rPr>
          <t xml:space="preserve"> (</t>
        </r>
        <r>
          <rPr>
            <sz val="9"/>
            <color indexed="81"/>
            <rFont val="細明體"/>
            <family val="3"/>
            <charset val="136"/>
          </rPr>
          <t>如</t>
        </r>
        <r>
          <rPr>
            <sz val="9"/>
            <color indexed="81"/>
            <rFont val="Tahoma"/>
            <family val="2"/>
          </rPr>
          <t xml:space="preserve"> </t>
        </r>
        <r>
          <rPr>
            <sz val="9"/>
            <color indexed="81"/>
            <rFont val="細明體"/>
            <family val="3"/>
            <charset val="136"/>
          </rPr>
          <t>畫作、寫作</t>
        </r>
        <r>
          <rPr>
            <sz val="9"/>
            <color indexed="81"/>
            <rFont val="Tahoma"/>
            <family val="2"/>
          </rPr>
          <t xml:space="preserve"> </t>
        </r>
        <r>
          <rPr>
            <sz val="9"/>
            <color indexed="81"/>
            <rFont val="細明體"/>
            <family val="3"/>
            <charset val="136"/>
          </rPr>
          <t>或</t>
        </r>
        <r>
          <rPr>
            <sz val="9"/>
            <color indexed="81"/>
            <rFont val="Tahoma"/>
            <family val="2"/>
          </rPr>
          <t xml:space="preserve"> </t>
        </r>
        <r>
          <rPr>
            <sz val="9"/>
            <color indexed="81"/>
            <rFont val="細明體"/>
            <family val="3"/>
            <charset val="136"/>
          </rPr>
          <t>任何創作</t>
        </r>
        <r>
          <rPr>
            <sz val="9"/>
            <color indexed="81"/>
            <rFont val="Tahoma"/>
            <family val="2"/>
          </rPr>
          <t xml:space="preserve">) </t>
        </r>
        <r>
          <rPr>
            <sz val="9"/>
            <color indexed="81"/>
            <rFont val="細明體"/>
            <family val="3"/>
            <charset val="136"/>
          </rPr>
          <t xml:space="preserve">供學系作考慮。
作品集應直接以電子版方式向學系遞交。
</t>
        </r>
        <r>
          <rPr>
            <sz val="9"/>
            <color indexed="81"/>
            <rFont val="Tahoma"/>
            <family val="2"/>
          </rPr>
          <t xml:space="preserve">
</t>
        </r>
        <r>
          <rPr>
            <sz val="9"/>
            <color indexed="81"/>
            <rFont val="細明體"/>
            <family val="3"/>
            <charset val="136"/>
          </rPr>
          <t>如果申請人想遞交推薦信</t>
        </r>
        <r>
          <rPr>
            <sz val="9"/>
            <color indexed="81"/>
            <rFont val="Tahoma"/>
            <family val="2"/>
          </rPr>
          <t>(</t>
        </r>
        <r>
          <rPr>
            <sz val="9"/>
            <color indexed="81"/>
            <rFont val="細明體"/>
            <family val="3"/>
            <charset val="136"/>
          </rPr>
          <t>非必須</t>
        </r>
        <r>
          <rPr>
            <sz val="9"/>
            <color indexed="81"/>
            <rFont val="Tahoma"/>
            <family val="2"/>
          </rPr>
          <t>)</t>
        </r>
        <r>
          <rPr>
            <sz val="9"/>
            <color indexed="81"/>
            <rFont val="細明體"/>
            <family val="3"/>
            <charset val="136"/>
          </rPr>
          <t>，申請人只可遞交不多於三封信，紙本及電子版均可接受。</t>
        </r>
      </text>
    </comment>
    <comment ref="N42" authorId="0" shapeId="0" xr:uid="{00000000-0006-0000-0C00-00006D000000}">
      <text>
        <r>
          <rPr>
            <b/>
            <sz val="9"/>
            <color indexed="81"/>
            <rFont val="細明體"/>
            <family val="3"/>
            <charset val="136"/>
          </rPr>
          <t>前</t>
        </r>
        <r>
          <rPr>
            <b/>
            <sz val="9"/>
            <color indexed="81"/>
            <rFont val="Tahoma"/>
            <family val="2"/>
          </rPr>
          <t>:</t>
        </r>
        <r>
          <rPr>
            <sz val="9"/>
            <color indexed="81"/>
            <rFont val="Tahoma"/>
            <family val="2"/>
          </rPr>
          <t xml:space="preserve"> Late May to June</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Late July to Early August
(For selected candidates)</t>
        </r>
      </text>
    </comment>
    <comment ref="P42" authorId="1" shapeId="0" xr:uid="{00000000-0006-0000-0C00-00006E000000}">
      <text>
        <r>
          <rPr>
            <b/>
            <sz val="9"/>
            <color indexed="81"/>
            <rFont val="細明體"/>
            <family val="3"/>
            <charset val="136"/>
          </rPr>
          <t>英文科考獲</t>
        </r>
        <r>
          <rPr>
            <b/>
            <sz val="9"/>
            <color indexed="81"/>
            <rFont val="Tahoma"/>
            <family val="2"/>
          </rPr>
          <t xml:space="preserve"> Lv.4</t>
        </r>
        <r>
          <rPr>
            <sz val="9"/>
            <color indexed="81"/>
            <rFont val="Tahoma"/>
            <family val="2"/>
          </rPr>
          <t xml:space="preserve"> </t>
        </r>
        <r>
          <rPr>
            <sz val="9"/>
            <color indexed="81"/>
            <rFont val="細明體"/>
            <family val="3"/>
            <charset val="136"/>
          </rPr>
          <t>及</t>
        </r>
        <r>
          <rPr>
            <sz val="9"/>
            <color indexed="81"/>
            <rFont val="Tahoma"/>
            <family val="2"/>
          </rPr>
          <t xml:space="preserve"> </t>
        </r>
        <r>
          <rPr>
            <sz val="9"/>
            <color indexed="81"/>
            <rFont val="細明體"/>
            <family val="3"/>
            <charset val="136"/>
          </rPr>
          <t>其他科目考獲優異成績的考生，將會按個別情況考慮。</t>
        </r>
      </text>
    </comment>
    <comment ref="E43" authorId="0" shapeId="0" xr:uid="{00000000-0006-0000-0C00-00006F000000}">
      <text>
        <r>
          <rPr>
            <sz val="9"/>
            <color indexed="81"/>
            <rFont val="細明體"/>
            <family val="3"/>
            <charset val="136"/>
          </rPr>
          <t>最佳</t>
        </r>
        <r>
          <rPr>
            <sz val="9"/>
            <color indexed="81"/>
            <rFont val="Tahoma"/>
            <family val="2"/>
          </rPr>
          <t>6</t>
        </r>
        <r>
          <rPr>
            <sz val="9"/>
            <color indexed="81"/>
            <rFont val="細明體"/>
            <family val="3"/>
            <charset val="136"/>
          </rPr>
          <t>科必須包括</t>
        </r>
        <r>
          <rPr>
            <sz val="9"/>
            <color indexed="81"/>
            <rFont val="Tahoma"/>
            <family val="2"/>
          </rPr>
          <t xml:space="preserve"> </t>
        </r>
        <r>
          <rPr>
            <b/>
            <sz val="9"/>
            <color indexed="81"/>
            <rFont val="細明體"/>
            <family val="3"/>
            <charset val="136"/>
          </rPr>
          <t>英文</t>
        </r>
        <r>
          <rPr>
            <sz val="9"/>
            <color indexed="81"/>
            <rFont val="細明體"/>
            <family val="3"/>
            <charset val="136"/>
          </rPr>
          <t>、</t>
        </r>
        <r>
          <rPr>
            <b/>
            <sz val="9"/>
            <color indexed="81"/>
            <rFont val="細明體"/>
            <family val="3"/>
            <charset val="136"/>
          </rPr>
          <t xml:space="preserve">數學
</t>
        </r>
        <r>
          <rPr>
            <sz val="9"/>
            <color indexed="81"/>
            <rFont val="Tahoma"/>
            <family val="2"/>
          </rPr>
          <t xml:space="preserve">
</t>
        </r>
        <r>
          <rPr>
            <sz val="9"/>
            <color indexed="81"/>
            <rFont val="細明體"/>
            <family val="3"/>
            <charset val="136"/>
          </rPr>
          <t>將考慮甲類及丙類科目，</t>
        </r>
        <r>
          <rPr>
            <b/>
            <sz val="9"/>
            <color indexed="81"/>
            <rFont val="Tahoma"/>
            <family val="2"/>
          </rPr>
          <t>M1/2</t>
        </r>
        <r>
          <rPr>
            <sz val="9"/>
            <color indexed="81"/>
            <rFont val="細明體"/>
            <family val="3"/>
            <charset val="136"/>
          </rPr>
          <t>可被當作一科選修</t>
        </r>
      </text>
    </comment>
    <comment ref="N43" authorId="0" shapeId="0" xr:uid="{00000000-0006-0000-0C00-000070000000}">
      <text>
        <r>
          <rPr>
            <b/>
            <sz val="9"/>
            <color indexed="81"/>
            <rFont val="細明體"/>
            <family val="3"/>
            <charset val="136"/>
          </rPr>
          <t>前</t>
        </r>
        <r>
          <rPr>
            <b/>
            <sz val="9"/>
            <color indexed="81"/>
            <rFont val="Tahoma"/>
            <family val="2"/>
          </rPr>
          <t>:</t>
        </r>
        <r>
          <rPr>
            <sz val="9"/>
            <color indexed="81"/>
            <rFont val="Tahoma"/>
            <family val="2"/>
          </rPr>
          <t xml:space="preserve"> 
1st Round: Dec 28 to 30, 2020 (Updated)
2nd Round: June 15 to 17, 2021
</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To be confirmed
Selected applicants are </t>
        </r>
        <r>
          <rPr>
            <b/>
            <sz val="9"/>
            <color indexed="81"/>
            <rFont val="Tahoma"/>
            <family val="2"/>
          </rPr>
          <t>ENCOURAGED</t>
        </r>
        <r>
          <rPr>
            <sz val="9"/>
            <color indexed="81"/>
            <rFont val="Tahoma"/>
            <family val="2"/>
          </rPr>
          <t xml:space="preserve"> to attend the interview before the release of HKDSE results. Priority will be given to applicants with outstanding performance in the interview.
</t>
        </r>
      </text>
    </comment>
    <comment ref="P43" authorId="1" shapeId="0" xr:uid="{00000000-0006-0000-0C00-000071000000}">
      <text>
        <r>
          <rPr>
            <b/>
            <sz val="9"/>
            <color indexed="81"/>
            <rFont val="細明體"/>
            <family val="3"/>
            <charset val="136"/>
          </rPr>
          <t>英文科考獲</t>
        </r>
        <r>
          <rPr>
            <b/>
            <sz val="9"/>
            <color indexed="81"/>
            <rFont val="Tahoma"/>
            <family val="2"/>
          </rPr>
          <t xml:space="preserve"> Lv.4</t>
        </r>
        <r>
          <rPr>
            <sz val="9"/>
            <color indexed="81"/>
            <rFont val="Tahoma"/>
            <family val="2"/>
          </rPr>
          <t xml:space="preserve"> </t>
        </r>
        <r>
          <rPr>
            <sz val="9"/>
            <color indexed="81"/>
            <rFont val="細明體"/>
            <family val="3"/>
            <charset val="136"/>
          </rPr>
          <t>及</t>
        </r>
        <r>
          <rPr>
            <sz val="9"/>
            <color indexed="81"/>
            <rFont val="Tahoma"/>
            <family val="2"/>
          </rPr>
          <t xml:space="preserve"> </t>
        </r>
        <r>
          <rPr>
            <sz val="9"/>
            <color indexed="81"/>
            <rFont val="細明體"/>
            <family val="3"/>
            <charset val="136"/>
          </rPr>
          <t>其他科目考獲優異成績的考生，將會按個別情況考慮。</t>
        </r>
      </text>
    </comment>
    <comment ref="E44" authorId="0" shapeId="0" xr:uid="{00000000-0006-0000-0C00-000072000000}">
      <text>
        <r>
          <rPr>
            <sz val="9"/>
            <color indexed="81"/>
            <rFont val="細明體"/>
            <family val="3"/>
            <charset val="136"/>
          </rPr>
          <t>將考慮甲類及丙類科目，但</t>
        </r>
        <r>
          <rPr>
            <b/>
            <sz val="9"/>
            <color indexed="81"/>
            <rFont val="細明體"/>
            <family val="3"/>
            <charset val="136"/>
          </rPr>
          <t>不包括M1/2</t>
        </r>
      </text>
    </comment>
    <comment ref="N44" authorId="0" shapeId="0" xr:uid="{00000000-0006-0000-0C00-000073000000}">
      <text>
        <r>
          <rPr>
            <b/>
            <sz val="9"/>
            <color indexed="81"/>
            <rFont val="細明體"/>
            <family val="3"/>
            <charset val="136"/>
          </rPr>
          <t>前</t>
        </r>
        <r>
          <rPr>
            <b/>
            <sz val="9"/>
            <color indexed="81"/>
            <rFont val="Tahoma"/>
            <family val="2"/>
          </rPr>
          <t>:</t>
        </r>
        <r>
          <rPr>
            <sz val="9"/>
            <color indexed="81"/>
            <rFont val="Tahoma"/>
            <family val="2"/>
          </rPr>
          <t xml:space="preserve"> June 7 to 11</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July 26 to 30
(For selected candidates)</t>
        </r>
      </text>
    </comment>
    <comment ref="P44" authorId="1" shapeId="0" xr:uid="{00000000-0006-0000-0C00-000074000000}">
      <text>
        <r>
          <rPr>
            <b/>
            <sz val="9"/>
            <color indexed="81"/>
            <rFont val="細明體"/>
            <family val="3"/>
            <charset val="136"/>
          </rPr>
          <t>英文科考獲</t>
        </r>
        <r>
          <rPr>
            <b/>
            <sz val="9"/>
            <color indexed="81"/>
            <rFont val="Tahoma"/>
            <family val="2"/>
          </rPr>
          <t xml:space="preserve"> Lv.4</t>
        </r>
        <r>
          <rPr>
            <sz val="9"/>
            <color indexed="81"/>
            <rFont val="Tahoma"/>
            <family val="2"/>
          </rPr>
          <t xml:space="preserve"> </t>
        </r>
        <r>
          <rPr>
            <sz val="9"/>
            <color indexed="81"/>
            <rFont val="細明體"/>
            <family val="3"/>
            <charset val="136"/>
          </rPr>
          <t>及</t>
        </r>
        <r>
          <rPr>
            <sz val="9"/>
            <color indexed="81"/>
            <rFont val="Tahoma"/>
            <family val="2"/>
          </rPr>
          <t xml:space="preserve"> </t>
        </r>
        <r>
          <rPr>
            <sz val="9"/>
            <color indexed="81"/>
            <rFont val="細明體"/>
            <family val="3"/>
            <charset val="136"/>
          </rPr>
          <t>其他科目考獲優異成績的考生，將會按個別情況考慮。</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Michael</author>
  </authors>
  <commentList>
    <comment ref="E2" authorId="0" shapeId="0" xr:uid="{00000000-0006-0000-0D00-000001000000}">
      <text>
        <r>
          <rPr>
            <b/>
            <sz val="9"/>
            <color indexed="81"/>
            <rFont val="Tahoma"/>
            <family val="2"/>
          </rPr>
          <t xml:space="preserve">x1.5: </t>
        </r>
        <r>
          <rPr>
            <sz val="9"/>
            <color indexed="81"/>
            <rFont val="細明體"/>
            <family val="3"/>
            <charset val="136"/>
          </rPr>
          <t>中文、英文、中國歷史</t>
        </r>
        <r>
          <rPr>
            <sz val="9"/>
            <color indexed="81"/>
            <rFont val="Tahoma"/>
            <family val="2"/>
          </rPr>
          <t xml:space="preserve"> </t>
        </r>
        <r>
          <rPr>
            <sz val="9"/>
            <color indexed="81"/>
            <rFont val="細明體"/>
            <family val="3"/>
            <charset val="136"/>
          </rPr>
          <t>或</t>
        </r>
        <r>
          <rPr>
            <sz val="9"/>
            <color indexed="81"/>
            <rFont val="Tahoma"/>
            <family val="2"/>
          </rPr>
          <t xml:space="preserve"> </t>
        </r>
        <r>
          <rPr>
            <sz val="9"/>
            <color indexed="81"/>
            <rFont val="細明體"/>
            <family val="3"/>
            <charset val="136"/>
          </rPr>
          <t>中國文學</t>
        </r>
      </text>
    </comment>
    <comment ref="M2" authorId="0" shapeId="0" xr:uid="{00000000-0006-0000-0D00-000002000000}">
      <text>
        <r>
          <rPr>
            <sz val="9"/>
            <color indexed="81"/>
            <rFont val="Tahoma"/>
            <family val="2"/>
          </rPr>
          <t>22-24 June 2021
Detailed arrangements will be announced in early June.  Notifications will be sent to both applicant's personal email and “Message Box” in their JUPAS account. 
Applicants are advised to visit this webpage regularly to obtain the most updated interview arrangements information.</t>
        </r>
      </text>
    </comment>
    <comment ref="E3" authorId="0" shapeId="0" xr:uid="{00000000-0006-0000-0D00-000003000000}">
      <text>
        <r>
          <rPr>
            <b/>
            <sz val="9"/>
            <color indexed="81"/>
            <rFont val="Tahoma"/>
            <family val="2"/>
          </rPr>
          <t xml:space="preserve">x2: </t>
        </r>
        <r>
          <rPr>
            <sz val="9"/>
            <color indexed="81"/>
            <rFont val="細明體"/>
            <family val="3"/>
            <charset val="136"/>
          </rPr>
          <t xml:space="preserve">英文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通識</t>
        </r>
      </text>
    </comment>
    <comment ref="E4" authorId="0" shapeId="0" xr:uid="{00000000-0006-0000-0D00-000004000000}">
      <text>
        <r>
          <rPr>
            <b/>
            <sz val="9"/>
            <color indexed="81"/>
            <rFont val="Tahoma"/>
            <family val="2"/>
          </rPr>
          <t xml:space="preserve">x2: </t>
        </r>
        <r>
          <rPr>
            <sz val="9"/>
            <color indexed="81"/>
            <rFont val="細明體"/>
            <family val="3"/>
            <charset val="136"/>
          </rPr>
          <t xml:space="preserve">英文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數學</t>
        </r>
      </text>
    </comment>
    <comment ref="E5" authorId="0" shapeId="0" xr:uid="{00000000-0006-0000-0D00-000005000000}">
      <text>
        <r>
          <rPr>
            <b/>
            <sz val="9"/>
            <color indexed="81"/>
            <rFont val="Tahoma"/>
            <family val="2"/>
          </rPr>
          <t xml:space="preserve">x2: </t>
        </r>
        <r>
          <rPr>
            <sz val="9"/>
            <color indexed="81"/>
            <rFont val="細明體"/>
            <family val="3"/>
            <charset val="136"/>
          </rPr>
          <t xml:space="preserve">英文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中文、中國文學、英國文學</t>
        </r>
      </text>
    </comment>
    <comment ref="E6" authorId="0" shapeId="0" xr:uid="{00000000-0006-0000-0D00-000006000000}">
      <text>
        <r>
          <rPr>
            <b/>
            <sz val="9"/>
            <color indexed="81"/>
            <rFont val="Tahoma"/>
            <family val="2"/>
          </rPr>
          <t xml:space="preserve">x2: </t>
        </r>
        <r>
          <rPr>
            <sz val="9"/>
            <color indexed="81"/>
            <rFont val="細明體"/>
            <family val="3"/>
            <charset val="136"/>
          </rPr>
          <t xml:space="preserve">英文
</t>
        </r>
        <r>
          <rPr>
            <b/>
            <sz val="9"/>
            <color indexed="81"/>
            <rFont val="Tahoma"/>
            <family val="2"/>
          </rPr>
          <t xml:space="preserve">
x1.5:</t>
        </r>
        <r>
          <rPr>
            <sz val="9"/>
            <color indexed="81"/>
            <rFont val="Tahoma"/>
            <family val="2"/>
          </rPr>
          <t xml:space="preserve"> </t>
        </r>
        <r>
          <rPr>
            <sz val="9"/>
            <color indexed="81"/>
            <rFont val="細明體"/>
            <family val="3"/>
            <charset val="136"/>
          </rPr>
          <t>數學</t>
        </r>
      </text>
    </comment>
    <comment ref="E7" authorId="0" shapeId="0" xr:uid="{00000000-0006-0000-0D00-000007000000}">
      <text>
        <r>
          <rPr>
            <b/>
            <sz val="9"/>
            <color indexed="81"/>
            <rFont val="Tahoma"/>
            <family val="2"/>
          </rPr>
          <t xml:space="preserve">x2: </t>
        </r>
        <r>
          <rPr>
            <sz val="9"/>
            <color indexed="81"/>
            <rFont val="細明體"/>
            <family val="3"/>
            <charset val="136"/>
          </rPr>
          <t>英文、數學、</t>
        </r>
        <r>
          <rPr>
            <sz val="9"/>
            <color indexed="81"/>
            <rFont val="Tahoma"/>
            <family val="2"/>
          </rPr>
          <t>ICT</t>
        </r>
        <r>
          <rPr>
            <b/>
            <sz val="9"/>
            <color indexed="81"/>
            <rFont val="Tahoma"/>
            <family val="2"/>
          </rPr>
          <t xml:space="preserve">
x1.25: </t>
        </r>
        <r>
          <rPr>
            <sz val="9"/>
            <color indexed="81"/>
            <rFont val="細明體"/>
            <family val="3"/>
            <charset val="136"/>
          </rPr>
          <t>化學、物理、組合科學、綜合科學</t>
        </r>
      </text>
    </comment>
    <comment ref="E8" authorId="0" shapeId="0" xr:uid="{00000000-0006-0000-0D00-000008000000}">
      <text>
        <r>
          <rPr>
            <b/>
            <sz val="9"/>
            <color indexed="81"/>
            <rFont val="Tahoma"/>
            <family val="2"/>
          </rPr>
          <t xml:space="preserve">x2: </t>
        </r>
        <r>
          <rPr>
            <sz val="9"/>
            <color indexed="81"/>
            <rFont val="細明體"/>
            <family val="3"/>
            <charset val="136"/>
          </rPr>
          <t xml:space="preserve">英文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數學、通識</t>
        </r>
      </text>
    </comment>
    <comment ref="E9" authorId="0" shapeId="0" xr:uid="{00000000-0006-0000-0D00-000009000000}">
      <text>
        <r>
          <rPr>
            <b/>
            <sz val="9"/>
            <color indexed="81"/>
            <rFont val="Tahoma"/>
            <family val="2"/>
          </rPr>
          <t>2021</t>
        </r>
        <r>
          <rPr>
            <b/>
            <sz val="9"/>
            <color indexed="81"/>
            <rFont val="細明體"/>
            <family val="3"/>
            <charset val="136"/>
          </rPr>
          <t>年將以新比重收生</t>
        </r>
        <r>
          <rPr>
            <b/>
            <sz val="9"/>
            <color indexed="81"/>
            <rFont val="Tahoma"/>
            <family val="2"/>
          </rPr>
          <t xml:space="preserve">
</t>
        </r>
        <r>
          <rPr>
            <sz val="9"/>
            <color indexed="81"/>
            <rFont val="Tahoma"/>
            <family val="2"/>
          </rPr>
          <t>(</t>
        </r>
        <r>
          <rPr>
            <b/>
            <sz val="9"/>
            <color indexed="81"/>
            <rFont val="Tahoma"/>
            <family val="2"/>
          </rPr>
          <t xml:space="preserve">x2.5: </t>
        </r>
        <r>
          <rPr>
            <sz val="9"/>
            <color indexed="81"/>
            <rFont val="細明體"/>
            <family val="3"/>
            <charset val="136"/>
          </rPr>
          <t>英文</t>
        </r>
        <r>
          <rPr>
            <b/>
            <sz val="9"/>
            <color indexed="81"/>
            <rFont val="Tahoma"/>
            <family val="2"/>
          </rPr>
          <t xml:space="preserve">
x1.5: </t>
        </r>
        <r>
          <rPr>
            <sz val="9"/>
            <color indexed="81"/>
            <rFont val="細明體"/>
            <family val="3"/>
            <charset val="136"/>
          </rPr>
          <t>中文、英國文學</t>
        </r>
        <r>
          <rPr>
            <sz val="9"/>
            <color indexed="81"/>
            <rFont val="Tahoma"/>
            <family val="2"/>
          </rPr>
          <t>)</t>
        </r>
        <r>
          <rPr>
            <sz val="9"/>
            <color indexed="81"/>
            <rFont val="細明體"/>
            <family val="3"/>
            <charset val="136"/>
          </rPr>
          <t xml:space="preserve">
</t>
        </r>
        <r>
          <rPr>
            <b/>
            <sz val="9"/>
            <color indexed="81"/>
            <rFont val="細明體"/>
            <family val="3"/>
            <charset val="136"/>
          </rPr>
          <t xml:space="preserve">
此處將以原有比重作估算，請注意</t>
        </r>
        <r>
          <rPr>
            <sz val="9"/>
            <color indexed="81"/>
            <rFont val="Tahoma"/>
            <family val="2"/>
          </rPr>
          <t xml:space="preserve">
</t>
        </r>
        <r>
          <rPr>
            <b/>
            <sz val="9"/>
            <color indexed="81"/>
            <rFont val="Tahoma"/>
            <family val="2"/>
          </rPr>
          <t>x2:</t>
        </r>
        <r>
          <rPr>
            <sz val="9"/>
            <color indexed="81"/>
            <rFont val="Tahoma"/>
            <family val="2"/>
          </rPr>
          <t xml:space="preserve"> </t>
        </r>
        <r>
          <rPr>
            <sz val="9"/>
            <color indexed="81"/>
            <rFont val="細明體"/>
            <family val="3"/>
            <charset val="136"/>
          </rPr>
          <t xml:space="preserve">英文
</t>
        </r>
        <r>
          <rPr>
            <b/>
            <sz val="9"/>
            <color indexed="81"/>
            <rFont val="Tahoma"/>
            <family val="2"/>
          </rPr>
          <t xml:space="preserve">x1.5: </t>
        </r>
        <r>
          <rPr>
            <sz val="9"/>
            <color indexed="81"/>
            <rFont val="細明體"/>
            <family val="3"/>
            <charset val="136"/>
          </rPr>
          <t>中文</t>
        </r>
      </text>
    </comment>
    <comment ref="E10" authorId="0" shapeId="0" xr:uid="{00000000-0006-0000-0D00-00000A000000}">
      <text>
        <r>
          <rPr>
            <b/>
            <sz val="9"/>
            <color indexed="81"/>
            <rFont val="Tahoma"/>
            <family val="2"/>
          </rPr>
          <t>x2:</t>
        </r>
        <r>
          <rPr>
            <sz val="9"/>
            <color indexed="81"/>
            <rFont val="Tahoma"/>
            <family val="2"/>
          </rPr>
          <t xml:space="preserve"> </t>
        </r>
        <r>
          <rPr>
            <sz val="9"/>
            <color indexed="81"/>
            <rFont val="細明體"/>
            <family val="3"/>
            <charset val="136"/>
          </rPr>
          <t xml:space="preserve">英文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中文</t>
        </r>
      </text>
    </comment>
    <comment ref="E11" authorId="0" shapeId="0" xr:uid="{00000000-0006-0000-0D00-00000B000000}">
      <text>
        <r>
          <rPr>
            <b/>
            <sz val="9"/>
            <color indexed="81"/>
            <rFont val="Tahoma"/>
            <family val="2"/>
          </rPr>
          <t xml:space="preserve">x2: </t>
        </r>
        <r>
          <rPr>
            <sz val="9"/>
            <color indexed="81"/>
            <rFont val="細明體"/>
            <family val="3"/>
            <charset val="136"/>
          </rPr>
          <t xml:space="preserve">英文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 xml:space="preserve">中文
</t>
        </r>
        <r>
          <rPr>
            <b/>
            <sz val="9"/>
            <color indexed="81"/>
            <rFont val="細明體"/>
            <family val="3"/>
            <charset val="136"/>
          </rPr>
          <t xml:space="preserve">
</t>
        </r>
        <r>
          <rPr>
            <b/>
            <sz val="9"/>
            <color indexed="81"/>
            <rFont val="Tahoma"/>
            <family val="2"/>
          </rPr>
          <t xml:space="preserve">x1.2: </t>
        </r>
        <r>
          <rPr>
            <sz val="9"/>
            <color indexed="81"/>
            <rFont val="細明體"/>
            <family val="3"/>
            <charset val="136"/>
          </rPr>
          <t>中國歷史、歷史</t>
        </r>
        <r>
          <rPr>
            <sz val="9"/>
            <color indexed="81"/>
            <rFont val="Tahoma"/>
            <family val="2"/>
          </rPr>
          <t xml:space="preserve"> </t>
        </r>
      </text>
    </comment>
    <comment ref="E12" authorId="0" shapeId="0" xr:uid="{00000000-0006-0000-0D00-00000C000000}">
      <text>
        <r>
          <rPr>
            <b/>
            <sz val="9"/>
            <color indexed="81"/>
            <rFont val="Tahoma"/>
            <family val="2"/>
          </rPr>
          <t xml:space="preserve">x2: </t>
        </r>
        <r>
          <rPr>
            <sz val="9"/>
            <color indexed="81"/>
            <rFont val="細明體"/>
            <family val="3"/>
            <charset val="136"/>
          </rPr>
          <t xml:space="preserve">英文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數學、中文</t>
        </r>
      </text>
    </comment>
    <comment ref="E13" authorId="0" shapeId="0" xr:uid="{00000000-0006-0000-0D00-00000D000000}">
      <text>
        <r>
          <rPr>
            <b/>
            <sz val="9"/>
            <color indexed="81"/>
            <rFont val="Tahoma"/>
            <family val="2"/>
          </rPr>
          <t xml:space="preserve">x2: </t>
        </r>
        <r>
          <rPr>
            <sz val="9"/>
            <color indexed="81"/>
            <rFont val="細明體"/>
            <family val="3"/>
            <charset val="136"/>
          </rPr>
          <t xml:space="preserve">英文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中文</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Michael Chan</author>
    <author>Michael</author>
  </authors>
  <commentList>
    <comment ref="C2" authorId="0" shapeId="0" xr:uid="{00000000-0006-0000-0E00-000001000000}">
      <text>
        <r>
          <rPr>
            <sz val="9"/>
            <color indexed="81"/>
            <rFont val="細明體"/>
            <family val="3"/>
            <charset val="136"/>
          </rPr>
          <t>此課程不能以其他資歷取代</t>
        </r>
        <r>
          <rPr>
            <sz val="9"/>
            <color indexed="81"/>
            <rFont val="Tahoma"/>
            <family val="2"/>
          </rPr>
          <t>DSE</t>
        </r>
        <r>
          <rPr>
            <sz val="9"/>
            <color indexed="81"/>
            <rFont val="細明體"/>
            <family val="3"/>
            <charset val="136"/>
          </rPr>
          <t>中國語文科要求。</t>
        </r>
      </text>
    </comment>
    <comment ref="L2" authorId="1" shapeId="0" xr:uid="{00000000-0006-0000-0E00-000002000000}">
      <text>
        <r>
          <rPr>
            <b/>
            <sz val="9"/>
            <color indexed="81"/>
            <rFont val="細明體"/>
            <family val="3"/>
            <charset val="136"/>
          </rPr>
          <t>前</t>
        </r>
        <r>
          <rPr>
            <b/>
            <sz val="9"/>
            <color indexed="81"/>
            <rFont val="Tahoma"/>
            <family val="2"/>
          </rPr>
          <t xml:space="preserve">: </t>
        </r>
        <r>
          <rPr>
            <sz val="9"/>
            <color indexed="81"/>
            <rFont val="Tahoma"/>
            <family val="2"/>
          </rPr>
          <t>21 - 25 June 2021</t>
        </r>
        <r>
          <rPr>
            <b/>
            <sz val="9"/>
            <color indexed="81"/>
            <rFont val="Tahoma"/>
            <family val="2"/>
          </rPr>
          <t xml:space="preserve">
</t>
        </r>
        <r>
          <rPr>
            <b/>
            <sz val="9"/>
            <color indexed="81"/>
            <rFont val="細明體"/>
            <family val="3"/>
            <charset val="136"/>
          </rPr>
          <t>後</t>
        </r>
        <r>
          <rPr>
            <b/>
            <sz val="9"/>
            <color indexed="81"/>
            <rFont val="Tahoma"/>
            <family val="2"/>
          </rPr>
          <t xml:space="preserve">: </t>
        </r>
        <r>
          <rPr>
            <sz val="9"/>
            <color indexed="81"/>
            <rFont val="Tahoma"/>
            <family val="2"/>
          </rPr>
          <t xml:space="preserve">29 - 31 July 2021 / Mid - late August
Shortlisted candidates will receive an email notification with detailed arrangements of the admission interview/ test.
</t>
        </r>
      </text>
    </comment>
    <comment ref="M2" authorId="0" shapeId="0" xr:uid="{00000000-0006-0000-0E00-000003000000}">
      <text>
        <r>
          <rPr>
            <sz val="9"/>
            <color indexed="81"/>
            <rFont val="Tahoma"/>
            <family val="2"/>
          </rPr>
          <t>2020</t>
        </r>
        <r>
          <rPr>
            <sz val="9"/>
            <color indexed="81"/>
            <rFont val="細明體"/>
            <family val="3"/>
            <charset val="136"/>
          </rPr>
          <t>年收生平均為</t>
        </r>
        <r>
          <rPr>
            <sz val="9"/>
            <color indexed="81"/>
            <rFont val="Tahoma"/>
            <family val="2"/>
          </rPr>
          <t>:</t>
        </r>
        <r>
          <rPr>
            <b/>
            <sz val="9"/>
            <color indexed="81"/>
            <rFont val="Tahoma"/>
            <family val="2"/>
          </rPr>
          <t xml:space="preserve"> Lv.5</t>
        </r>
      </text>
    </comment>
    <comment ref="N3" authorId="0" shapeId="0" xr:uid="{00000000-0006-0000-0E00-000004000000}">
      <text>
        <r>
          <rPr>
            <sz val="9"/>
            <color indexed="81"/>
            <rFont val="Tahoma"/>
            <family val="2"/>
          </rPr>
          <t>2020</t>
        </r>
        <r>
          <rPr>
            <sz val="9"/>
            <color indexed="81"/>
            <rFont val="細明體"/>
            <family val="3"/>
            <charset val="136"/>
          </rPr>
          <t>年收生平均為</t>
        </r>
        <r>
          <rPr>
            <sz val="9"/>
            <color indexed="81"/>
            <rFont val="Tahoma"/>
            <family val="2"/>
          </rPr>
          <t>:</t>
        </r>
        <r>
          <rPr>
            <b/>
            <sz val="9"/>
            <color indexed="81"/>
            <rFont val="Tahoma"/>
            <family val="2"/>
          </rPr>
          <t xml:space="preserve"> Lv.5</t>
        </r>
      </text>
    </comment>
    <comment ref="E5" authorId="0" shapeId="0" xr:uid="{00000000-0006-0000-0E00-000005000000}">
      <text>
        <r>
          <rPr>
            <sz val="9"/>
            <color indexed="81"/>
            <rFont val="細明體"/>
            <family val="3"/>
            <charset val="136"/>
          </rPr>
          <t>以下科目有</t>
        </r>
        <r>
          <rPr>
            <b/>
            <sz val="9"/>
            <color indexed="81"/>
            <rFont val="細明體"/>
            <family val="3"/>
            <charset val="136"/>
          </rPr>
          <t>最高比重</t>
        </r>
        <r>
          <rPr>
            <sz val="9"/>
            <color indexed="81"/>
            <rFont val="Tahoma"/>
            <family val="2"/>
          </rPr>
          <t xml:space="preserve">:
- </t>
        </r>
        <r>
          <rPr>
            <sz val="9"/>
            <color indexed="81"/>
            <rFont val="細明體"/>
            <family val="3"/>
            <charset val="136"/>
          </rPr>
          <t xml:space="preserve">數學
</t>
        </r>
        <r>
          <rPr>
            <sz val="9"/>
            <color indexed="81"/>
            <rFont val="Tahoma"/>
            <family val="2"/>
          </rPr>
          <t xml:space="preserve">- M1/2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物理</t>
        </r>
        <r>
          <rPr>
            <sz val="9"/>
            <color indexed="81"/>
            <rFont val="Tahoma"/>
            <family val="2"/>
          </rPr>
          <t xml:space="preserve">
- ICT
- DAT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Q5" authorId="0" shapeId="0" xr:uid="{00000000-0006-0000-0E00-000006000000}">
      <text>
        <r>
          <rPr>
            <sz val="9"/>
            <color indexed="81"/>
            <rFont val="細明體"/>
            <family val="3"/>
            <charset val="136"/>
          </rPr>
          <t>數學科考獲</t>
        </r>
        <r>
          <rPr>
            <sz val="9"/>
            <color indexed="81"/>
            <rFont val="Tahoma"/>
            <family val="2"/>
          </rPr>
          <t xml:space="preserve"> </t>
        </r>
        <r>
          <rPr>
            <b/>
            <sz val="9"/>
            <color indexed="81"/>
            <rFont val="Tahoma"/>
            <family val="2"/>
          </rPr>
          <t>Lv.3</t>
        </r>
        <r>
          <rPr>
            <sz val="9"/>
            <color indexed="81"/>
            <rFont val="Tahoma"/>
            <family val="2"/>
          </rPr>
          <t xml:space="preserve"> </t>
        </r>
        <r>
          <rPr>
            <b/>
            <sz val="9"/>
            <color indexed="81"/>
            <rFont val="細明體"/>
            <family val="3"/>
            <charset val="136"/>
          </rPr>
          <t>及</t>
        </r>
        <r>
          <rPr>
            <sz val="9"/>
            <color indexed="81"/>
            <rFont val="Tahoma"/>
            <family val="2"/>
          </rPr>
          <t xml:space="preserve"> M1/2 </t>
        </r>
        <r>
          <rPr>
            <sz val="9"/>
            <color indexed="81"/>
            <rFont val="細明體"/>
            <family val="3"/>
            <charset val="136"/>
          </rPr>
          <t>考獲</t>
        </r>
        <r>
          <rPr>
            <sz val="9"/>
            <color indexed="81"/>
            <rFont val="Tahoma"/>
            <family val="2"/>
          </rPr>
          <t xml:space="preserve"> </t>
        </r>
        <r>
          <rPr>
            <b/>
            <sz val="9"/>
            <color indexed="81"/>
            <rFont val="Tahoma"/>
            <family val="2"/>
          </rPr>
          <t>Lv.2</t>
        </r>
        <r>
          <rPr>
            <sz val="9"/>
            <color indexed="81"/>
            <rFont val="Tahoma"/>
            <family val="2"/>
          </rPr>
          <t xml:space="preserve">
</t>
        </r>
        <r>
          <rPr>
            <sz val="9"/>
            <color indexed="81"/>
            <rFont val="細明體"/>
            <family val="3"/>
            <charset val="136"/>
          </rPr>
          <t>或
數學科考獲</t>
        </r>
        <r>
          <rPr>
            <b/>
            <sz val="9"/>
            <color indexed="81"/>
            <rFont val="Tahoma"/>
            <family val="2"/>
          </rPr>
          <t xml:space="preserve"> Lv.5 </t>
        </r>
        <r>
          <rPr>
            <sz val="9"/>
            <color indexed="81"/>
            <rFont val="細明體"/>
            <family val="3"/>
            <charset val="136"/>
          </rPr>
          <t>但未有修讀</t>
        </r>
        <r>
          <rPr>
            <sz val="9"/>
            <color indexed="81"/>
            <rFont val="Tahoma"/>
            <family val="2"/>
          </rPr>
          <t>M1/2</t>
        </r>
        <r>
          <rPr>
            <sz val="9"/>
            <color indexed="81"/>
            <rFont val="細明體"/>
            <family val="3"/>
            <charset val="136"/>
          </rPr>
          <t>者，將會按個別情況考慮。</t>
        </r>
      </text>
    </comment>
    <comment ref="C6" authorId="0" shapeId="0" xr:uid="{00000000-0006-0000-0E00-000007000000}">
      <text>
        <r>
          <rPr>
            <sz val="9"/>
            <color indexed="81"/>
            <rFont val="細明體"/>
            <family val="3"/>
            <charset val="136"/>
          </rPr>
          <t>同學亦須在額外的</t>
        </r>
        <r>
          <rPr>
            <sz val="9"/>
            <color indexed="81"/>
            <rFont val="Tahoma"/>
            <family val="2"/>
          </rPr>
          <t xml:space="preserve"> </t>
        </r>
        <r>
          <rPr>
            <b/>
            <sz val="9"/>
            <color indexed="81"/>
            <rFont val="細明體"/>
            <family val="3"/>
            <charset val="136"/>
          </rPr>
          <t>入學測試</t>
        </r>
        <r>
          <rPr>
            <sz val="9"/>
            <color indexed="81"/>
            <rFont val="Tahoma"/>
            <family val="2"/>
          </rPr>
          <t xml:space="preserve"> </t>
        </r>
        <r>
          <rPr>
            <sz val="9"/>
            <color indexed="81"/>
            <rFont val="細明體"/>
            <family val="3"/>
            <charset val="136"/>
          </rPr>
          <t>中考獲優異成績</t>
        </r>
      </text>
    </comment>
    <comment ref="E6" authorId="0" shapeId="0" xr:uid="{00000000-0006-0000-0E00-000008000000}">
      <text>
        <r>
          <rPr>
            <b/>
            <sz val="9"/>
            <color indexed="81"/>
            <rFont val="細明體"/>
            <family val="3"/>
            <charset val="136"/>
          </rPr>
          <t>體育</t>
        </r>
        <r>
          <rPr>
            <sz val="9"/>
            <color indexed="81"/>
            <rFont val="細明體"/>
            <family val="3"/>
            <charset val="136"/>
          </rPr>
          <t>有最高比重</t>
        </r>
      </text>
    </comment>
    <comment ref="K6" authorId="0" shapeId="0" xr:uid="{00000000-0006-0000-0E00-000009000000}">
      <text>
        <r>
          <rPr>
            <sz val="9"/>
            <color indexed="81"/>
            <rFont val="細明體"/>
            <family val="3"/>
            <charset val="136"/>
          </rPr>
          <t>同學亦須在額外的</t>
        </r>
        <r>
          <rPr>
            <sz val="9"/>
            <color indexed="81"/>
            <rFont val="Tahoma"/>
            <family val="2"/>
          </rPr>
          <t xml:space="preserve"> </t>
        </r>
        <r>
          <rPr>
            <b/>
            <sz val="9"/>
            <color indexed="81"/>
            <rFont val="細明體"/>
            <family val="3"/>
            <charset val="136"/>
          </rPr>
          <t>入學測試</t>
        </r>
        <r>
          <rPr>
            <b/>
            <sz val="9"/>
            <color indexed="81"/>
            <rFont val="Tahoma"/>
            <family val="2"/>
          </rPr>
          <t>/</t>
        </r>
        <r>
          <rPr>
            <b/>
            <sz val="9"/>
            <color indexed="81"/>
            <rFont val="細明體"/>
            <family val="3"/>
            <charset val="136"/>
          </rPr>
          <t>面試</t>
        </r>
        <r>
          <rPr>
            <b/>
            <sz val="9"/>
            <color indexed="81"/>
            <rFont val="Tahoma"/>
            <family val="2"/>
          </rPr>
          <t xml:space="preserve"> </t>
        </r>
        <r>
          <rPr>
            <sz val="9"/>
            <color indexed="81"/>
            <rFont val="細明體"/>
            <family val="3"/>
            <charset val="136"/>
          </rPr>
          <t>中考獲優異成績</t>
        </r>
      </text>
    </comment>
    <comment ref="E7" authorId="0" shapeId="0" xr:uid="{00000000-0006-0000-0E00-00000A000000}">
      <text>
        <r>
          <rPr>
            <sz val="9"/>
            <color indexed="81"/>
            <rFont val="細明體"/>
            <family val="3"/>
            <charset val="136"/>
          </rPr>
          <t>以下科目有</t>
        </r>
        <r>
          <rPr>
            <b/>
            <sz val="9"/>
            <color indexed="81"/>
            <rFont val="細明體"/>
            <family val="3"/>
            <charset val="136"/>
          </rPr>
          <t>最高比重</t>
        </r>
        <r>
          <rPr>
            <sz val="9"/>
            <color indexed="81"/>
            <rFont val="Tahoma"/>
            <family val="2"/>
          </rPr>
          <t xml:space="preserve">:
- </t>
        </r>
        <r>
          <rPr>
            <sz val="9"/>
            <color indexed="81"/>
            <rFont val="細明體"/>
            <family val="3"/>
            <charset val="136"/>
          </rPr>
          <t>英文</t>
        </r>
        <r>
          <rPr>
            <sz val="9"/>
            <color indexed="81"/>
            <rFont val="Tahoma"/>
            <family val="2"/>
          </rPr>
          <t xml:space="preserve">
- </t>
        </r>
        <r>
          <rPr>
            <sz val="9"/>
            <color indexed="81"/>
            <rFont val="細明體"/>
            <family val="3"/>
            <charset val="136"/>
          </rPr>
          <t xml:space="preserve">數學
</t>
        </r>
        <r>
          <rPr>
            <sz val="9"/>
            <color indexed="81"/>
            <rFont val="Tahoma"/>
            <family val="2"/>
          </rPr>
          <t>- M1/2</t>
        </r>
        <r>
          <rPr>
            <sz val="9"/>
            <color indexed="81"/>
            <rFont val="細明體"/>
            <family val="3"/>
            <charset val="136"/>
          </rPr>
          <t xml:space="preserve">
</t>
        </r>
        <r>
          <rPr>
            <sz val="9"/>
            <color indexed="81"/>
            <rFont val="Tahoma"/>
            <family val="2"/>
          </rPr>
          <t>- ICT</t>
        </r>
      </text>
    </comment>
    <comment ref="Q7" authorId="0" shapeId="0" xr:uid="{00000000-0006-0000-0E00-00000B000000}">
      <text>
        <r>
          <rPr>
            <b/>
            <sz val="9"/>
            <color indexed="81"/>
            <rFont val="細明體"/>
            <family val="3"/>
            <charset val="136"/>
          </rPr>
          <t>以下一科</t>
        </r>
        <r>
          <rPr>
            <b/>
            <sz val="9"/>
            <color indexed="81"/>
            <rFont val="Tahoma"/>
            <family val="2"/>
          </rPr>
          <t>:</t>
        </r>
        <r>
          <rPr>
            <sz val="9"/>
            <color indexed="81"/>
            <rFont val="Tahoma"/>
            <family val="2"/>
          </rPr>
          <t xml:space="preserve">
- ICT
</t>
        </r>
        <r>
          <rPr>
            <sz val="9"/>
            <color indexed="81"/>
            <rFont val="細明體"/>
            <family val="3"/>
            <charset val="136"/>
          </rPr>
          <t>或</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E8" authorId="0" shapeId="0" xr:uid="{00000000-0006-0000-0E00-00000C000000}">
      <text>
        <r>
          <rPr>
            <b/>
            <sz val="9"/>
            <color indexed="81"/>
            <rFont val="Tahoma"/>
            <family val="2"/>
          </rPr>
          <t>BAFS</t>
        </r>
        <r>
          <rPr>
            <sz val="9"/>
            <color indexed="81"/>
            <rFont val="細明體"/>
            <family val="3"/>
            <charset val="136"/>
          </rPr>
          <t>有最大比重</t>
        </r>
      </text>
    </comment>
    <comment ref="E9" authorId="0" shapeId="0" xr:uid="{00000000-0006-0000-0E00-00000D000000}">
      <text>
        <r>
          <rPr>
            <sz val="9"/>
            <color indexed="81"/>
            <rFont val="細明體"/>
            <family val="3"/>
            <charset val="136"/>
          </rPr>
          <t>以下科目有</t>
        </r>
        <r>
          <rPr>
            <b/>
            <sz val="9"/>
            <color indexed="81"/>
            <rFont val="細明體"/>
            <family val="3"/>
            <charset val="136"/>
          </rPr>
          <t>最高比重</t>
        </r>
        <r>
          <rPr>
            <sz val="9"/>
            <color indexed="81"/>
            <rFont val="Tahoma"/>
            <family val="2"/>
          </rPr>
          <t xml:space="preserve">:
- </t>
        </r>
        <r>
          <rPr>
            <sz val="9"/>
            <color indexed="81"/>
            <rFont val="細明體"/>
            <family val="3"/>
            <charset val="136"/>
          </rPr>
          <t xml:space="preserve">數學
</t>
        </r>
        <r>
          <rPr>
            <sz val="9"/>
            <color indexed="81"/>
            <rFont val="Tahoma"/>
            <family val="2"/>
          </rPr>
          <t xml:space="preserve">- M1/2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物理</t>
        </r>
        <r>
          <rPr>
            <sz val="9"/>
            <color indexed="81"/>
            <rFont val="Tahoma"/>
            <family val="2"/>
          </rPr>
          <t xml:space="preserve">
- ICT
- DAT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Q9" authorId="0" shapeId="0" xr:uid="{00000000-0006-0000-0E00-00000E000000}">
      <text>
        <r>
          <rPr>
            <sz val="9"/>
            <color indexed="81"/>
            <rFont val="細明體"/>
            <family val="3"/>
            <charset val="136"/>
          </rPr>
          <t>數學科考獲</t>
        </r>
        <r>
          <rPr>
            <b/>
            <sz val="9"/>
            <color indexed="81"/>
            <rFont val="Tahoma"/>
            <family val="2"/>
          </rPr>
          <t xml:space="preserve"> Lv.3 </t>
        </r>
        <r>
          <rPr>
            <sz val="9"/>
            <color indexed="81"/>
            <rFont val="細明體"/>
            <family val="3"/>
            <charset val="136"/>
          </rPr>
          <t>及</t>
        </r>
        <r>
          <rPr>
            <sz val="9"/>
            <color indexed="81"/>
            <rFont val="Tahoma"/>
            <family val="2"/>
          </rPr>
          <t xml:space="preserve"> M1/2 </t>
        </r>
        <r>
          <rPr>
            <sz val="9"/>
            <color indexed="81"/>
            <rFont val="細明體"/>
            <family val="3"/>
            <charset val="136"/>
          </rPr>
          <t>考獲</t>
        </r>
        <r>
          <rPr>
            <sz val="9"/>
            <color indexed="81"/>
            <rFont val="Tahoma"/>
            <family val="2"/>
          </rPr>
          <t xml:space="preserve"> </t>
        </r>
        <r>
          <rPr>
            <b/>
            <sz val="9"/>
            <color indexed="81"/>
            <rFont val="Tahoma"/>
            <family val="2"/>
          </rPr>
          <t>Lv.2</t>
        </r>
        <r>
          <rPr>
            <sz val="9"/>
            <color indexed="81"/>
            <rFont val="Tahoma"/>
            <family val="2"/>
          </rPr>
          <t xml:space="preserve">
</t>
        </r>
        <r>
          <rPr>
            <sz val="9"/>
            <color indexed="81"/>
            <rFont val="細明體"/>
            <family val="3"/>
            <charset val="136"/>
          </rPr>
          <t>或
數學科考獲</t>
        </r>
        <r>
          <rPr>
            <sz val="9"/>
            <color indexed="81"/>
            <rFont val="Tahoma"/>
            <family val="2"/>
          </rPr>
          <t xml:space="preserve"> </t>
        </r>
        <r>
          <rPr>
            <b/>
            <sz val="9"/>
            <color indexed="81"/>
            <rFont val="Tahoma"/>
            <family val="2"/>
          </rPr>
          <t>Lv.5</t>
        </r>
        <r>
          <rPr>
            <sz val="9"/>
            <color indexed="81"/>
            <rFont val="Tahoma"/>
            <family val="2"/>
          </rPr>
          <t xml:space="preserve"> </t>
        </r>
        <r>
          <rPr>
            <sz val="9"/>
            <color indexed="81"/>
            <rFont val="細明體"/>
            <family val="3"/>
            <charset val="136"/>
          </rPr>
          <t>但未有修讀</t>
        </r>
        <r>
          <rPr>
            <sz val="9"/>
            <color indexed="81"/>
            <rFont val="Tahoma"/>
            <family val="2"/>
          </rPr>
          <t>M1/2</t>
        </r>
        <r>
          <rPr>
            <sz val="9"/>
            <color indexed="81"/>
            <rFont val="細明體"/>
            <family val="3"/>
            <charset val="136"/>
          </rPr>
          <t>者，將會按個別情況考慮。</t>
        </r>
      </text>
    </comment>
    <comment ref="C11" authorId="0" shapeId="0" xr:uid="{00000000-0006-0000-0E00-00000F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中國歷史</t>
        </r>
        <r>
          <rPr>
            <sz val="9"/>
            <color indexed="81"/>
            <rFont val="細明體"/>
            <family val="3"/>
            <charset val="136"/>
          </rPr>
          <t>、</t>
        </r>
        <r>
          <rPr>
            <b/>
            <sz val="9"/>
            <color indexed="81"/>
            <rFont val="細明體"/>
            <family val="3"/>
            <charset val="136"/>
          </rPr>
          <t>歷史</t>
        </r>
        <r>
          <rPr>
            <sz val="9"/>
            <color indexed="81"/>
            <rFont val="Tahoma"/>
            <family val="2"/>
          </rPr>
          <t xml:space="preserve"> </t>
        </r>
        <r>
          <rPr>
            <sz val="9"/>
            <color indexed="81"/>
            <rFont val="細明體"/>
            <family val="3"/>
            <charset val="136"/>
          </rPr>
          <t>者</t>
        </r>
      </text>
    </comment>
    <comment ref="E11" authorId="0" shapeId="0" xr:uid="{00000000-0006-0000-0E00-000010000000}">
      <text>
        <r>
          <rPr>
            <b/>
            <sz val="9"/>
            <color indexed="81"/>
            <rFont val="細明體"/>
            <family val="3"/>
            <charset val="136"/>
          </rPr>
          <t>以下科目有最高比重</t>
        </r>
        <r>
          <rPr>
            <b/>
            <sz val="9"/>
            <color indexed="81"/>
            <rFont val="Tahoma"/>
            <family val="2"/>
          </rPr>
          <t>:</t>
        </r>
        <r>
          <rPr>
            <sz val="9"/>
            <color indexed="81"/>
            <rFont val="Tahoma"/>
            <family val="2"/>
          </rPr>
          <t xml:space="preserve">
- </t>
        </r>
        <r>
          <rPr>
            <sz val="9"/>
            <color indexed="81"/>
            <rFont val="細明體"/>
            <family val="3"/>
            <charset val="136"/>
          </rPr>
          <t xml:space="preserve">歷史
</t>
        </r>
        <r>
          <rPr>
            <sz val="9"/>
            <color indexed="81"/>
            <rFont val="Tahoma"/>
            <family val="2"/>
          </rPr>
          <t xml:space="preserve">- </t>
        </r>
        <r>
          <rPr>
            <sz val="9"/>
            <color indexed="81"/>
            <rFont val="細明體"/>
            <family val="3"/>
            <charset val="136"/>
          </rPr>
          <t>中國歷史
若申請人有同時修讀以上兩科，則只會較高分的科目會獲得比重</t>
        </r>
      </text>
    </comment>
    <comment ref="F11" authorId="0" shapeId="0" xr:uid="{00000000-0006-0000-0E00-000011000000}">
      <text>
        <r>
          <rPr>
            <sz val="9"/>
            <color indexed="81"/>
            <rFont val="細明體"/>
            <family val="3"/>
            <charset val="136"/>
          </rPr>
          <t>由於課程於</t>
        </r>
        <r>
          <rPr>
            <sz val="9"/>
            <color indexed="81"/>
            <rFont val="Tahoma"/>
            <family val="2"/>
          </rPr>
          <t>2020</t>
        </r>
        <r>
          <rPr>
            <sz val="9"/>
            <color indexed="81"/>
            <rFont val="細明體"/>
            <family val="3"/>
            <charset val="136"/>
          </rPr>
          <t>年未有收生，此處引用</t>
        </r>
        <r>
          <rPr>
            <sz val="9"/>
            <color indexed="81"/>
            <rFont val="Tahoma"/>
            <family val="2"/>
          </rPr>
          <t>2019</t>
        </r>
        <r>
          <rPr>
            <sz val="9"/>
            <color indexed="81"/>
            <rFont val="細明體"/>
            <family val="3"/>
            <charset val="136"/>
          </rPr>
          <t>年數字。</t>
        </r>
      </text>
    </comment>
    <comment ref="Q11" authorId="0" shapeId="0" xr:uid="{00000000-0006-0000-0E00-000012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中國歷史</t>
        </r>
        <r>
          <rPr>
            <sz val="9"/>
            <color indexed="81"/>
            <rFont val="細明體"/>
            <family val="3"/>
            <charset val="136"/>
          </rPr>
          <t>、</t>
        </r>
        <r>
          <rPr>
            <b/>
            <sz val="9"/>
            <color indexed="81"/>
            <rFont val="細明體"/>
            <family val="3"/>
            <charset val="136"/>
          </rPr>
          <t>歷史</t>
        </r>
        <r>
          <rPr>
            <sz val="9"/>
            <color indexed="81"/>
            <rFont val="Tahoma"/>
            <family val="2"/>
          </rPr>
          <t xml:space="preserve"> </t>
        </r>
        <r>
          <rPr>
            <sz val="9"/>
            <color indexed="81"/>
            <rFont val="細明體"/>
            <family val="3"/>
            <charset val="136"/>
          </rPr>
          <t>者</t>
        </r>
      </text>
    </comment>
    <comment ref="E12" authorId="0" shapeId="0" xr:uid="{00000000-0006-0000-0E00-000013000000}">
      <text>
        <r>
          <rPr>
            <b/>
            <sz val="9"/>
            <color indexed="81"/>
            <rFont val="細明體"/>
            <family val="3"/>
            <charset val="136"/>
          </rPr>
          <t>地理</t>
        </r>
        <r>
          <rPr>
            <sz val="9"/>
            <color indexed="81"/>
            <rFont val="細明體"/>
            <family val="3"/>
            <charset val="136"/>
          </rPr>
          <t>有最高比重</t>
        </r>
      </text>
    </comment>
    <comment ref="E13" authorId="0" shapeId="0" xr:uid="{00000000-0006-0000-0E00-000014000000}">
      <text>
        <r>
          <rPr>
            <sz val="9"/>
            <color indexed="81"/>
            <rFont val="細明體"/>
            <family val="3"/>
            <charset val="136"/>
          </rPr>
          <t>以下科目有</t>
        </r>
        <r>
          <rPr>
            <b/>
            <sz val="9"/>
            <color indexed="81"/>
            <rFont val="細明體"/>
            <family val="3"/>
            <charset val="136"/>
          </rPr>
          <t>最高比重</t>
        </r>
        <r>
          <rPr>
            <sz val="9"/>
            <color indexed="81"/>
            <rFont val="Tahoma"/>
            <family val="2"/>
          </rPr>
          <t>:</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Q13" authorId="0" shapeId="0" xr:uid="{00000000-0006-0000-0E00-000015000000}">
      <text>
        <r>
          <rPr>
            <b/>
            <sz val="9"/>
            <color indexed="81"/>
            <rFont val="細明體"/>
            <family val="3"/>
            <charset val="136"/>
          </rPr>
          <t>以下一科考獲</t>
        </r>
        <r>
          <rPr>
            <b/>
            <sz val="9"/>
            <color indexed="81"/>
            <rFont val="Tahoma"/>
            <family val="2"/>
          </rPr>
          <t>Lv.4:</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C14" authorId="0" shapeId="0" xr:uid="{00000000-0006-0000-0E00-000016000000}">
      <text>
        <r>
          <rPr>
            <sz val="9"/>
            <color indexed="81"/>
            <rFont val="細明體"/>
            <family val="3"/>
            <charset val="136"/>
          </rPr>
          <t>此課程不能以其他資歷取代</t>
        </r>
        <r>
          <rPr>
            <sz val="9"/>
            <color indexed="81"/>
            <rFont val="Tahoma"/>
            <family val="2"/>
          </rPr>
          <t>DSE</t>
        </r>
        <r>
          <rPr>
            <sz val="9"/>
            <color indexed="81"/>
            <rFont val="細明體"/>
            <family val="3"/>
            <charset val="136"/>
          </rPr>
          <t>中國語文科要求。</t>
        </r>
      </text>
    </comment>
    <comment ref="E14" authorId="0" shapeId="0" xr:uid="{00000000-0006-0000-0E00-000017000000}">
      <text>
        <r>
          <rPr>
            <b/>
            <sz val="9"/>
            <color indexed="81"/>
            <rFont val="細明體"/>
            <family val="3"/>
            <charset val="136"/>
          </rPr>
          <t>中文</t>
        </r>
        <r>
          <rPr>
            <sz val="9"/>
            <color indexed="81"/>
            <rFont val="細明體"/>
            <family val="3"/>
            <charset val="136"/>
          </rPr>
          <t>有最高比重</t>
        </r>
      </text>
    </comment>
    <comment ref="M14" authorId="0" shapeId="0" xr:uid="{00000000-0006-0000-0E00-000018000000}">
      <text>
        <r>
          <rPr>
            <b/>
            <sz val="9"/>
            <color indexed="81"/>
            <rFont val="Tahoma"/>
            <family val="2"/>
          </rPr>
          <t>2020</t>
        </r>
        <r>
          <rPr>
            <b/>
            <sz val="9"/>
            <color indexed="81"/>
            <rFont val="細明體"/>
            <family val="3"/>
            <charset val="136"/>
          </rPr>
          <t>年收生平均為</t>
        </r>
        <r>
          <rPr>
            <b/>
            <sz val="9"/>
            <color indexed="81"/>
            <rFont val="Tahoma"/>
            <family val="2"/>
          </rPr>
          <t>: Lv.5</t>
        </r>
      </text>
    </comment>
    <comment ref="Q14" authorId="0" shapeId="0" xr:uid="{00000000-0006-0000-0E00-000019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中國文學</t>
        </r>
        <r>
          <rPr>
            <sz val="9"/>
            <color indexed="81"/>
            <rFont val="Tahoma"/>
            <family val="2"/>
          </rPr>
          <t xml:space="preserve"> </t>
        </r>
        <r>
          <rPr>
            <sz val="9"/>
            <color indexed="81"/>
            <rFont val="細明體"/>
            <family val="3"/>
            <charset val="136"/>
          </rPr>
          <t>考獲</t>
        </r>
        <r>
          <rPr>
            <sz val="9"/>
            <color indexed="81"/>
            <rFont val="Tahoma"/>
            <family val="2"/>
          </rPr>
          <t xml:space="preserve"> </t>
        </r>
        <r>
          <rPr>
            <b/>
            <sz val="9"/>
            <color indexed="81"/>
            <rFont val="Tahoma"/>
            <family val="2"/>
          </rPr>
          <t xml:space="preserve">Lv.2 </t>
        </r>
        <r>
          <rPr>
            <b/>
            <sz val="9"/>
            <color indexed="81"/>
            <rFont val="細明體"/>
            <family val="3"/>
            <charset val="136"/>
          </rPr>
          <t>或以上</t>
        </r>
        <r>
          <rPr>
            <sz val="9"/>
            <color indexed="81"/>
            <rFont val="細明體"/>
            <family val="3"/>
            <charset val="136"/>
          </rPr>
          <t>者</t>
        </r>
      </text>
    </comment>
    <comment ref="E15" authorId="0" shapeId="0" xr:uid="{00000000-0006-0000-0E00-00001A000000}">
      <text>
        <r>
          <rPr>
            <b/>
            <sz val="9"/>
            <color indexed="81"/>
            <rFont val="細明體"/>
            <family val="3"/>
            <charset val="136"/>
          </rPr>
          <t>英文</t>
        </r>
        <r>
          <rPr>
            <sz val="9"/>
            <color indexed="81"/>
            <rFont val="細明體"/>
            <family val="3"/>
            <charset val="136"/>
          </rPr>
          <t>有最高比重</t>
        </r>
      </text>
    </comment>
    <comment ref="N15" authorId="0" shapeId="0" xr:uid="{00000000-0006-0000-0E00-00001B000000}">
      <text>
        <r>
          <rPr>
            <b/>
            <sz val="9"/>
            <color indexed="81"/>
            <rFont val="Tahoma"/>
            <family val="2"/>
          </rPr>
          <t>2020</t>
        </r>
        <r>
          <rPr>
            <b/>
            <sz val="9"/>
            <color indexed="81"/>
            <rFont val="細明體"/>
            <family val="3"/>
            <charset val="136"/>
          </rPr>
          <t>年收生平均為</t>
        </r>
        <r>
          <rPr>
            <b/>
            <sz val="9"/>
            <color indexed="81"/>
            <rFont val="Tahoma"/>
            <family val="2"/>
          </rPr>
          <t>: Lv.5</t>
        </r>
      </text>
    </comment>
    <comment ref="Q15" authorId="0" shapeId="0" xr:uid="{00000000-0006-0000-0E00-00001C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英語文學</t>
        </r>
        <r>
          <rPr>
            <sz val="9"/>
            <color indexed="81"/>
            <rFont val="Tahoma"/>
            <family val="2"/>
          </rPr>
          <t xml:space="preserve"> </t>
        </r>
        <r>
          <rPr>
            <sz val="9"/>
            <color indexed="81"/>
            <rFont val="細明體"/>
            <family val="3"/>
            <charset val="136"/>
          </rPr>
          <t>考獲</t>
        </r>
        <r>
          <rPr>
            <sz val="9"/>
            <color indexed="81"/>
            <rFont val="Tahoma"/>
            <family val="2"/>
          </rPr>
          <t xml:space="preserve"> </t>
        </r>
        <r>
          <rPr>
            <b/>
            <sz val="9"/>
            <color indexed="81"/>
            <rFont val="Tahoma"/>
            <family val="2"/>
          </rPr>
          <t xml:space="preserve">Lv.2 </t>
        </r>
        <r>
          <rPr>
            <b/>
            <sz val="9"/>
            <color indexed="81"/>
            <rFont val="細明體"/>
            <family val="3"/>
            <charset val="136"/>
          </rPr>
          <t>或以上</t>
        </r>
        <r>
          <rPr>
            <sz val="9"/>
            <color indexed="81"/>
            <rFont val="細明體"/>
            <family val="3"/>
            <charset val="136"/>
          </rPr>
          <t>者</t>
        </r>
      </text>
    </comment>
    <comment ref="C17" authorId="0" shapeId="0" xr:uid="{00000000-0006-0000-0E00-00001D000000}">
      <text>
        <r>
          <rPr>
            <sz val="9"/>
            <color indexed="81"/>
            <rFont val="細明體"/>
            <family val="3"/>
            <charset val="136"/>
          </rPr>
          <t>同學亦須在額外的</t>
        </r>
        <r>
          <rPr>
            <sz val="9"/>
            <color indexed="81"/>
            <rFont val="Tahoma"/>
            <family val="2"/>
          </rPr>
          <t xml:space="preserve"> </t>
        </r>
        <r>
          <rPr>
            <b/>
            <sz val="9"/>
            <color indexed="81"/>
            <rFont val="細明體"/>
            <family val="3"/>
            <charset val="136"/>
          </rPr>
          <t>入學測試</t>
        </r>
        <r>
          <rPr>
            <b/>
            <sz val="9"/>
            <color indexed="81"/>
            <rFont val="Tahoma"/>
            <family val="2"/>
          </rPr>
          <t>/</t>
        </r>
        <r>
          <rPr>
            <b/>
            <sz val="9"/>
            <color indexed="81"/>
            <rFont val="細明體"/>
            <family val="3"/>
            <charset val="136"/>
          </rPr>
          <t>面試</t>
        </r>
        <r>
          <rPr>
            <b/>
            <sz val="9"/>
            <color indexed="81"/>
            <rFont val="Tahoma"/>
            <family val="2"/>
          </rPr>
          <t xml:space="preserve"> </t>
        </r>
        <r>
          <rPr>
            <sz val="9"/>
            <color indexed="81"/>
            <rFont val="細明體"/>
            <family val="3"/>
            <charset val="136"/>
          </rPr>
          <t xml:space="preserve">中考獲優異成績
</t>
        </r>
        <r>
          <rPr>
            <b/>
            <sz val="9"/>
            <color indexed="81"/>
            <rFont val="細明體"/>
            <family val="3"/>
            <charset val="136"/>
          </rPr>
          <t>音樂</t>
        </r>
        <r>
          <rPr>
            <sz val="9"/>
            <color indexed="81"/>
            <rFont val="細明體"/>
            <family val="3"/>
            <charset val="136"/>
          </rPr>
          <t>考獲</t>
        </r>
        <r>
          <rPr>
            <b/>
            <sz val="9"/>
            <color indexed="81"/>
            <rFont val="Tahoma"/>
            <family val="2"/>
          </rPr>
          <t xml:space="preserve"> Lv.4</t>
        </r>
        <r>
          <rPr>
            <b/>
            <sz val="9"/>
            <color indexed="81"/>
            <rFont val="細明體"/>
            <family val="3"/>
            <charset val="136"/>
          </rPr>
          <t>或以上</t>
        </r>
        <r>
          <rPr>
            <sz val="9"/>
            <color indexed="81"/>
            <rFont val="細明體"/>
            <family val="3"/>
            <charset val="136"/>
          </rPr>
          <t>者</t>
        </r>
        <r>
          <rPr>
            <sz val="9"/>
            <color indexed="81"/>
            <rFont val="Tahoma"/>
            <family val="2"/>
          </rPr>
          <t xml:space="preserve"> </t>
        </r>
        <r>
          <rPr>
            <sz val="9"/>
            <color indexed="81"/>
            <rFont val="細明體"/>
            <family val="3"/>
            <charset val="136"/>
          </rPr>
          <t>則可豁免該測試</t>
        </r>
      </text>
    </comment>
    <comment ref="E17" authorId="0" shapeId="0" xr:uid="{00000000-0006-0000-0E00-00001E000000}">
      <text>
        <r>
          <rPr>
            <b/>
            <sz val="9"/>
            <color indexed="81"/>
            <rFont val="細明體"/>
            <family val="3"/>
            <charset val="136"/>
          </rPr>
          <t>音樂</t>
        </r>
        <r>
          <rPr>
            <sz val="9"/>
            <color indexed="81"/>
            <rFont val="細明體"/>
            <family val="3"/>
            <charset val="136"/>
          </rPr>
          <t>有最高比重</t>
        </r>
      </text>
    </comment>
    <comment ref="Q17" authorId="0" shapeId="0" xr:uid="{00000000-0006-0000-0E00-00001F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音樂</t>
        </r>
        <r>
          <rPr>
            <sz val="9"/>
            <color indexed="81"/>
            <rFont val="Tahoma"/>
            <family val="2"/>
          </rPr>
          <t xml:space="preserve"> </t>
        </r>
        <r>
          <rPr>
            <sz val="9"/>
            <color indexed="81"/>
            <rFont val="細明體"/>
            <family val="3"/>
            <charset val="136"/>
          </rPr>
          <t>者
同學亦須在額外的</t>
        </r>
        <r>
          <rPr>
            <sz val="9"/>
            <color indexed="81"/>
            <rFont val="Tahoma"/>
            <family val="2"/>
          </rPr>
          <t xml:space="preserve"> </t>
        </r>
        <r>
          <rPr>
            <b/>
            <sz val="9"/>
            <color indexed="81"/>
            <rFont val="細明體"/>
            <family val="3"/>
            <charset val="136"/>
          </rPr>
          <t>入學測試</t>
        </r>
        <r>
          <rPr>
            <b/>
            <sz val="9"/>
            <color indexed="81"/>
            <rFont val="Tahoma"/>
            <family val="2"/>
          </rPr>
          <t>/</t>
        </r>
        <r>
          <rPr>
            <b/>
            <sz val="9"/>
            <color indexed="81"/>
            <rFont val="細明體"/>
            <family val="3"/>
            <charset val="136"/>
          </rPr>
          <t>面試</t>
        </r>
        <r>
          <rPr>
            <sz val="9"/>
            <color indexed="81"/>
            <rFont val="Tahoma"/>
            <family val="2"/>
          </rPr>
          <t xml:space="preserve"> </t>
        </r>
        <r>
          <rPr>
            <sz val="9"/>
            <color indexed="81"/>
            <rFont val="細明體"/>
            <family val="3"/>
            <charset val="136"/>
          </rPr>
          <t xml:space="preserve">中考獲優異成績
</t>
        </r>
        <r>
          <rPr>
            <b/>
            <sz val="9"/>
            <color indexed="81"/>
            <rFont val="細明體"/>
            <family val="3"/>
            <charset val="136"/>
          </rPr>
          <t>音樂</t>
        </r>
        <r>
          <rPr>
            <sz val="9"/>
            <color indexed="81"/>
            <rFont val="細明體"/>
            <family val="3"/>
            <charset val="136"/>
          </rPr>
          <t>考獲</t>
        </r>
        <r>
          <rPr>
            <sz val="9"/>
            <color indexed="81"/>
            <rFont val="Tahoma"/>
            <family val="2"/>
          </rPr>
          <t xml:space="preserve"> </t>
        </r>
        <r>
          <rPr>
            <b/>
            <sz val="9"/>
            <color indexed="81"/>
            <rFont val="Tahoma"/>
            <family val="2"/>
          </rPr>
          <t>Lv.4</t>
        </r>
        <r>
          <rPr>
            <b/>
            <sz val="9"/>
            <color indexed="81"/>
            <rFont val="細明體"/>
            <family val="3"/>
            <charset val="136"/>
          </rPr>
          <t>或以上</t>
        </r>
        <r>
          <rPr>
            <sz val="9"/>
            <color indexed="81"/>
            <rFont val="細明體"/>
            <family val="3"/>
            <charset val="136"/>
          </rPr>
          <t>者</t>
        </r>
        <r>
          <rPr>
            <sz val="9"/>
            <color indexed="81"/>
            <rFont val="Tahoma"/>
            <family val="2"/>
          </rPr>
          <t xml:space="preserve"> </t>
        </r>
        <r>
          <rPr>
            <sz val="9"/>
            <color indexed="81"/>
            <rFont val="細明體"/>
            <family val="3"/>
            <charset val="136"/>
          </rPr>
          <t>則可豁免該測試</t>
        </r>
      </text>
    </comment>
    <comment ref="C18" authorId="0" shapeId="0" xr:uid="{00000000-0006-0000-0E00-000020000000}">
      <text>
        <r>
          <rPr>
            <sz val="9"/>
            <color indexed="81"/>
            <rFont val="細明體"/>
            <family val="3"/>
            <charset val="136"/>
          </rPr>
          <t>同學亦須在額外的</t>
        </r>
        <r>
          <rPr>
            <sz val="9"/>
            <color indexed="81"/>
            <rFont val="Tahoma"/>
            <family val="2"/>
          </rPr>
          <t xml:space="preserve"> </t>
        </r>
        <r>
          <rPr>
            <b/>
            <sz val="9"/>
            <color indexed="81"/>
            <rFont val="細明體"/>
            <family val="3"/>
            <charset val="136"/>
          </rPr>
          <t>入學測試</t>
        </r>
        <r>
          <rPr>
            <b/>
            <sz val="9"/>
            <color indexed="81"/>
            <rFont val="Tahoma"/>
            <family val="2"/>
          </rPr>
          <t xml:space="preserve"> </t>
        </r>
        <r>
          <rPr>
            <sz val="9"/>
            <color indexed="81"/>
            <rFont val="細明體"/>
            <family val="3"/>
            <charset val="136"/>
          </rPr>
          <t xml:space="preserve">中考獲優異成績
</t>
        </r>
        <r>
          <rPr>
            <b/>
            <sz val="9"/>
            <color indexed="81"/>
            <rFont val="細明體"/>
            <family val="3"/>
            <charset val="136"/>
          </rPr>
          <t>視覺藝術</t>
        </r>
        <r>
          <rPr>
            <sz val="9"/>
            <color indexed="81"/>
            <rFont val="細明體"/>
            <family val="3"/>
            <charset val="136"/>
          </rPr>
          <t>考獲</t>
        </r>
        <r>
          <rPr>
            <b/>
            <sz val="9"/>
            <color indexed="81"/>
            <rFont val="Tahoma"/>
            <family val="2"/>
          </rPr>
          <t xml:space="preserve"> Lv.4</t>
        </r>
        <r>
          <rPr>
            <b/>
            <sz val="9"/>
            <color indexed="81"/>
            <rFont val="細明體"/>
            <family val="3"/>
            <charset val="136"/>
          </rPr>
          <t>或以上</t>
        </r>
        <r>
          <rPr>
            <sz val="9"/>
            <color indexed="81"/>
            <rFont val="細明體"/>
            <family val="3"/>
            <charset val="136"/>
          </rPr>
          <t>者</t>
        </r>
        <r>
          <rPr>
            <sz val="9"/>
            <color indexed="81"/>
            <rFont val="Tahoma"/>
            <family val="2"/>
          </rPr>
          <t xml:space="preserve"> </t>
        </r>
        <r>
          <rPr>
            <sz val="9"/>
            <color indexed="81"/>
            <rFont val="細明體"/>
            <family val="3"/>
            <charset val="136"/>
          </rPr>
          <t>則可豁免該測試</t>
        </r>
      </text>
    </comment>
    <comment ref="E18" authorId="0" shapeId="0" xr:uid="{00000000-0006-0000-0E00-000021000000}">
      <text>
        <r>
          <rPr>
            <b/>
            <sz val="9"/>
            <color indexed="81"/>
            <rFont val="細明體"/>
            <family val="3"/>
            <charset val="136"/>
          </rPr>
          <t>視覺藝術</t>
        </r>
        <r>
          <rPr>
            <sz val="9"/>
            <color indexed="81"/>
            <rFont val="細明體"/>
            <family val="3"/>
            <charset val="136"/>
          </rPr>
          <t>有最高比重</t>
        </r>
      </text>
    </comment>
    <comment ref="Q18" authorId="0" shapeId="0" xr:uid="{00000000-0006-0000-0E00-000022000000}">
      <text>
        <r>
          <rPr>
            <sz val="9"/>
            <color indexed="81"/>
            <rFont val="細明體"/>
            <family val="3"/>
            <charset val="136"/>
          </rPr>
          <t>同學亦須在額外的</t>
        </r>
        <r>
          <rPr>
            <sz val="9"/>
            <color indexed="81"/>
            <rFont val="Tahoma"/>
            <family val="2"/>
          </rPr>
          <t xml:space="preserve"> </t>
        </r>
        <r>
          <rPr>
            <b/>
            <sz val="9"/>
            <color indexed="81"/>
            <rFont val="細明體"/>
            <family val="3"/>
            <charset val="136"/>
          </rPr>
          <t>入學測試</t>
        </r>
        <r>
          <rPr>
            <b/>
            <sz val="9"/>
            <color indexed="81"/>
            <rFont val="Tahoma"/>
            <family val="2"/>
          </rPr>
          <t xml:space="preserve"> </t>
        </r>
        <r>
          <rPr>
            <sz val="9"/>
            <color indexed="81"/>
            <rFont val="細明體"/>
            <family val="3"/>
            <charset val="136"/>
          </rPr>
          <t>中考獲優異成績</t>
        </r>
        <r>
          <rPr>
            <sz val="9"/>
            <color indexed="81"/>
            <rFont val="Tahoma"/>
            <family val="2"/>
          </rPr>
          <t xml:space="preserve">
</t>
        </r>
        <r>
          <rPr>
            <b/>
            <sz val="9"/>
            <color indexed="81"/>
            <rFont val="細明體"/>
            <family val="3"/>
            <charset val="136"/>
          </rPr>
          <t>視覺藝術</t>
        </r>
        <r>
          <rPr>
            <sz val="9"/>
            <color indexed="81"/>
            <rFont val="細明體"/>
            <family val="3"/>
            <charset val="136"/>
          </rPr>
          <t>考獲</t>
        </r>
        <r>
          <rPr>
            <sz val="9"/>
            <color indexed="81"/>
            <rFont val="Tahoma"/>
            <family val="2"/>
          </rPr>
          <t xml:space="preserve"> </t>
        </r>
        <r>
          <rPr>
            <b/>
            <sz val="9"/>
            <color indexed="81"/>
            <rFont val="Tahoma"/>
            <family val="2"/>
          </rPr>
          <t>Lv.4</t>
        </r>
        <r>
          <rPr>
            <b/>
            <sz val="9"/>
            <color indexed="81"/>
            <rFont val="細明體"/>
            <family val="3"/>
            <charset val="136"/>
          </rPr>
          <t>或以上</t>
        </r>
        <r>
          <rPr>
            <sz val="9"/>
            <color indexed="81"/>
            <rFont val="細明體"/>
            <family val="3"/>
            <charset val="136"/>
          </rPr>
          <t>者</t>
        </r>
        <r>
          <rPr>
            <sz val="9"/>
            <color indexed="81"/>
            <rFont val="Tahoma"/>
            <family val="2"/>
          </rPr>
          <t xml:space="preserve"> </t>
        </r>
        <r>
          <rPr>
            <sz val="9"/>
            <color indexed="81"/>
            <rFont val="細明體"/>
            <family val="3"/>
            <charset val="136"/>
          </rPr>
          <t>則可豁免該測試</t>
        </r>
      </text>
    </comment>
    <comment ref="E19" authorId="0" shapeId="0" xr:uid="{00000000-0006-0000-0E00-000023000000}">
      <text>
        <r>
          <rPr>
            <b/>
            <sz val="9"/>
            <color indexed="81"/>
            <rFont val="細明體"/>
            <family val="3"/>
            <charset val="136"/>
          </rPr>
          <t>英文</t>
        </r>
        <r>
          <rPr>
            <sz val="9"/>
            <color indexed="81"/>
            <rFont val="細明體"/>
            <family val="3"/>
            <charset val="136"/>
          </rPr>
          <t>有最高比重</t>
        </r>
      </text>
    </comment>
    <comment ref="C21" authorId="0" shapeId="0" xr:uid="{00000000-0006-0000-0E00-000024000000}">
      <text>
        <r>
          <rPr>
            <sz val="9"/>
            <color indexed="81"/>
            <rFont val="細明體"/>
            <family val="3"/>
            <charset val="136"/>
          </rPr>
          <t>同學亦須在額外的</t>
        </r>
        <r>
          <rPr>
            <sz val="9"/>
            <color indexed="81"/>
            <rFont val="Tahoma"/>
            <family val="2"/>
          </rPr>
          <t xml:space="preserve"> </t>
        </r>
        <r>
          <rPr>
            <b/>
            <sz val="9"/>
            <color indexed="81"/>
            <rFont val="細明體"/>
            <family val="3"/>
            <charset val="136"/>
          </rPr>
          <t>入學測試</t>
        </r>
        <r>
          <rPr>
            <b/>
            <sz val="9"/>
            <color indexed="81"/>
            <rFont val="Tahoma"/>
            <family val="2"/>
          </rPr>
          <t>/</t>
        </r>
        <r>
          <rPr>
            <b/>
            <sz val="9"/>
            <color indexed="81"/>
            <rFont val="細明體"/>
            <family val="3"/>
            <charset val="136"/>
          </rPr>
          <t>面試</t>
        </r>
        <r>
          <rPr>
            <b/>
            <sz val="9"/>
            <color indexed="81"/>
            <rFont val="Tahoma"/>
            <family val="2"/>
          </rPr>
          <t xml:space="preserve"> </t>
        </r>
        <r>
          <rPr>
            <sz val="9"/>
            <color indexed="81"/>
            <rFont val="細明體"/>
            <family val="3"/>
            <charset val="136"/>
          </rPr>
          <t xml:space="preserve">中考獲優異成績
</t>
        </r>
        <r>
          <rPr>
            <b/>
            <sz val="9"/>
            <color indexed="81"/>
            <rFont val="細明體"/>
            <family val="3"/>
            <charset val="136"/>
          </rPr>
          <t>音樂</t>
        </r>
        <r>
          <rPr>
            <sz val="9"/>
            <color indexed="81"/>
            <rFont val="細明體"/>
            <family val="3"/>
            <charset val="136"/>
          </rPr>
          <t>考獲</t>
        </r>
        <r>
          <rPr>
            <sz val="9"/>
            <color indexed="81"/>
            <rFont val="Tahoma"/>
            <family val="2"/>
          </rPr>
          <t xml:space="preserve"> </t>
        </r>
        <r>
          <rPr>
            <b/>
            <sz val="9"/>
            <color indexed="81"/>
            <rFont val="Tahoma"/>
            <family val="2"/>
          </rPr>
          <t>Lv.4</t>
        </r>
        <r>
          <rPr>
            <b/>
            <sz val="9"/>
            <color indexed="81"/>
            <rFont val="細明體"/>
            <family val="3"/>
            <charset val="136"/>
          </rPr>
          <t>或以上</t>
        </r>
        <r>
          <rPr>
            <sz val="9"/>
            <color indexed="81"/>
            <rFont val="細明體"/>
            <family val="3"/>
            <charset val="136"/>
          </rPr>
          <t>者</t>
        </r>
        <r>
          <rPr>
            <sz val="9"/>
            <color indexed="81"/>
            <rFont val="Tahoma"/>
            <family val="2"/>
          </rPr>
          <t xml:space="preserve"> </t>
        </r>
        <r>
          <rPr>
            <sz val="9"/>
            <color indexed="81"/>
            <rFont val="細明體"/>
            <family val="3"/>
            <charset val="136"/>
          </rPr>
          <t>則可豁免該測試</t>
        </r>
      </text>
    </comment>
    <comment ref="E21" authorId="0" shapeId="0" xr:uid="{00000000-0006-0000-0E00-000025000000}">
      <text>
        <r>
          <rPr>
            <b/>
            <sz val="9"/>
            <color indexed="81"/>
            <rFont val="細明體"/>
            <family val="3"/>
            <charset val="136"/>
          </rPr>
          <t>音樂</t>
        </r>
        <r>
          <rPr>
            <sz val="9"/>
            <color indexed="81"/>
            <rFont val="細明體"/>
            <family val="3"/>
            <charset val="136"/>
          </rPr>
          <t>有最高比重</t>
        </r>
      </text>
    </comment>
    <comment ref="Q21" authorId="0" shapeId="0" xr:uid="{00000000-0006-0000-0E00-000026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音樂</t>
        </r>
        <r>
          <rPr>
            <sz val="9"/>
            <color indexed="81"/>
            <rFont val="Tahoma"/>
            <family val="2"/>
          </rPr>
          <t xml:space="preserve"> </t>
        </r>
        <r>
          <rPr>
            <sz val="9"/>
            <color indexed="81"/>
            <rFont val="細明體"/>
            <family val="3"/>
            <charset val="136"/>
          </rPr>
          <t>者
同學亦須在額外的</t>
        </r>
        <r>
          <rPr>
            <sz val="9"/>
            <color indexed="81"/>
            <rFont val="Tahoma"/>
            <family val="2"/>
          </rPr>
          <t xml:space="preserve"> </t>
        </r>
        <r>
          <rPr>
            <b/>
            <sz val="9"/>
            <color indexed="81"/>
            <rFont val="細明體"/>
            <family val="3"/>
            <charset val="136"/>
          </rPr>
          <t>入學測試</t>
        </r>
        <r>
          <rPr>
            <b/>
            <sz val="9"/>
            <color indexed="81"/>
            <rFont val="Tahoma"/>
            <family val="2"/>
          </rPr>
          <t>/</t>
        </r>
        <r>
          <rPr>
            <b/>
            <sz val="9"/>
            <color indexed="81"/>
            <rFont val="細明體"/>
            <family val="3"/>
            <charset val="136"/>
          </rPr>
          <t>面試</t>
        </r>
        <r>
          <rPr>
            <sz val="9"/>
            <color indexed="81"/>
            <rFont val="Tahoma"/>
            <family val="2"/>
          </rPr>
          <t xml:space="preserve"> </t>
        </r>
        <r>
          <rPr>
            <sz val="9"/>
            <color indexed="81"/>
            <rFont val="細明體"/>
            <family val="3"/>
            <charset val="136"/>
          </rPr>
          <t xml:space="preserve">中考獲優異成績
</t>
        </r>
        <r>
          <rPr>
            <b/>
            <sz val="9"/>
            <color indexed="81"/>
            <rFont val="細明體"/>
            <family val="3"/>
            <charset val="136"/>
          </rPr>
          <t>音樂</t>
        </r>
        <r>
          <rPr>
            <sz val="9"/>
            <color indexed="81"/>
            <rFont val="細明體"/>
            <family val="3"/>
            <charset val="136"/>
          </rPr>
          <t>考獲</t>
        </r>
        <r>
          <rPr>
            <sz val="9"/>
            <color indexed="81"/>
            <rFont val="Tahoma"/>
            <family val="2"/>
          </rPr>
          <t xml:space="preserve"> </t>
        </r>
        <r>
          <rPr>
            <b/>
            <sz val="9"/>
            <color indexed="81"/>
            <rFont val="Tahoma"/>
            <family val="2"/>
          </rPr>
          <t>Lv.4</t>
        </r>
        <r>
          <rPr>
            <b/>
            <sz val="9"/>
            <color indexed="81"/>
            <rFont val="細明體"/>
            <family val="3"/>
            <charset val="136"/>
          </rPr>
          <t>或以上</t>
        </r>
        <r>
          <rPr>
            <sz val="9"/>
            <color indexed="81"/>
            <rFont val="細明體"/>
            <family val="3"/>
            <charset val="136"/>
          </rPr>
          <t>者</t>
        </r>
        <r>
          <rPr>
            <sz val="9"/>
            <color indexed="81"/>
            <rFont val="Tahoma"/>
            <family val="2"/>
          </rPr>
          <t xml:space="preserve"> </t>
        </r>
        <r>
          <rPr>
            <sz val="9"/>
            <color indexed="81"/>
            <rFont val="細明體"/>
            <family val="3"/>
            <charset val="136"/>
          </rPr>
          <t>則可豁免該測試</t>
        </r>
      </text>
    </comment>
    <comment ref="C22" authorId="0" shapeId="0" xr:uid="{00000000-0006-0000-0E00-000027000000}">
      <text>
        <r>
          <rPr>
            <sz val="9"/>
            <color indexed="81"/>
            <rFont val="細明體"/>
            <family val="3"/>
            <charset val="136"/>
          </rPr>
          <t>同學亦須在額外的</t>
        </r>
        <r>
          <rPr>
            <sz val="9"/>
            <color indexed="81"/>
            <rFont val="Tahoma"/>
            <family val="2"/>
          </rPr>
          <t xml:space="preserve"> </t>
        </r>
        <r>
          <rPr>
            <b/>
            <sz val="9"/>
            <color indexed="81"/>
            <rFont val="細明體"/>
            <family val="3"/>
            <charset val="136"/>
          </rPr>
          <t>入學測試</t>
        </r>
        <r>
          <rPr>
            <sz val="9"/>
            <color indexed="81"/>
            <rFont val="Tahoma"/>
            <family val="2"/>
          </rPr>
          <t xml:space="preserve"> </t>
        </r>
        <r>
          <rPr>
            <sz val="9"/>
            <color indexed="81"/>
            <rFont val="細明體"/>
            <family val="3"/>
            <charset val="136"/>
          </rPr>
          <t xml:space="preserve">中考獲優異成績
</t>
        </r>
        <r>
          <rPr>
            <b/>
            <sz val="9"/>
            <color indexed="81"/>
            <rFont val="細明體"/>
            <family val="3"/>
            <charset val="136"/>
          </rPr>
          <t>視覺藝術</t>
        </r>
        <r>
          <rPr>
            <sz val="9"/>
            <color indexed="81"/>
            <rFont val="細明體"/>
            <family val="3"/>
            <charset val="136"/>
          </rPr>
          <t>考獲</t>
        </r>
        <r>
          <rPr>
            <sz val="9"/>
            <color indexed="81"/>
            <rFont val="Tahoma"/>
            <family val="2"/>
          </rPr>
          <t xml:space="preserve"> </t>
        </r>
        <r>
          <rPr>
            <b/>
            <sz val="9"/>
            <color indexed="81"/>
            <rFont val="Tahoma"/>
            <family val="2"/>
          </rPr>
          <t>Lv.4</t>
        </r>
        <r>
          <rPr>
            <b/>
            <sz val="9"/>
            <color indexed="81"/>
            <rFont val="細明體"/>
            <family val="3"/>
            <charset val="136"/>
          </rPr>
          <t>或以上</t>
        </r>
        <r>
          <rPr>
            <sz val="9"/>
            <color indexed="81"/>
            <rFont val="細明體"/>
            <family val="3"/>
            <charset val="136"/>
          </rPr>
          <t>者</t>
        </r>
        <r>
          <rPr>
            <sz val="9"/>
            <color indexed="81"/>
            <rFont val="Tahoma"/>
            <family val="2"/>
          </rPr>
          <t xml:space="preserve"> </t>
        </r>
        <r>
          <rPr>
            <sz val="9"/>
            <color indexed="81"/>
            <rFont val="細明體"/>
            <family val="3"/>
            <charset val="136"/>
          </rPr>
          <t>則可豁免該測試</t>
        </r>
      </text>
    </comment>
    <comment ref="E22" authorId="0" shapeId="0" xr:uid="{00000000-0006-0000-0E00-000028000000}">
      <text>
        <r>
          <rPr>
            <b/>
            <sz val="9"/>
            <color indexed="81"/>
            <rFont val="細明體"/>
            <family val="3"/>
            <charset val="136"/>
          </rPr>
          <t>視覺藝術</t>
        </r>
        <r>
          <rPr>
            <sz val="9"/>
            <color indexed="81"/>
            <rFont val="細明體"/>
            <family val="3"/>
            <charset val="136"/>
          </rPr>
          <t>有最高比重</t>
        </r>
      </text>
    </comment>
    <comment ref="Q22" authorId="0" shapeId="0" xr:uid="{00000000-0006-0000-0E00-000029000000}">
      <text>
        <r>
          <rPr>
            <sz val="9"/>
            <color indexed="81"/>
            <rFont val="細明體"/>
            <family val="3"/>
            <charset val="136"/>
          </rPr>
          <t>同學亦須在額外的</t>
        </r>
        <r>
          <rPr>
            <sz val="9"/>
            <color indexed="81"/>
            <rFont val="Tahoma"/>
            <family val="2"/>
          </rPr>
          <t xml:space="preserve"> </t>
        </r>
        <r>
          <rPr>
            <b/>
            <sz val="9"/>
            <color indexed="81"/>
            <rFont val="細明體"/>
            <family val="3"/>
            <charset val="136"/>
          </rPr>
          <t>入學測試</t>
        </r>
        <r>
          <rPr>
            <b/>
            <sz val="9"/>
            <color indexed="81"/>
            <rFont val="Tahoma"/>
            <family val="2"/>
          </rPr>
          <t xml:space="preserve"> </t>
        </r>
        <r>
          <rPr>
            <sz val="9"/>
            <color indexed="81"/>
            <rFont val="細明體"/>
            <family val="3"/>
            <charset val="136"/>
          </rPr>
          <t>中考獲優異成績</t>
        </r>
        <r>
          <rPr>
            <sz val="9"/>
            <color indexed="81"/>
            <rFont val="Tahoma"/>
            <family val="2"/>
          </rPr>
          <t xml:space="preserve">
</t>
        </r>
        <r>
          <rPr>
            <b/>
            <sz val="9"/>
            <color indexed="81"/>
            <rFont val="細明體"/>
            <family val="3"/>
            <charset val="136"/>
          </rPr>
          <t>視覺藝術</t>
        </r>
        <r>
          <rPr>
            <sz val="9"/>
            <color indexed="81"/>
            <rFont val="細明體"/>
            <family val="3"/>
            <charset val="136"/>
          </rPr>
          <t>考獲</t>
        </r>
        <r>
          <rPr>
            <sz val="9"/>
            <color indexed="81"/>
            <rFont val="Tahoma"/>
            <family val="2"/>
          </rPr>
          <t xml:space="preserve"> </t>
        </r>
        <r>
          <rPr>
            <b/>
            <sz val="9"/>
            <color indexed="81"/>
            <rFont val="Tahoma"/>
            <family val="2"/>
          </rPr>
          <t>Lv.4</t>
        </r>
        <r>
          <rPr>
            <b/>
            <sz val="9"/>
            <color indexed="81"/>
            <rFont val="細明體"/>
            <family val="3"/>
            <charset val="136"/>
          </rPr>
          <t>或以上</t>
        </r>
        <r>
          <rPr>
            <sz val="9"/>
            <color indexed="81"/>
            <rFont val="細明體"/>
            <family val="3"/>
            <charset val="136"/>
          </rPr>
          <t>者</t>
        </r>
        <r>
          <rPr>
            <sz val="9"/>
            <color indexed="81"/>
            <rFont val="Tahoma"/>
            <family val="2"/>
          </rPr>
          <t xml:space="preserve"> </t>
        </r>
        <r>
          <rPr>
            <sz val="9"/>
            <color indexed="81"/>
            <rFont val="細明體"/>
            <family val="3"/>
            <charset val="136"/>
          </rPr>
          <t>則可豁免該測試</t>
        </r>
      </text>
    </comment>
    <comment ref="N23" authorId="0" shapeId="0" xr:uid="{00000000-0006-0000-0E00-00002A000000}">
      <text>
        <r>
          <rPr>
            <b/>
            <sz val="9"/>
            <color indexed="81"/>
            <rFont val="Tahoma"/>
            <family val="2"/>
          </rPr>
          <t>2020</t>
        </r>
        <r>
          <rPr>
            <b/>
            <sz val="9"/>
            <color indexed="81"/>
            <rFont val="細明體"/>
            <family val="3"/>
            <charset val="136"/>
          </rPr>
          <t>年收生平均為</t>
        </r>
        <r>
          <rPr>
            <b/>
            <sz val="9"/>
            <color indexed="81"/>
            <rFont val="Tahoma"/>
            <family val="2"/>
          </rPr>
          <t>: Lv.5*</t>
        </r>
      </text>
    </comment>
    <comment ref="Q24" authorId="0" shapeId="0" xr:uid="{00000000-0006-0000-0E00-00002B000000}">
      <text>
        <r>
          <rPr>
            <b/>
            <sz val="9"/>
            <color indexed="81"/>
            <rFont val="細明體"/>
            <family val="3"/>
            <charset val="136"/>
          </rPr>
          <t>入學要求</t>
        </r>
        <r>
          <rPr>
            <b/>
            <sz val="9"/>
            <color indexed="81"/>
            <rFont val="Tahoma"/>
            <family val="2"/>
          </rPr>
          <t xml:space="preserve">:
</t>
        </r>
        <r>
          <rPr>
            <sz val="9"/>
            <color indexed="81"/>
            <rFont val="細明體"/>
            <family val="3"/>
            <charset val="136"/>
          </rPr>
          <t>中英</t>
        </r>
        <r>
          <rPr>
            <sz val="9"/>
            <color indexed="81"/>
            <rFont val="Tahoma"/>
            <family val="2"/>
          </rPr>
          <t>+</t>
        </r>
        <r>
          <rPr>
            <sz val="9"/>
            <color indexed="81"/>
            <rFont val="細明體"/>
            <family val="3"/>
            <charset val="136"/>
          </rPr>
          <t>最佳</t>
        </r>
        <r>
          <rPr>
            <sz val="9"/>
            <color indexed="81"/>
            <rFont val="Tahoma"/>
            <family val="2"/>
          </rPr>
          <t>3</t>
        </r>
        <r>
          <rPr>
            <sz val="9"/>
            <color indexed="81"/>
            <rFont val="細明體"/>
            <family val="3"/>
            <charset val="136"/>
          </rPr>
          <t>科</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Michael Chan</author>
    <author>Michael</author>
  </authors>
  <commentList>
    <comment ref="E9" authorId="0" shapeId="0" xr:uid="{00000000-0006-0000-0F00-000001000000}">
      <text>
        <r>
          <rPr>
            <b/>
            <sz val="9"/>
            <color indexed="81"/>
            <rFont val="Tahoma"/>
            <family val="2"/>
          </rPr>
          <t>x2:</t>
        </r>
        <r>
          <rPr>
            <sz val="9"/>
            <color indexed="81"/>
            <rFont val="Tahoma"/>
            <family val="2"/>
          </rPr>
          <t xml:space="preserve"> </t>
        </r>
        <r>
          <rPr>
            <sz val="9"/>
            <color indexed="81"/>
            <rFont val="細明體"/>
            <family val="3"/>
            <charset val="136"/>
          </rPr>
          <t>中文</t>
        </r>
      </text>
    </comment>
    <comment ref="E10" authorId="0" shapeId="0" xr:uid="{00000000-0006-0000-0F00-000002000000}">
      <text>
        <r>
          <rPr>
            <b/>
            <sz val="9"/>
            <color indexed="81"/>
            <rFont val="Tahoma"/>
            <family val="2"/>
          </rPr>
          <t xml:space="preserve">x1.5: </t>
        </r>
        <r>
          <rPr>
            <sz val="9"/>
            <color indexed="81"/>
            <rFont val="細明體"/>
            <family val="3"/>
            <charset val="136"/>
          </rPr>
          <t>中文、英文</t>
        </r>
        <r>
          <rPr>
            <sz val="9"/>
            <color indexed="81"/>
            <rFont val="Tahoma"/>
            <family val="2"/>
          </rPr>
          <t xml:space="preserve"> </t>
        </r>
      </text>
    </comment>
    <comment ref="E11" authorId="0" shapeId="0" xr:uid="{00000000-0006-0000-0F00-000003000000}">
      <text>
        <r>
          <rPr>
            <b/>
            <sz val="9"/>
            <color indexed="81"/>
            <rFont val="Tahoma"/>
            <family val="2"/>
          </rPr>
          <t>x1.5:</t>
        </r>
        <r>
          <rPr>
            <sz val="9"/>
            <color indexed="81"/>
            <rFont val="Tahoma"/>
            <family val="2"/>
          </rPr>
          <t xml:space="preserve"> </t>
        </r>
        <r>
          <rPr>
            <sz val="9"/>
            <color indexed="81"/>
            <rFont val="細明體"/>
            <family val="3"/>
            <charset val="136"/>
          </rPr>
          <t>中文、英文</t>
        </r>
      </text>
    </comment>
    <comment ref="E24" authorId="0" shapeId="0" xr:uid="{00000000-0006-0000-0F00-000004000000}">
      <text>
        <r>
          <rPr>
            <b/>
            <sz val="9"/>
            <color indexed="81"/>
            <rFont val="Tahoma"/>
            <family val="2"/>
          </rPr>
          <t xml:space="preserve">x2: </t>
        </r>
        <r>
          <rPr>
            <sz val="9"/>
            <color indexed="81"/>
            <rFont val="細明體"/>
            <family val="3"/>
            <charset val="136"/>
          </rPr>
          <t>英文</t>
        </r>
      </text>
    </comment>
    <comment ref="M24" authorId="1" shapeId="0" xr:uid="{00000000-0006-0000-0F00-000005000000}">
      <text>
        <r>
          <rPr>
            <sz val="9"/>
            <color indexed="81"/>
            <rFont val="Tahoma"/>
            <family val="2"/>
          </rPr>
          <t xml:space="preserve">(On a selective basis)
</t>
        </r>
      </text>
    </comment>
    <comment ref="E25" authorId="0" shapeId="0" xr:uid="{00000000-0006-0000-0F00-000006000000}">
      <text>
        <r>
          <rPr>
            <b/>
            <sz val="9"/>
            <color indexed="81"/>
            <rFont val="Tahoma"/>
            <family val="2"/>
          </rPr>
          <t xml:space="preserve">x2: </t>
        </r>
        <r>
          <rPr>
            <sz val="9"/>
            <color indexed="81"/>
            <rFont val="細明體"/>
            <family val="3"/>
            <charset val="136"/>
          </rPr>
          <t>英文</t>
        </r>
      </text>
    </comment>
    <comment ref="E26" authorId="0" shapeId="0" xr:uid="{00000000-0006-0000-0F00-000007000000}">
      <text>
        <r>
          <rPr>
            <b/>
            <sz val="9"/>
            <color indexed="81"/>
            <rFont val="Tahoma"/>
            <family val="2"/>
          </rPr>
          <t xml:space="preserve">x2: </t>
        </r>
        <r>
          <rPr>
            <sz val="9"/>
            <color indexed="81"/>
            <rFont val="細明體"/>
            <family val="3"/>
            <charset val="136"/>
          </rPr>
          <t>中文、中國文學</t>
        </r>
        <r>
          <rPr>
            <sz val="9"/>
            <color indexed="81"/>
            <rFont val="Tahoma"/>
            <family val="2"/>
          </rPr>
          <t xml:space="preserve"> </t>
        </r>
      </text>
    </comment>
    <comment ref="E27" authorId="0" shapeId="0" xr:uid="{00000000-0006-0000-0F00-000008000000}">
      <text>
        <r>
          <rPr>
            <b/>
            <sz val="9"/>
            <color indexed="81"/>
            <rFont val="Tahoma"/>
            <family val="2"/>
          </rPr>
          <t xml:space="preserve">x2: </t>
        </r>
        <r>
          <rPr>
            <sz val="9"/>
            <color indexed="81"/>
            <rFont val="細明體"/>
            <family val="3"/>
            <charset val="136"/>
          </rPr>
          <t>中文、中國文學</t>
        </r>
      </text>
    </comment>
    <comment ref="M27" authorId="1" shapeId="0" xr:uid="{00000000-0006-0000-0F00-000009000000}">
      <text>
        <r>
          <rPr>
            <sz val="9"/>
            <color indexed="81"/>
            <rFont val="Tahoma"/>
            <family val="2"/>
          </rPr>
          <t xml:space="preserve">(On a selective basis)
</t>
        </r>
      </text>
    </comment>
    <comment ref="C29" authorId="0" shapeId="0" xr:uid="{00000000-0006-0000-0F00-00000A000000}">
      <text>
        <r>
          <rPr>
            <sz val="9"/>
            <color indexed="81"/>
            <rFont val="細明體"/>
            <family val="3"/>
            <charset val="136"/>
          </rPr>
          <t>若應用學習科目</t>
        </r>
        <r>
          <rPr>
            <sz val="9"/>
            <color indexed="81"/>
            <rFont val="Tahoma"/>
            <family val="2"/>
          </rPr>
          <t xml:space="preserve"> (</t>
        </r>
        <r>
          <rPr>
            <sz val="9"/>
            <color indexed="81"/>
            <rFont val="細明體"/>
            <family val="3"/>
            <charset val="136"/>
          </rPr>
          <t>乙類科目</t>
        </r>
        <r>
          <rPr>
            <sz val="9"/>
            <color indexed="81"/>
            <rFont val="Tahoma"/>
            <family val="2"/>
          </rPr>
          <t xml:space="preserve">) </t>
        </r>
        <r>
          <rPr>
            <sz val="9"/>
            <color indexed="81"/>
            <rFont val="細明體"/>
            <family val="3"/>
            <charset val="136"/>
          </rPr>
          <t>被用作滿足入學要求的選修科目，「幼兒教育」會被當作甲類科目看待。</t>
        </r>
      </text>
    </comment>
    <comment ref="E29" authorId="0" shapeId="0" xr:uid="{00000000-0006-0000-0F00-00000B000000}">
      <text>
        <r>
          <rPr>
            <b/>
            <sz val="9"/>
            <color indexed="81"/>
            <rFont val="Tahoma"/>
            <family val="2"/>
          </rPr>
          <t xml:space="preserve">x2: </t>
        </r>
        <r>
          <rPr>
            <sz val="9"/>
            <color indexed="81"/>
            <rFont val="Tahoma"/>
            <family val="2"/>
          </rPr>
          <t xml:space="preserve">(ApL) </t>
        </r>
        <r>
          <rPr>
            <sz val="9"/>
            <color indexed="81"/>
            <rFont val="細明體"/>
            <family val="3"/>
            <charset val="136"/>
          </rPr>
          <t xml:space="preserve">幼兒教育
</t>
        </r>
        <r>
          <rPr>
            <sz val="9"/>
            <color indexed="81"/>
            <rFont val="Tahoma"/>
            <family val="2"/>
          </rPr>
          <t>Child Care and Education</t>
        </r>
      </text>
    </comment>
    <comment ref="M29" authorId="1" shapeId="0" xr:uid="{00000000-0006-0000-0F00-00000C000000}">
      <text>
        <r>
          <rPr>
            <sz val="9"/>
            <color indexed="81"/>
            <rFont val="Tahoma"/>
            <family val="2"/>
          </rPr>
          <t xml:space="preserve">(On a selective basis)
</t>
        </r>
      </text>
    </comment>
    <comment ref="E30" authorId="0" shapeId="0" xr:uid="{00000000-0006-0000-0F00-00000D000000}">
      <text>
        <r>
          <rPr>
            <b/>
            <sz val="9"/>
            <color indexed="81"/>
            <rFont val="Tahoma"/>
            <family val="2"/>
          </rPr>
          <t>2021</t>
        </r>
        <r>
          <rPr>
            <b/>
            <sz val="9"/>
            <color indexed="81"/>
            <rFont val="細明體"/>
            <family val="3"/>
            <charset val="136"/>
          </rPr>
          <t>新科目</t>
        </r>
      </text>
    </comment>
    <comment ref="E31" authorId="0" shapeId="0" xr:uid="{00000000-0006-0000-0F00-00000E000000}">
      <text>
        <r>
          <rPr>
            <b/>
            <sz val="9"/>
            <color indexed="81"/>
            <rFont val="Tahoma"/>
            <family val="2"/>
          </rPr>
          <t>2021</t>
        </r>
        <r>
          <rPr>
            <b/>
            <sz val="9"/>
            <color indexed="81"/>
            <rFont val="細明體"/>
            <family val="3"/>
            <charset val="136"/>
          </rPr>
          <t>新科目</t>
        </r>
      </text>
    </comment>
    <comment ref="C33" authorId="0" shapeId="0" xr:uid="{00000000-0006-0000-0F00-00000F000000}">
      <text>
        <r>
          <rPr>
            <sz val="9"/>
            <color indexed="81"/>
            <rFont val="細明體"/>
            <family val="3"/>
            <charset val="136"/>
          </rPr>
          <t>選修科為</t>
        </r>
        <r>
          <rPr>
            <b/>
            <sz val="9"/>
            <color indexed="81"/>
            <rFont val="細明體"/>
            <family val="3"/>
            <charset val="136"/>
          </rPr>
          <t>理科</t>
        </r>
        <r>
          <rPr>
            <b/>
            <sz val="9"/>
            <color indexed="81"/>
            <rFont val="Tahoma"/>
            <family val="2"/>
          </rPr>
          <t>*</t>
        </r>
        <r>
          <rPr>
            <sz val="9"/>
            <color indexed="81"/>
            <rFont val="細明體"/>
            <family val="3"/>
            <charset val="136"/>
          </rPr>
          <t xml:space="preserve">者將被優先考慮
</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生物、化學、物理、組合科學、綜合科學、</t>
        </r>
        <r>
          <rPr>
            <sz val="9"/>
            <color indexed="81"/>
            <rFont val="Tahoma"/>
            <family val="2"/>
          </rPr>
          <t>M1/2</t>
        </r>
        <r>
          <rPr>
            <sz val="9"/>
            <color indexed="81"/>
            <rFont val="細明體"/>
            <family val="3"/>
            <charset val="136"/>
          </rPr>
          <t>、</t>
        </r>
        <r>
          <rPr>
            <sz val="9"/>
            <color indexed="81"/>
            <rFont val="Tahoma"/>
            <family val="2"/>
          </rPr>
          <t>ICT</t>
        </r>
      </text>
    </comment>
    <comment ref="E33" authorId="0" shapeId="0" xr:uid="{00000000-0006-0000-0F00-000010000000}">
      <text>
        <r>
          <rPr>
            <b/>
            <sz val="9"/>
            <color indexed="81"/>
            <rFont val="Tahoma"/>
            <family val="2"/>
          </rPr>
          <t>2021</t>
        </r>
        <r>
          <rPr>
            <b/>
            <sz val="9"/>
            <color indexed="81"/>
            <rFont val="細明體"/>
            <family val="3"/>
            <charset val="136"/>
          </rPr>
          <t>新科目</t>
        </r>
      </text>
    </comment>
    <comment ref="R33" authorId="0" shapeId="0" xr:uid="{00000000-0006-0000-0F00-000011000000}">
      <text>
        <r>
          <rPr>
            <sz val="9"/>
            <color indexed="81"/>
            <rFont val="細明體"/>
            <family val="3"/>
            <charset val="136"/>
          </rPr>
          <t>選修科為</t>
        </r>
        <r>
          <rPr>
            <b/>
            <sz val="9"/>
            <color indexed="81"/>
            <rFont val="細明體"/>
            <family val="3"/>
            <charset val="136"/>
          </rPr>
          <t>理科</t>
        </r>
        <r>
          <rPr>
            <b/>
            <sz val="9"/>
            <color indexed="81"/>
            <rFont val="Tahoma"/>
            <family val="2"/>
          </rPr>
          <t>*</t>
        </r>
        <r>
          <rPr>
            <sz val="9"/>
            <color indexed="81"/>
            <rFont val="細明體"/>
            <family val="3"/>
            <charset val="136"/>
          </rPr>
          <t xml:space="preserve">者將被優先考慮
</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生物、化學、物理、組合科學、綜合科學、</t>
        </r>
        <r>
          <rPr>
            <sz val="9"/>
            <color indexed="81"/>
            <rFont val="Tahoma"/>
            <family val="2"/>
          </rPr>
          <t>M1/2</t>
        </r>
        <r>
          <rPr>
            <sz val="9"/>
            <color indexed="81"/>
            <rFont val="細明體"/>
            <family val="3"/>
            <charset val="136"/>
          </rPr>
          <t>、</t>
        </r>
        <r>
          <rPr>
            <sz val="9"/>
            <color indexed="81"/>
            <rFont val="Tahoma"/>
            <family val="2"/>
          </rPr>
          <t>ICT</t>
        </r>
      </text>
    </comment>
    <comment ref="C34" authorId="0" shapeId="0" xr:uid="{00000000-0006-0000-0F00-000012000000}">
      <text>
        <r>
          <rPr>
            <sz val="9"/>
            <color indexed="81"/>
            <rFont val="細明體"/>
            <family val="3"/>
            <charset val="136"/>
          </rPr>
          <t>選修科為</t>
        </r>
        <r>
          <rPr>
            <b/>
            <sz val="9"/>
            <color indexed="81"/>
            <rFont val="細明體"/>
            <family val="3"/>
            <charset val="136"/>
          </rPr>
          <t>理科</t>
        </r>
        <r>
          <rPr>
            <b/>
            <sz val="9"/>
            <color indexed="81"/>
            <rFont val="Tahoma"/>
            <family val="2"/>
          </rPr>
          <t>*</t>
        </r>
        <r>
          <rPr>
            <sz val="9"/>
            <color indexed="81"/>
            <rFont val="細明體"/>
            <family val="3"/>
            <charset val="136"/>
          </rPr>
          <t xml:space="preserve">者將被優先考慮
</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生物、化學、物理、組合科學、綜合科學、</t>
        </r>
        <r>
          <rPr>
            <sz val="9"/>
            <color indexed="81"/>
            <rFont val="Tahoma"/>
            <family val="2"/>
          </rPr>
          <t>M1/2</t>
        </r>
        <r>
          <rPr>
            <sz val="9"/>
            <color indexed="81"/>
            <rFont val="細明體"/>
            <family val="3"/>
            <charset val="136"/>
          </rPr>
          <t>、</t>
        </r>
        <r>
          <rPr>
            <sz val="9"/>
            <color indexed="81"/>
            <rFont val="Tahoma"/>
            <family val="2"/>
          </rPr>
          <t>ICT</t>
        </r>
      </text>
    </comment>
    <comment ref="E34" authorId="0" shapeId="0" xr:uid="{00000000-0006-0000-0F00-000013000000}">
      <text>
        <r>
          <rPr>
            <b/>
            <sz val="9"/>
            <color indexed="81"/>
            <rFont val="Tahoma"/>
            <family val="2"/>
          </rPr>
          <t>2021</t>
        </r>
        <r>
          <rPr>
            <b/>
            <sz val="9"/>
            <color indexed="81"/>
            <rFont val="細明體"/>
            <family val="3"/>
            <charset val="136"/>
          </rPr>
          <t>新科目</t>
        </r>
      </text>
    </comment>
    <comment ref="R34" authorId="0" shapeId="0" xr:uid="{00000000-0006-0000-0F00-000014000000}">
      <text>
        <r>
          <rPr>
            <sz val="9"/>
            <color indexed="81"/>
            <rFont val="細明體"/>
            <family val="3"/>
            <charset val="136"/>
          </rPr>
          <t>選修科為</t>
        </r>
        <r>
          <rPr>
            <b/>
            <sz val="9"/>
            <color indexed="81"/>
            <rFont val="細明體"/>
            <family val="3"/>
            <charset val="136"/>
          </rPr>
          <t>理科</t>
        </r>
        <r>
          <rPr>
            <b/>
            <sz val="9"/>
            <color indexed="81"/>
            <rFont val="Tahoma"/>
            <family val="2"/>
          </rPr>
          <t>*</t>
        </r>
        <r>
          <rPr>
            <sz val="9"/>
            <color indexed="81"/>
            <rFont val="細明體"/>
            <family val="3"/>
            <charset val="136"/>
          </rPr>
          <t xml:space="preserve">者將被優先考慮
</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生物、化學、物理、組合科學、綜合科學、</t>
        </r>
        <r>
          <rPr>
            <sz val="9"/>
            <color indexed="81"/>
            <rFont val="Tahoma"/>
            <family val="2"/>
          </rPr>
          <t>M1/2</t>
        </r>
        <r>
          <rPr>
            <sz val="9"/>
            <color indexed="81"/>
            <rFont val="細明體"/>
            <family val="3"/>
            <charset val="136"/>
          </rPr>
          <t>、</t>
        </r>
        <r>
          <rPr>
            <sz val="9"/>
            <color indexed="81"/>
            <rFont val="Tahoma"/>
            <family val="2"/>
          </rPr>
          <t>ICT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Michael</author>
    <author>Michael Chan</author>
    <author>CHAN, Koon Ho</author>
  </authors>
  <commentList>
    <comment ref="N2" authorId="0" shapeId="0" xr:uid="{00000000-0006-0000-1100-000001000000}">
      <text>
        <r>
          <rPr>
            <sz val="9"/>
            <color indexed="81"/>
            <rFont val="Tahoma"/>
            <family val="2"/>
          </rPr>
          <t xml:space="preserve">Applicant </t>
        </r>
        <r>
          <rPr>
            <b/>
            <sz val="9"/>
            <color indexed="81"/>
            <rFont val="Tahoma"/>
            <family val="2"/>
          </rPr>
          <t>must have passed the admission interview</t>
        </r>
        <r>
          <rPr>
            <sz val="9"/>
            <color indexed="81"/>
            <rFont val="Tahoma"/>
            <family val="2"/>
          </rPr>
          <t xml:space="preserve"> for successful application.</t>
        </r>
      </text>
    </comment>
    <comment ref="S2" authorId="1" shapeId="0" xr:uid="{00000000-0006-0000-1100-000002000000}">
      <text>
        <r>
          <rPr>
            <sz val="9"/>
            <color indexed="81"/>
            <rFont val="細明體"/>
            <family val="3"/>
            <charset val="136"/>
          </rPr>
          <t>優先考慮</t>
        </r>
        <r>
          <rPr>
            <sz val="9"/>
            <color indexed="81"/>
            <rFont val="Tahoma"/>
            <family val="2"/>
          </rPr>
          <t xml:space="preserve"> </t>
        </r>
        <r>
          <rPr>
            <b/>
            <sz val="9"/>
            <color indexed="81"/>
            <rFont val="細明體"/>
            <family val="3"/>
            <charset val="136"/>
          </rPr>
          <t>生物</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生物</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Lv.2</t>
        </r>
        <r>
          <rPr>
            <b/>
            <sz val="9"/>
            <color indexed="81"/>
            <rFont val="細明體"/>
            <family val="3"/>
            <charset val="136"/>
          </rPr>
          <t>或以上</t>
        </r>
        <r>
          <rPr>
            <sz val="9"/>
            <color indexed="81"/>
            <rFont val="細明體"/>
            <family val="3"/>
            <charset val="136"/>
          </rPr>
          <t>者</t>
        </r>
      </text>
    </comment>
    <comment ref="N3" authorId="0" shapeId="0" xr:uid="{00000000-0006-0000-1100-000003000000}">
      <text>
        <r>
          <rPr>
            <b/>
            <sz val="9"/>
            <color indexed="81"/>
            <rFont val="Tahoma"/>
            <family val="2"/>
          </rPr>
          <t>(For all applicants)</t>
        </r>
      </text>
    </comment>
    <comment ref="E4" authorId="1" shapeId="0" xr:uid="{00000000-0006-0000-1100-000004000000}">
      <text>
        <r>
          <rPr>
            <b/>
            <sz val="9"/>
            <color indexed="81"/>
            <rFont val="Tahoma"/>
            <family val="2"/>
          </rPr>
          <t>2021</t>
        </r>
        <r>
          <rPr>
            <b/>
            <sz val="9"/>
            <color indexed="81"/>
            <rFont val="細明體"/>
            <family val="3"/>
            <charset val="136"/>
          </rPr>
          <t>年新科目</t>
        </r>
        <r>
          <rPr>
            <sz val="9"/>
            <color indexed="81"/>
            <rFont val="Tahoma"/>
            <family val="2"/>
          </rPr>
          <t xml:space="preserve">
Preference will be given to applicants who have obtained Level 4 or above in English Language 
and Level 3 or above in Biology or Physics or Level 3 in Combined Science (Biology and Physics) in HKDSE.</t>
        </r>
      </text>
    </comment>
    <comment ref="N4" authorId="0" shapeId="0" xr:uid="{00000000-0006-0000-1100-000005000000}">
      <text>
        <r>
          <rPr>
            <sz val="9"/>
            <color indexed="81"/>
            <rFont val="Tahoma"/>
            <family val="2"/>
          </rPr>
          <t xml:space="preserve">(For selected candidates)
</t>
        </r>
      </text>
    </comment>
    <comment ref="P4" authorId="0" shapeId="0" xr:uid="{00000000-0006-0000-1100-000006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S4" authorId="1" shapeId="0" xr:uid="{00000000-0006-0000-1100-000007000000}">
      <text>
        <r>
          <rPr>
            <sz val="9"/>
            <color indexed="81"/>
            <rFont val="細明體"/>
            <family val="3"/>
            <charset val="136"/>
          </rPr>
          <t>優先考慮</t>
        </r>
        <r>
          <rPr>
            <sz val="9"/>
            <color indexed="81"/>
            <rFont val="Tahoma"/>
            <family val="2"/>
          </rPr>
          <t xml:space="preserve"> </t>
        </r>
        <r>
          <rPr>
            <b/>
            <sz val="9"/>
            <color indexed="81"/>
            <rFont val="細明體"/>
            <family val="3"/>
            <charset val="136"/>
          </rPr>
          <t>物理</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生物</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物理、生物</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者</t>
        </r>
      </text>
    </comment>
    <comment ref="E5" authorId="1" shapeId="0" xr:uid="{00000000-0006-0000-1100-000008000000}">
      <text>
        <r>
          <rPr>
            <b/>
            <sz val="9"/>
            <color indexed="81"/>
            <rFont val="Tahoma"/>
            <family val="2"/>
          </rPr>
          <t>2021</t>
        </r>
        <r>
          <rPr>
            <b/>
            <sz val="9"/>
            <color indexed="81"/>
            <rFont val="細明體"/>
            <family val="3"/>
            <charset val="136"/>
          </rPr>
          <t>年新科目</t>
        </r>
      </text>
    </comment>
    <comment ref="N5" authorId="0" shapeId="0" xr:uid="{00000000-0006-0000-1100-000009000000}">
      <text>
        <r>
          <rPr>
            <sz val="9"/>
            <color indexed="81"/>
            <rFont val="Tahoma"/>
            <family val="2"/>
          </rPr>
          <t xml:space="preserve">(Shortlisted local applicants will be invited)
</t>
        </r>
      </text>
    </comment>
    <comment ref="N6" authorId="0" shapeId="0" xr:uid="{00000000-0006-0000-1100-00000A000000}">
      <text>
        <r>
          <rPr>
            <sz val="9"/>
            <color indexed="81"/>
            <rFont val="Tahoma"/>
            <family val="2"/>
          </rPr>
          <t xml:space="preserve">Selected applicants may be invited to attend an interview / written test.
The date and time of the interview will be informed during June 2021. </t>
        </r>
      </text>
    </comment>
    <comment ref="E9" authorId="1" shapeId="0" xr:uid="{00000000-0006-0000-1100-00000B000000}">
      <text>
        <r>
          <rPr>
            <b/>
            <sz val="9"/>
            <color indexed="81"/>
            <rFont val="Tahoma"/>
            <family val="2"/>
          </rPr>
          <t>Best 5 (</t>
        </r>
        <r>
          <rPr>
            <b/>
            <sz val="9"/>
            <color indexed="81"/>
            <rFont val="細明體"/>
            <family val="3"/>
            <charset val="136"/>
          </rPr>
          <t>包括英文、數學</t>
        </r>
        <r>
          <rPr>
            <b/>
            <sz val="9"/>
            <color indexed="81"/>
            <rFont val="Tahoma"/>
            <family val="2"/>
          </rPr>
          <t xml:space="preserve">)
</t>
        </r>
        <r>
          <rPr>
            <sz val="9"/>
            <color indexed="81"/>
            <rFont val="Tahoma"/>
            <family val="2"/>
          </rPr>
          <t xml:space="preserve">
</t>
        </r>
        <r>
          <rPr>
            <b/>
            <sz val="9"/>
            <color indexed="81"/>
            <rFont val="細明體"/>
            <family val="3"/>
            <charset val="136"/>
          </rPr>
          <t>此處並無計算比重</t>
        </r>
        <r>
          <rPr>
            <sz val="9"/>
            <color indexed="81"/>
            <rFont val="細明體"/>
            <family val="3"/>
            <charset val="136"/>
          </rPr>
          <t xml:space="preserve">
</t>
        </r>
        <r>
          <rPr>
            <b/>
            <sz val="9"/>
            <color indexed="81"/>
            <rFont val="Tahoma"/>
            <family val="2"/>
          </rPr>
          <t>x10:</t>
        </r>
        <r>
          <rPr>
            <sz val="9"/>
            <color indexed="81"/>
            <rFont val="Tahoma"/>
            <family val="2"/>
          </rPr>
          <t xml:space="preserve"> </t>
        </r>
        <r>
          <rPr>
            <sz val="9"/>
            <color indexed="81"/>
            <rFont val="細明體"/>
            <family val="3"/>
            <charset val="136"/>
          </rPr>
          <t>英文、數學、</t>
        </r>
        <r>
          <rPr>
            <sz val="9"/>
            <color indexed="81"/>
            <rFont val="Tahoma"/>
            <family val="2"/>
          </rPr>
          <t>BAFS</t>
        </r>
        <r>
          <rPr>
            <sz val="9"/>
            <color indexed="81"/>
            <rFont val="細明體"/>
            <family val="3"/>
            <charset val="136"/>
          </rPr>
          <t>、經濟、地理、</t>
        </r>
        <r>
          <rPr>
            <sz val="9"/>
            <color indexed="81"/>
            <rFont val="Tahoma"/>
            <family val="2"/>
          </rPr>
          <t>ICT</t>
        </r>
        <r>
          <rPr>
            <sz val="9"/>
            <color indexed="81"/>
            <rFont val="細明體"/>
            <family val="3"/>
            <charset val="136"/>
          </rPr>
          <t>、物理、</t>
        </r>
        <r>
          <rPr>
            <sz val="9"/>
            <color indexed="81"/>
            <rFont val="Tahoma"/>
            <family val="2"/>
          </rPr>
          <t xml:space="preserve">M1/2
</t>
        </r>
        <r>
          <rPr>
            <b/>
            <sz val="9"/>
            <color indexed="81"/>
            <rFont val="Tahoma"/>
            <family val="2"/>
          </rPr>
          <t xml:space="preserve">x7: </t>
        </r>
        <r>
          <rPr>
            <sz val="9"/>
            <color indexed="81"/>
            <rFont val="細明體"/>
            <family val="3"/>
            <charset val="136"/>
          </rPr>
          <t xml:space="preserve">中文、通識、組合科學、綜合科學、化學、生物
</t>
        </r>
        <r>
          <rPr>
            <b/>
            <sz val="9"/>
            <color indexed="81"/>
            <rFont val="Tahoma"/>
            <family val="2"/>
          </rPr>
          <t xml:space="preserve">x5: </t>
        </r>
        <r>
          <rPr>
            <sz val="9"/>
            <color indexed="81"/>
            <rFont val="細明體"/>
            <family val="3"/>
            <charset val="136"/>
          </rPr>
          <t>其他選修科目</t>
        </r>
        <r>
          <rPr>
            <sz val="9"/>
            <color indexed="81"/>
            <rFont val="Tahoma"/>
            <family val="2"/>
          </rPr>
          <t xml:space="preserve"> (1</t>
        </r>
        <r>
          <rPr>
            <sz val="9"/>
            <color indexed="81"/>
            <rFont val="細明體"/>
            <family val="3"/>
            <charset val="136"/>
          </rPr>
          <t>個選修科</t>
        </r>
        <r>
          <rPr>
            <sz val="9"/>
            <color indexed="81"/>
            <rFont val="Tahoma"/>
            <family val="2"/>
          </rPr>
          <t>)</t>
        </r>
      </text>
    </comment>
    <comment ref="N9" authorId="0" shapeId="0" xr:uid="{00000000-0006-0000-1100-00000C000000}">
      <text>
        <r>
          <rPr>
            <sz val="9"/>
            <color indexed="81"/>
            <rFont val="細明體"/>
            <family val="3"/>
            <charset val="136"/>
          </rPr>
          <t>申請者有機會獲邀參與入學面試。
獲邀申請者請按照指定面試時間及地點參加面試。未能依時參加者的入學機會可能被調低。
面試將於</t>
        </r>
        <r>
          <rPr>
            <sz val="9"/>
            <color indexed="81"/>
            <rFont val="Tahoma"/>
            <family val="2"/>
          </rPr>
          <t>2021</t>
        </r>
        <r>
          <rPr>
            <sz val="9"/>
            <color indexed="81"/>
            <rFont val="細明體"/>
            <family val="3"/>
            <charset val="136"/>
          </rPr>
          <t>年</t>
        </r>
        <r>
          <rPr>
            <sz val="9"/>
            <color indexed="81"/>
            <rFont val="Tahoma"/>
            <family val="2"/>
          </rPr>
          <t>5</t>
        </r>
        <r>
          <rPr>
            <sz val="9"/>
            <color indexed="81"/>
            <rFont val="細明體"/>
            <family val="3"/>
            <charset val="136"/>
          </rPr>
          <t>月至</t>
        </r>
        <r>
          <rPr>
            <sz val="9"/>
            <color indexed="81"/>
            <rFont val="Tahoma"/>
            <family val="2"/>
          </rPr>
          <t>7</t>
        </r>
        <r>
          <rPr>
            <sz val="9"/>
            <color indexed="81"/>
            <rFont val="細明體"/>
            <family val="3"/>
            <charset val="136"/>
          </rPr>
          <t>月舉行，獲邀申請者將收到電郵通知有關詳情。</t>
        </r>
      </text>
    </comment>
    <comment ref="E10" authorId="1" shapeId="0" xr:uid="{00000000-0006-0000-1100-00000D000000}">
      <text>
        <r>
          <rPr>
            <b/>
            <sz val="9"/>
            <color indexed="81"/>
            <rFont val="細明體"/>
            <family val="3"/>
            <charset val="136"/>
          </rPr>
          <t xml:space="preserve">此處並無計算比重
</t>
        </r>
        <r>
          <rPr>
            <b/>
            <sz val="9"/>
            <color indexed="81"/>
            <rFont val="Tahoma"/>
            <family val="2"/>
          </rPr>
          <t xml:space="preserve">x5: </t>
        </r>
        <r>
          <rPr>
            <sz val="9"/>
            <color indexed="81"/>
            <rFont val="細明體"/>
            <family val="3"/>
            <charset val="136"/>
          </rPr>
          <t>英文、數學、</t>
        </r>
        <r>
          <rPr>
            <sz val="9"/>
            <color indexed="81"/>
            <rFont val="Tahoma"/>
            <family val="2"/>
          </rPr>
          <t>BAFS</t>
        </r>
        <r>
          <rPr>
            <sz val="9"/>
            <color indexed="81"/>
            <rFont val="細明體"/>
            <family val="3"/>
            <charset val="136"/>
          </rPr>
          <t>、經濟、</t>
        </r>
        <r>
          <rPr>
            <sz val="9"/>
            <color indexed="81"/>
            <rFont val="Tahoma"/>
            <family val="2"/>
          </rPr>
          <t>M1/2</t>
        </r>
        <r>
          <rPr>
            <sz val="9"/>
            <color indexed="81"/>
            <rFont val="細明體"/>
            <family val="3"/>
            <charset val="136"/>
          </rPr>
          <t>、經濟、物理</t>
        </r>
        <r>
          <rPr>
            <b/>
            <sz val="9"/>
            <color indexed="81"/>
            <rFont val="細明體"/>
            <family val="3"/>
            <charset val="136"/>
          </rPr>
          <t xml:space="preserve">
</t>
        </r>
        <r>
          <rPr>
            <b/>
            <sz val="9"/>
            <color indexed="81"/>
            <rFont val="Tahoma"/>
            <family val="2"/>
          </rPr>
          <t xml:space="preserve">x3: </t>
        </r>
        <r>
          <rPr>
            <sz val="9"/>
            <color indexed="81"/>
            <rFont val="細明體"/>
            <family val="3"/>
            <charset val="136"/>
          </rPr>
          <t>中文、通識、</t>
        </r>
        <r>
          <rPr>
            <sz val="9"/>
            <color indexed="81"/>
            <rFont val="Tahoma"/>
            <family val="2"/>
          </rPr>
          <t>ICT</t>
        </r>
        <r>
          <rPr>
            <sz val="9"/>
            <color indexed="81"/>
            <rFont val="細明體"/>
            <family val="3"/>
            <charset val="136"/>
          </rPr>
          <t>、組合科學、綜合科學、化學、生物</t>
        </r>
        <r>
          <rPr>
            <b/>
            <sz val="9"/>
            <color indexed="81"/>
            <rFont val="Tahoma"/>
            <family val="2"/>
          </rPr>
          <t xml:space="preserve">
</t>
        </r>
        <r>
          <rPr>
            <b/>
            <sz val="9"/>
            <color indexed="81"/>
            <rFont val="細明體"/>
            <family val="3"/>
            <charset val="136"/>
          </rPr>
          <t xml:space="preserve">
</t>
        </r>
        <r>
          <rPr>
            <b/>
            <sz val="9"/>
            <color indexed="81"/>
            <rFont val="Tahoma"/>
            <family val="2"/>
          </rPr>
          <t>x2:</t>
        </r>
        <r>
          <rPr>
            <sz val="9"/>
            <color indexed="81"/>
            <rFont val="Tahoma"/>
            <family val="2"/>
          </rPr>
          <t xml:space="preserve"> </t>
        </r>
        <r>
          <rPr>
            <sz val="9"/>
            <color indexed="81"/>
            <rFont val="細明體"/>
            <family val="3"/>
            <charset val="136"/>
          </rPr>
          <t>其他選修科</t>
        </r>
        <r>
          <rPr>
            <sz val="9"/>
            <color indexed="81"/>
            <rFont val="Tahoma"/>
            <family val="2"/>
          </rPr>
          <t xml:space="preserve"> (1</t>
        </r>
        <r>
          <rPr>
            <sz val="9"/>
            <color indexed="81"/>
            <rFont val="細明體"/>
            <family val="3"/>
            <charset val="136"/>
          </rPr>
          <t>個選修科</t>
        </r>
        <r>
          <rPr>
            <sz val="9"/>
            <color indexed="81"/>
            <rFont val="Tahoma"/>
            <family val="2"/>
          </rPr>
          <t>)</t>
        </r>
      </text>
    </comment>
    <comment ref="N10" authorId="0" shapeId="0" xr:uid="{00000000-0006-0000-1100-00000E000000}">
      <text>
        <r>
          <rPr>
            <sz val="9"/>
            <color indexed="81"/>
            <rFont val="細明體"/>
            <family val="3"/>
            <charset val="136"/>
          </rPr>
          <t>個別申請人或需參加筆試及面試。</t>
        </r>
      </text>
    </comment>
    <comment ref="E11" authorId="1" shapeId="0" xr:uid="{00000000-0006-0000-1100-00000F000000}">
      <text>
        <r>
          <rPr>
            <b/>
            <sz val="9"/>
            <color indexed="81"/>
            <rFont val="細明體"/>
            <family val="3"/>
            <charset val="136"/>
          </rPr>
          <t>此處並無計算比重</t>
        </r>
        <r>
          <rPr>
            <b/>
            <sz val="9"/>
            <color indexed="81"/>
            <rFont val="Tahoma"/>
            <family val="2"/>
          </rPr>
          <t xml:space="preserve">
x3:</t>
        </r>
        <r>
          <rPr>
            <sz val="9"/>
            <color indexed="81"/>
            <rFont val="Tahoma"/>
            <family val="2"/>
          </rPr>
          <t xml:space="preserve"> </t>
        </r>
        <r>
          <rPr>
            <sz val="9"/>
            <color indexed="81"/>
            <rFont val="細明體"/>
            <family val="3"/>
            <charset val="136"/>
          </rPr>
          <t>數學、</t>
        </r>
        <r>
          <rPr>
            <sz val="9"/>
            <color indexed="81"/>
            <rFont val="Tahoma"/>
            <family val="2"/>
          </rPr>
          <t>ICT</t>
        </r>
        <r>
          <rPr>
            <sz val="9"/>
            <color indexed="81"/>
            <rFont val="細明體"/>
            <family val="3"/>
            <charset val="136"/>
          </rPr>
          <t>、</t>
        </r>
        <r>
          <rPr>
            <sz val="9"/>
            <color indexed="81"/>
            <rFont val="Tahoma"/>
            <family val="2"/>
          </rPr>
          <t>M1/2</t>
        </r>
        <r>
          <rPr>
            <sz val="9"/>
            <color indexed="81"/>
            <rFont val="細明體"/>
            <family val="3"/>
            <charset val="136"/>
          </rPr>
          <t>、經濟、</t>
        </r>
        <r>
          <rPr>
            <sz val="9"/>
            <color indexed="81"/>
            <rFont val="Tahoma"/>
            <family val="2"/>
          </rPr>
          <t>BAFS</t>
        </r>
        <r>
          <rPr>
            <sz val="9"/>
            <color indexed="81"/>
            <rFont val="細明體"/>
            <family val="3"/>
            <charset val="136"/>
          </rPr>
          <t xml:space="preserve">、物理
</t>
        </r>
        <r>
          <rPr>
            <b/>
            <sz val="9"/>
            <color indexed="81"/>
            <rFont val="Tahoma"/>
            <family val="2"/>
          </rPr>
          <t>x2:</t>
        </r>
        <r>
          <rPr>
            <sz val="9"/>
            <color indexed="81"/>
            <rFont val="Tahoma"/>
            <family val="2"/>
          </rPr>
          <t xml:space="preserve"> </t>
        </r>
        <r>
          <rPr>
            <sz val="9"/>
            <color indexed="81"/>
            <rFont val="細明體"/>
            <family val="3"/>
            <charset val="136"/>
          </rPr>
          <t>中文、英文、通識、生物、化學、組合科學、綜合科學</t>
        </r>
      </text>
    </comment>
    <comment ref="N11" authorId="0" shapeId="0" xr:uid="{00000000-0006-0000-1100-000010000000}">
      <text>
        <r>
          <rPr>
            <sz val="9"/>
            <color indexed="81"/>
            <rFont val="細明體"/>
            <family val="3"/>
            <charset val="136"/>
          </rPr>
          <t>申請者有機會獲邀參與入學面試。
獲邀申請者請按照指定面試時間及地點參加面試。未能依時參加者的入學機會可能被調低。
面試將於</t>
        </r>
        <r>
          <rPr>
            <sz val="9"/>
            <color indexed="81"/>
            <rFont val="Tahoma"/>
            <family val="2"/>
          </rPr>
          <t>2021</t>
        </r>
        <r>
          <rPr>
            <sz val="9"/>
            <color indexed="81"/>
            <rFont val="細明體"/>
            <family val="3"/>
            <charset val="136"/>
          </rPr>
          <t>年</t>
        </r>
        <r>
          <rPr>
            <sz val="9"/>
            <color indexed="81"/>
            <rFont val="Tahoma"/>
            <family val="2"/>
          </rPr>
          <t>5</t>
        </r>
        <r>
          <rPr>
            <sz val="9"/>
            <color indexed="81"/>
            <rFont val="細明體"/>
            <family val="3"/>
            <charset val="136"/>
          </rPr>
          <t>月至</t>
        </r>
        <r>
          <rPr>
            <sz val="9"/>
            <color indexed="81"/>
            <rFont val="Tahoma"/>
            <family val="2"/>
          </rPr>
          <t>7</t>
        </r>
        <r>
          <rPr>
            <sz val="9"/>
            <color indexed="81"/>
            <rFont val="細明體"/>
            <family val="3"/>
            <charset val="136"/>
          </rPr>
          <t>月舉行，獲邀申請者將收到電郵通知有關詳情。</t>
        </r>
      </text>
    </comment>
    <comment ref="E12" authorId="1" shapeId="0" xr:uid="{00000000-0006-0000-1100-000011000000}">
      <text>
        <r>
          <rPr>
            <b/>
            <sz val="9"/>
            <color indexed="81"/>
            <rFont val="Tahoma"/>
            <family val="2"/>
          </rPr>
          <t>Best 5 (</t>
        </r>
        <r>
          <rPr>
            <b/>
            <sz val="9"/>
            <color indexed="81"/>
            <rFont val="細明體"/>
            <family val="3"/>
            <charset val="136"/>
          </rPr>
          <t>包括數學</t>
        </r>
        <r>
          <rPr>
            <b/>
            <sz val="9"/>
            <color indexed="81"/>
            <rFont val="Tahoma"/>
            <family val="2"/>
          </rPr>
          <t>)</t>
        </r>
      </text>
    </comment>
    <comment ref="N12" authorId="0" shapeId="0" xr:uid="{00000000-0006-0000-1100-000012000000}">
      <text>
        <r>
          <rPr>
            <sz val="9"/>
            <color indexed="81"/>
            <rFont val="細明體"/>
            <family val="3"/>
            <charset val="136"/>
          </rPr>
          <t>本課程不設筆試。
本課程按申請人的情況考慮是否需要面試。
面試將於</t>
        </r>
        <r>
          <rPr>
            <sz val="9"/>
            <color indexed="81"/>
            <rFont val="Tahoma"/>
            <family val="2"/>
          </rPr>
          <t>2021</t>
        </r>
        <r>
          <rPr>
            <sz val="9"/>
            <color indexed="81"/>
            <rFont val="細明體"/>
            <family val="3"/>
            <charset val="136"/>
          </rPr>
          <t>年</t>
        </r>
        <r>
          <rPr>
            <sz val="9"/>
            <color indexed="81"/>
            <rFont val="Tahoma"/>
            <family val="2"/>
          </rPr>
          <t>5</t>
        </r>
        <r>
          <rPr>
            <sz val="9"/>
            <color indexed="81"/>
            <rFont val="細明體"/>
            <family val="3"/>
            <charset val="136"/>
          </rPr>
          <t>月至</t>
        </r>
        <r>
          <rPr>
            <sz val="9"/>
            <color indexed="81"/>
            <rFont val="Tahoma"/>
            <family val="2"/>
          </rPr>
          <t>7</t>
        </r>
        <r>
          <rPr>
            <sz val="9"/>
            <color indexed="81"/>
            <rFont val="細明體"/>
            <family val="3"/>
            <charset val="136"/>
          </rPr>
          <t>月期間進行。獲邀申請人將收到電郵通知有關詳情。</t>
        </r>
      </text>
    </comment>
    <comment ref="E13" authorId="1" shapeId="0" xr:uid="{00000000-0006-0000-1100-000013000000}">
      <text>
        <r>
          <rPr>
            <b/>
            <sz val="9"/>
            <color indexed="81"/>
            <rFont val="細明體"/>
            <family val="3"/>
            <charset val="136"/>
          </rPr>
          <t>此處並無計算比重</t>
        </r>
        <r>
          <rPr>
            <b/>
            <sz val="9"/>
            <color indexed="81"/>
            <rFont val="Tahoma"/>
            <family val="2"/>
          </rPr>
          <t xml:space="preserve">
x10:</t>
        </r>
        <r>
          <rPr>
            <sz val="9"/>
            <color indexed="81"/>
            <rFont val="Tahoma"/>
            <family val="2"/>
          </rPr>
          <t xml:space="preserve"> </t>
        </r>
        <r>
          <rPr>
            <sz val="9"/>
            <color indexed="81"/>
            <rFont val="細明體"/>
            <family val="3"/>
            <charset val="136"/>
          </rPr>
          <t>英文、數學、</t>
        </r>
        <r>
          <rPr>
            <sz val="9"/>
            <color indexed="81"/>
            <rFont val="Tahoma"/>
            <family val="2"/>
          </rPr>
          <t>BAFS</t>
        </r>
        <r>
          <rPr>
            <sz val="9"/>
            <color indexed="81"/>
            <rFont val="細明體"/>
            <family val="3"/>
            <charset val="136"/>
          </rPr>
          <t>、經濟、地理、</t>
        </r>
        <r>
          <rPr>
            <sz val="9"/>
            <color indexed="81"/>
            <rFont val="Tahoma"/>
            <family val="2"/>
          </rPr>
          <t>ICT</t>
        </r>
        <r>
          <rPr>
            <sz val="9"/>
            <color indexed="81"/>
            <rFont val="細明體"/>
            <family val="3"/>
            <charset val="136"/>
          </rPr>
          <t>、物理、</t>
        </r>
        <r>
          <rPr>
            <sz val="9"/>
            <color indexed="81"/>
            <rFont val="Tahoma"/>
            <family val="2"/>
          </rPr>
          <t xml:space="preserve">M1/2
</t>
        </r>
        <r>
          <rPr>
            <b/>
            <sz val="9"/>
            <color indexed="81"/>
            <rFont val="Tahoma"/>
            <family val="2"/>
          </rPr>
          <t xml:space="preserve">x7: </t>
        </r>
        <r>
          <rPr>
            <sz val="9"/>
            <color indexed="81"/>
            <rFont val="細明體"/>
            <family val="3"/>
            <charset val="136"/>
          </rPr>
          <t xml:space="preserve">中文、通識、組合科學、綜合科學、化學、生物
</t>
        </r>
        <r>
          <rPr>
            <b/>
            <sz val="9"/>
            <color indexed="81"/>
            <rFont val="Tahoma"/>
            <family val="2"/>
          </rPr>
          <t>x5:</t>
        </r>
        <r>
          <rPr>
            <sz val="9"/>
            <color indexed="81"/>
            <rFont val="Tahoma"/>
            <family val="2"/>
          </rPr>
          <t xml:space="preserve"> </t>
        </r>
        <r>
          <rPr>
            <sz val="9"/>
            <color indexed="81"/>
            <rFont val="細明體"/>
            <family val="3"/>
            <charset val="136"/>
          </rPr>
          <t>其他選修科目</t>
        </r>
        <r>
          <rPr>
            <sz val="9"/>
            <color indexed="81"/>
            <rFont val="Tahoma"/>
            <family val="2"/>
          </rPr>
          <t xml:space="preserve"> (1</t>
        </r>
        <r>
          <rPr>
            <sz val="9"/>
            <color indexed="81"/>
            <rFont val="細明體"/>
            <family val="3"/>
            <charset val="136"/>
          </rPr>
          <t>個選修科</t>
        </r>
        <r>
          <rPr>
            <sz val="9"/>
            <color indexed="81"/>
            <rFont val="Tahoma"/>
            <family val="2"/>
          </rPr>
          <t xml:space="preserve">)
</t>
        </r>
      </text>
    </comment>
    <comment ref="N13" authorId="0" shapeId="0" xr:uid="{00000000-0006-0000-1100-000014000000}">
      <text>
        <r>
          <rPr>
            <sz val="9"/>
            <color indexed="81"/>
            <rFont val="細明體"/>
            <family val="3"/>
            <charset val="136"/>
          </rPr>
          <t>申請者有機會獲邀參與入學面試。
獲邀申請者請按照指定面試時間及地點參加面試。未能依時參加者的入學機會可能被調低。
面試將於</t>
        </r>
        <r>
          <rPr>
            <sz val="9"/>
            <color indexed="81"/>
            <rFont val="Tahoma"/>
            <family val="2"/>
          </rPr>
          <t>2021</t>
        </r>
        <r>
          <rPr>
            <sz val="9"/>
            <color indexed="81"/>
            <rFont val="細明體"/>
            <family val="3"/>
            <charset val="136"/>
          </rPr>
          <t>年</t>
        </r>
        <r>
          <rPr>
            <sz val="9"/>
            <color indexed="81"/>
            <rFont val="Tahoma"/>
            <family val="2"/>
          </rPr>
          <t>5</t>
        </r>
        <r>
          <rPr>
            <sz val="9"/>
            <color indexed="81"/>
            <rFont val="細明體"/>
            <family val="3"/>
            <charset val="136"/>
          </rPr>
          <t>月至</t>
        </r>
        <r>
          <rPr>
            <sz val="9"/>
            <color indexed="81"/>
            <rFont val="Tahoma"/>
            <family val="2"/>
          </rPr>
          <t>7</t>
        </r>
        <r>
          <rPr>
            <sz val="9"/>
            <color indexed="81"/>
            <rFont val="細明體"/>
            <family val="3"/>
            <charset val="136"/>
          </rPr>
          <t>月舉行，獲邀申請者將收到電郵通知有關詳情。</t>
        </r>
      </text>
    </comment>
    <comment ref="E14" authorId="1" shapeId="0" xr:uid="{00000000-0006-0000-1100-000015000000}">
      <text>
        <r>
          <rPr>
            <b/>
            <sz val="9"/>
            <color indexed="81"/>
            <rFont val="Tahoma"/>
            <family val="2"/>
          </rPr>
          <t>2021</t>
        </r>
        <r>
          <rPr>
            <b/>
            <sz val="9"/>
            <color indexed="81"/>
            <rFont val="細明體"/>
            <family val="3"/>
            <charset val="136"/>
          </rPr>
          <t>年新科目</t>
        </r>
        <r>
          <rPr>
            <sz val="9"/>
            <color indexed="81"/>
            <rFont val="Tahoma"/>
            <family val="2"/>
          </rPr>
          <t xml:space="preserve">
</t>
        </r>
      </text>
    </comment>
    <comment ref="N14" authorId="0" shapeId="0" xr:uid="{00000000-0006-0000-1100-000016000000}">
      <text>
        <r>
          <rPr>
            <sz val="9"/>
            <color indexed="81"/>
            <rFont val="細明體"/>
            <family val="3"/>
            <charset val="136"/>
          </rPr>
          <t>申請者有機會獲邀參與入學面試，及需遞交藝術和設計相關的個人作品集。
獲邀申請者請按照指定面試時間及地點參加面試。未能依時參加者的入學機會可能被調低。
面試將於</t>
        </r>
        <r>
          <rPr>
            <sz val="9"/>
            <color indexed="81"/>
            <rFont val="Tahoma"/>
            <family val="2"/>
          </rPr>
          <t>2021</t>
        </r>
        <r>
          <rPr>
            <sz val="9"/>
            <color indexed="81"/>
            <rFont val="細明體"/>
            <family val="3"/>
            <charset val="136"/>
          </rPr>
          <t>年</t>
        </r>
        <r>
          <rPr>
            <sz val="9"/>
            <color indexed="81"/>
            <rFont val="Tahoma"/>
            <family val="2"/>
          </rPr>
          <t>5</t>
        </r>
        <r>
          <rPr>
            <sz val="9"/>
            <color indexed="81"/>
            <rFont val="細明體"/>
            <family val="3"/>
            <charset val="136"/>
          </rPr>
          <t>月至</t>
        </r>
        <r>
          <rPr>
            <sz val="9"/>
            <color indexed="81"/>
            <rFont val="Tahoma"/>
            <family val="2"/>
          </rPr>
          <t>7</t>
        </r>
        <r>
          <rPr>
            <sz val="9"/>
            <color indexed="81"/>
            <rFont val="細明體"/>
            <family val="3"/>
            <charset val="136"/>
          </rPr>
          <t>月舉行，獲邀申請者將收到電郵通知有關詳情。</t>
        </r>
      </text>
    </comment>
    <comment ref="E15" authorId="0" shapeId="0" xr:uid="{00000000-0006-0000-1100-000017000000}">
      <text>
        <r>
          <rPr>
            <sz val="9"/>
            <color indexed="81"/>
            <rFont val="細明體"/>
            <family val="3"/>
            <charset val="136"/>
          </rPr>
          <t>只考慮甲類科目</t>
        </r>
      </text>
    </comment>
    <comment ref="M15" authorId="0" shapeId="0" xr:uid="{00000000-0006-0000-1100-000018000000}">
      <text>
        <r>
          <rPr>
            <sz val="9"/>
            <color indexed="81"/>
            <rFont val="Tahoma"/>
            <family val="2"/>
          </rPr>
          <t>Applicants should be fluent in written English and Chinese, and in oral English and Cantonese.</t>
        </r>
      </text>
    </comment>
    <comment ref="N15" authorId="1" shapeId="0" xr:uid="{00000000-0006-0000-1100-000019000000}">
      <text>
        <r>
          <rPr>
            <sz val="9"/>
            <color indexed="81"/>
            <rFont val="Tahoma"/>
            <family val="2"/>
          </rPr>
          <t xml:space="preserve">(On a selective basis)
</t>
        </r>
      </text>
    </comment>
    <comment ref="P15" authorId="0" shapeId="0" xr:uid="{00000000-0006-0000-1100-00001A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C16" authorId="0" shapeId="0" xr:uid="{00000000-0006-0000-1100-00001B000000}">
      <text>
        <r>
          <rPr>
            <sz val="9"/>
            <color indexed="81"/>
            <rFont val="細明體"/>
            <family val="3"/>
            <charset val="136"/>
          </rPr>
          <t>申請人應有</t>
        </r>
        <r>
          <rPr>
            <b/>
            <sz val="9"/>
            <color indexed="81"/>
            <rFont val="細明體"/>
            <family val="3"/>
            <charset val="136"/>
          </rPr>
          <t>正常顏色視力</t>
        </r>
      </text>
    </comment>
    <comment ref="E16" authorId="1" shapeId="0" xr:uid="{00000000-0006-0000-1100-00001C000000}">
      <text>
        <r>
          <rPr>
            <sz val="9"/>
            <color indexed="81"/>
            <rFont val="細明體"/>
            <family val="3"/>
            <charset val="136"/>
          </rPr>
          <t>優先考慮</t>
        </r>
        <r>
          <rPr>
            <sz val="9"/>
            <color indexed="81"/>
            <rFont val="Tahoma"/>
            <family val="2"/>
          </rPr>
          <t>:</t>
        </r>
        <r>
          <rPr>
            <sz val="9"/>
            <color indexed="81"/>
            <rFont val="細明體"/>
            <family val="3"/>
            <charset val="136"/>
          </rPr>
          <t xml:space="preserve">
</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 xml:space="preserve">者
</t>
        </r>
        <r>
          <rPr>
            <sz val="9"/>
            <color indexed="81"/>
            <rFont val="Tahoma"/>
            <family val="2"/>
          </rPr>
          <t xml:space="preserve">- </t>
        </r>
        <r>
          <rPr>
            <b/>
            <sz val="9"/>
            <color indexed="81"/>
            <rFont val="細明體"/>
            <family val="3"/>
            <charset val="136"/>
          </rPr>
          <t>化學</t>
        </r>
        <r>
          <rPr>
            <b/>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化學</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N16" authorId="1" shapeId="0" xr:uid="{00000000-0006-0000-1100-00001D000000}">
      <text>
        <r>
          <rPr>
            <sz val="9"/>
            <color indexed="81"/>
            <rFont val="Tahoma"/>
            <family val="2"/>
          </rPr>
          <t xml:space="preserve">(On a selective basis)
</t>
        </r>
      </text>
    </comment>
    <comment ref="P16" authorId="0" shapeId="0" xr:uid="{00000000-0006-0000-1100-00001E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S16" authorId="0" shapeId="0" xr:uid="{00000000-0006-0000-1100-00001F000000}">
      <text>
        <r>
          <rPr>
            <sz val="9"/>
            <color indexed="81"/>
            <rFont val="細明體"/>
            <family val="3"/>
            <charset val="136"/>
          </rPr>
          <t>優先考慮</t>
        </r>
        <r>
          <rPr>
            <sz val="9"/>
            <color indexed="81"/>
            <rFont val="Tahoma"/>
            <family val="2"/>
          </rPr>
          <t xml:space="preserve"> </t>
        </r>
        <r>
          <rPr>
            <b/>
            <sz val="9"/>
            <color indexed="81"/>
            <rFont val="細明體"/>
            <family val="3"/>
            <charset val="136"/>
          </rPr>
          <t>化學</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化學</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C17" authorId="1" shapeId="0" xr:uid="{00000000-0006-0000-1100-000020000000}">
      <text>
        <r>
          <rPr>
            <sz val="9"/>
            <color indexed="81"/>
            <rFont val="細明體"/>
            <family val="3"/>
            <charset val="136"/>
          </rPr>
          <t>申請人應有</t>
        </r>
        <r>
          <rPr>
            <b/>
            <sz val="9"/>
            <color indexed="81"/>
            <rFont val="細明體"/>
            <family val="3"/>
            <charset val="136"/>
          </rPr>
          <t>正常顏色視力</t>
        </r>
      </text>
    </comment>
    <comment ref="E17" authorId="1" shapeId="0" xr:uid="{00000000-0006-0000-1100-000021000000}">
      <text>
        <r>
          <rPr>
            <sz val="9"/>
            <color indexed="81"/>
            <rFont val="細明體"/>
            <family val="3"/>
            <charset val="136"/>
          </rPr>
          <t>優先考慮</t>
        </r>
        <r>
          <rPr>
            <sz val="9"/>
            <color indexed="81"/>
            <rFont val="Tahoma"/>
            <family val="2"/>
          </rPr>
          <t>:</t>
        </r>
        <r>
          <rPr>
            <sz val="9"/>
            <color indexed="81"/>
            <rFont val="細明體"/>
            <family val="3"/>
            <charset val="136"/>
          </rPr>
          <t xml:space="preserve">
</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r>
          <rPr>
            <sz val="9"/>
            <color indexed="81"/>
            <rFont val="Tahoma"/>
            <family val="2"/>
          </rPr>
          <t xml:space="preserve">
- </t>
        </r>
        <r>
          <rPr>
            <b/>
            <sz val="9"/>
            <color indexed="81"/>
            <rFont val="細明體"/>
            <family val="3"/>
            <charset val="136"/>
          </rPr>
          <t>數學</t>
        </r>
        <r>
          <rPr>
            <sz val="9"/>
            <color indexed="81"/>
            <rFont val="Tahoma"/>
            <family val="2"/>
          </rPr>
          <t xml:space="preserve"> </t>
        </r>
        <r>
          <rPr>
            <sz val="9"/>
            <color indexed="81"/>
            <rFont val="細明體"/>
            <family val="3"/>
            <charset val="136"/>
          </rPr>
          <t>和</t>
        </r>
        <r>
          <rPr>
            <sz val="9"/>
            <color indexed="81"/>
            <rFont val="Tahoma"/>
            <family val="2"/>
          </rPr>
          <t xml:space="preserve"> </t>
        </r>
        <r>
          <rPr>
            <b/>
            <sz val="9"/>
            <color indexed="81"/>
            <rFont val="細明體"/>
            <family val="3"/>
            <charset val="136"/>
          </rPr>
          <t>通識</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 xml:space="preserve">者
</t>
        </r>
        <r>
          <rPr>
            <sz val="9"/>
            <color indexed="81"/>
            <rFont val="Tahoma"/>
            <family val="2"/>
          </rPr>
          <t xml:space="preserve">- </t>
        </r>
        <r>
          <rPr>
            <b/>
            <sz val="9"/>
            <color indexed="81"/>
            <rFont val="細明體"/>
            <family val="3"/>
            <charset val="136"/>
          </rPr>
          <t>物理</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綜合科學</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t>
        </r>
        <r>
          <rPr>
            <b/>
            <sz val="9"/>
            <color indexed="81"/>
            <rFont val="細明體"/>
            <family val="3"/>
            <charset val="136"/>
          </rPr>
          <t>物理</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者</t>
        </r>
      </text>
    </comment>
    <comment ref="N17" authorId="1" shapeId="0" xr:uid="{00000000-0006-0000-1100-000022000000}">
      <text>
        <r>
          <rPr>
            <sz val="9"/>
            <color indexed="81"/>
            <rFont val="Tahoma"/>
            <family val="2"/>
          </rPr>
          <t xml:space="preserve">(On a selective basis)
</t>
        </r>
      </text>
    </comment>
    <comment ref="P17" authorId="0" shapeId="0" xr:uid="{00000000-0006-0000-1100-000023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b/>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Q17" authorId="0" shapeId="0" xr:uid="{00000000-0006-0000-1100-000024000000}">
      <text>
        <r>
          <rPr>
            <sz val="9"/>
            <color indexed="81"/>
            <rFont val="細明體"/>
            <family val="3"/>
            <charset val="136"/>
          </rPr>
          <t>優先考慮</t>
        </r>
        <r>
          <rPr>
            <sz val="9"/>
            <color indexed="81"/>
            <rFont val="Tahoma"/>
            <family val="2"/>
          </rPr>
          <t xml:space="preserve"> </t>
        </r>
        <r>
          <rPr>
            <b/>
            <sz val="9"/>
            <color indexed="81"/>
            <rFont val="細明體"/>
            <family val="3"/>
            <charset val="136"/>
          </rPr>
          <t>數學</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者</t>
        </r>
      </text>
    </comment>
    <comment ref="R17" authorId="0" shapeId="0" xr:uid="{00000000-0006-0000-1100-000025000000}">
      <text>
        <r>
          <rPr>
            <sz val="9"/>
            <color indexed="81"/>
            <rFont val="細明體"/>
            <family val="3"/>
            <charset val="136"/>
          </rPr>
          <t>優先考慮</t>
        </r>
        <r>
          <rPr>
            <sz val="9"/>
            <color indexed="81"/>
            <rFont val="Tahoma"/>
            <family val="2"/>
          </rPr>
          <t xml:space="preserve"> </t>
        </r>
        <r>
          <rPr>
            <b/>
            <sz val="9"/>
            <color indexed="81"/>
            <rFont val="細明體"/>
            <family val="3"/>
            <charset val="136"/>
          </rPr>
          <t>通識</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S17" authorId="0" shapeId="0" xr:uid="{00000000-0006-0000-1100-000026000000}">
      <text>
        <r>
          <rPr>
            <b/>
            <sz val="9"/>
            <color indexed="81"/>
            <rFont val="細明體"/>
            <family val="3"/>
            <charset val="136"/>
          </rPr>
          <t>以下一科</t>
        </r>
        <r>
          <rPr>
            <sz val="9"/>
            <color indexed="81"/>
            <rFont val="Tahoma"/>
            <family val="2"/>
          </rPr>
          <t xml:space="preserve">
-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sz val="9"/>
            <color indexed="81"/>
            <rFont val="細明體"/>
            <family val="3"/>
            <charset val="136"/>
          </rPr>
          <t>綜合科學</t>
        </r>
        <r>
          <rPr>
            <sz val="9"/>
            <color indexed="81"/>
            <rFont val="Tahoma"/>
            <family val="2"/>
          </rPr>
          <t xml:space="preserve">
</t>
        </r>
        <r>
          <rPr>
            <b/>
            <sz val="9"/>
            <color indexed="81"/>
            <rFont val="細明體"/>
            <family val="3"/>
            <charset val="136"/>
          </rPr>
          <t>或</t>
        </r>
        <r>
          <rPr>
            <sz val="9"/>
            <color indexed="81"/>
            <rFont val="Tahoma"/>
            <family val="2"/>
          </rPr>
          <t xml:space="preserve">
</t>
        </r>
        <r>
          <rPr>
            <sz val="9"/>
            <color indexed="81"/>
            <rFont val="細明體"/>
            <family val="3"/>
            <charset val="136"/>
          </rPr>
          <t>應用學習科目</t>
        </r>
        <r>
          <rPr>
            <sz val="9"/>
            <color indexed="81"/>
            <rFont val="Tahoma"/>
            <family val="2"/>
          </rPr>
          <t xml:space="preserve">:
- </t>
        </r>
        <r>
          <rPr>
            <sz val="9"/>
            <color indexed="81"/>
            <rFont val="細明體"/>
            <family val="3"/>
            <charset val="136"/>
          </rPr>
          <t>健康護理實務</t>
        </r>
        <r>
          <rPr>
            <sz val="9"/>
            <color indexed="81"/>
            <rFont val="Tahoma"/>
            <family val="2"/>
          </rPr>
          <t xml:space="preserve"> (Health Care Practice)
‘Attained with Distinction (I)’
</t>
        </r>
        <r>
          <rPr>
            <sz val="9"/>
            <color indexed="81"/>
            <rFont val="細明體"/>
            <family val="3"/>
            <charset val="136"/>
          </rPr>
          <t>優先考慮</t>
        </r>
        <r>
          <rPr>
            <sz val="9"/>
            <color indexed="81"/>
            <rFont val="Tahoma"/>
            <family val="2"/>
          </rPr>
          <t xml:space="preserve"> </t>
        </r>
        <r>
          <rPr>
            <b/>
            <sz val="9"/>
            <color indexed="81"/>
            <rFont val="細明體"/>
            <family val="3"/>
            <charset val="136"/>
          </rPr>
          <t>物理</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綜合科學</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t>
        </r>
        <r>
          <rPr>
            <b/>
            <sz val="9"/>
            <color indexed="81"/>
            <rFont val="細明體"/>
            <family val="3"/>
            <charset val="136"/>
          </rPr>
          <t>物理</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E18" authorId="1" shapeId="0" xr:uid="{00000000-0006-0000-1100-000027000000}">
      <text>
        <r>
          <rPr>
            <sz val="9"/>
            <color indexed="81"/>
            <rFont val="細明體"/>
            <family val="3"/>
            <charset val="136"/>
          </rPr>
          <t>優先考慮</t>
        </r>
        <r>
          <rPr>
            <sz val="9"/>
            <color indexed="81"/>
            <rFont val="Tahoma"/>
            <family val="2"/>
          </rPr>
          <t xml:space="preserve">:
- </t>
        </r>
        <r>
          <rPr>
            <b/>
            <sz val="9"/>
            <color indexed="81"/>
            <rFont val="細明體"/>
            <family val="3"/>
            <charset val="136"/>
          </rPr>
          <t>生物</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生物</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 xml:space="preserve">者
</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N18" authorId="1" shapeId="0" xr:uid="{00000000-0006-0000-1100-000028000000}">
      <text>
        <r>
          <rPr>
            <sz val="9"/>
            <color indexed="81"/>
            <rFont val="Tahoma"/>
            <family val="2"/>
          </rPr>
          <t xml:space="preserve">(On a selective basis)
</t>
        </r>
      </text>
    </comment>
    <comment ref="P18" authorId="0" shapeId="0" xr:uid="{00000000-0006-0000-1100-000029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b/>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S18" authorId="1" shapeId="0" xr:uid="{00000000-0006-0000-1100-00002A000000}">
      <text>
        <r>
          <rPr>
            <sz val="9"/>
            <color indexed="81"/>
            <rFont val="細明體"/>
            <family val="3"/>
            <charset val="136"/>
          </rPr>
          <t>優先考慮</t>
        </r>
        <r>
          <rPr>
            <sz val="9"/>
            <color indexed="81"/>
            <rFont val="Tahoma"/>
            <family val="2"/>
          </rPr>
          <t xml:space="preserve"> </t>
        </r>
        <r>
          <rPr>
            <b/>
            <sz val="9"/>
            <color indexed="81"/>
            <rFont val="細明體"/>
            <family val="3"/>
            <charset val="136"/>
          </rPr>
          <t>生物</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生物</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者</t>
        </r>
      </text>
    </comment>
    <comment ref="E19" authorId="1" shapeId="0" xr:uid="{00000000-0006-0000-1100-00002B000000}">
      <text>
        <r>
          <rPr>
            <sz val="9"/>
            <color indexed="81"/>
            <rFont val="細明體"/>
            <family val="3"/>
            <charset val="136"/>
          </rPr>
          <t>優先考慮</t>
        </r>
        <r>
          <rPr>
            <sz val="9"/>
            <color indexed="81"/>
            <rFont val="Tahoma"/>
            <family val="2"/>
          </rPr>
          <t xml:space="preserve">:
- </t>
        </r>
        <r>
          <rPr>
            <b/>
            <sz val="9"/>
            <color indexed="81"/>
            <rFont val="細明體"/>
            <family val="3"/>
            <charset val="136"/>
          </rPr>
          <t>生物</t>
        </r>
        <r>
          <rPr>
            <sz val="9"/>
            <color indexed="81"/>
            <rFont val="Tahoma"/>
            <family val="2"/>
          </rPr>
          <t xml:space="preserve"> </t>
        </r>
        <r>
          <rPr>
            <sz val="9"/>
            <color indexed="81"/>
            <rFont val="細明體"/>
            <family val="3"/>
            <charset val="136"/>
          </rPr>
          <t>或</t>
        </r>
        <r>
          <rPr>
            <b/>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生物</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 xml:space="preserve">者
</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N19" authorId="1" shapeId="0" xr:uid="{00000000-0006-0000-1100-00002C000000}">
      <text>
        <r>
          <rPr>
            <sz val="9"/>
            <color indexed="81"/>
            <rFont val="Tahoma"/>
            <family val="2"/>
          </rPr>
          <t xml:space="preserve">(On a selective basis)
</t>
        </r>
      </text>
    </comment>
    <comment ref="P19" authorId="0" shapeId="0" xr:uid="{00000000-0006-0000-1100-00002D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b/>
            <sz val="9"/>
            <color indexed="81"/>
            <rFont val="Tahoma"/>
            <family val="2"/>
          </rPr>
          <t>Lv.4</t>
        </r>
        <r>
          <rPr>
            <b/>
            <sz val="9"/>
            <color indexed="81"/>
            <rFont val="細明體"/>
            <family val="3"/>
            <charset val="136"/>
          </rPr>
          <t>或以上</t>
        </r>
        <r>
          <rPr>
            <sz val="9"/>
            <color indexed="81"/>
            <rFont val="細明體"/>
            <family val="3"/>
            <charset val="136"/>
          </rPr>
          <t>者</t>
        </r>
      </text>
    </comment>
    <comment ref="S19" authorId="1" shapeId="0" xr:uid="{00000000-0006-0000-1100-00002E000000}">
      <text>
        <r>
          <rPr>
            <sz val="9"/>
            <color indexed="81"/>
            <rFont val="細明體"/>
            <family val="3"/>
            <charset val="136"/>
          </rPr>
          <t>優先考慮</t>
        </r>
        <r>
          <rPr>
            <sz val="9"/>
            <color indexed="81"/>
            <rFont val="Tahoma"/>
            <family val="2"/>
          </rPr>
          <t xml:space="preserve"> </t>
        </r>
        <r>
          <rPr>
            <b/>
            <sz val="9"/>
            <color indexed="81"/>
            <rFont val="細明體"/>
            <family val="3"/>
            <charset val="136"/>
          </rPr>
          <t>生物</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組合科學</t>
        </r>
        <r>
          <rPr>
            <b/>
            <sz val="9"/>
            <color indexed="81"/>
            <rFont val="Tahoma"/>
            <family val="2"/>
          </rPr>
          <t xml:space="preserve"> (</t>
        </r>
        <r>
          <rPr>
            <b/>
            <sz val="9"/>
            <color indexed="81"/>
            <rFont val="細明體"/>
            <family val="3"/>
            <charset val="136"/>
          </rPr>
          <t>生物</t>
        </r>
        <r>
          <rPr>
            <b/>
            <sz val="9"/>
            <color indexed="81"/>
            <rFont val="Tahoma"/>
            <family val="2"/>
          </rPr>
          <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者</t>
        </r>
      </text>
    </comment>
    <comment ref="E20" authorId="1" shapeId="0" xr:uid="{00000000-0006-0000-1100-00002F000000}">
      <text>
        <r>
          <rPr>
            <b/>
            <sz val="9"/>
            <color indexed="81"/>
            <rFont val="Tahoma"/>
            <family val="2"/>
          </rPr>
          <t xml:space="preserve">x1.5: </t>
        </r>
        <r>
          <rPr>
            <sz val="9"/>
            <color indexed="81"/>
            <rFont val="細明體"/>
            <family val="3"/>
            <charset val="136"/>
          </rPr>
          <t>中文、英文</t>
        </r>
      </text>
    </comment>
    <comment ref="E22" authorId="1" shapeId="0" xr:uid="{00000000-0006-0000-1100-000030000000}">
      <text>
        <r>
          <rPr>
            <b/>
            <sz val="9"/>
            <color indexed="81"/>
            <rFont val="Tahoma"/>
            <family val="2"/>
          </rPr>
          <t xml:space="preserve">x1.5: </t>
        </r>
        <r>
          <rPr>
            <sz val="9"/>
            <color indexed="81"/>
            <rFont val="細明體"/>
            <family val="3"/>
            <charset val="136"/>
          </rPr>
          <t>中文、英文</t>
        </r>
      </text>
    </comment>
    <comment ref="E23" authorId="1" shapeId="0" xr:uid="{00000000-0006-0000-1100-000031000000}">
      <text>
        <r>
          <rPr>
            <b/>
            <sz val="9"/>
            <color indexed="81"/>
            <rFont val="Tahoma"/>
            <family val="2"/>
          </rPr>
          <t xml:space="preserve">x1.2: </t>
        </r>
        <r>
          <rPr>
            <sz val="9"/>
            <color indexed="81"/>
            <rFont val="細明體"/>
            <family val="3"/>
            <charset val="136"/>
          </rPr>
          <t>生物、化學、物理、組合科學、綜合科學、</t>
        </r>
        <r>
          <rPr>
            <sz val="9"/>
            <color indexed="81"/>
            <rFont val="Tahoma"/>
            <family val="2"/>
          </rPr>
          <t>HMSC</t>
        </r>
      </text>
    </comment>
    <comment ref="N23" authorId="0" shapeId="0" xr:uid="{00000000-0006-0000-1100-000032000000}">
      <text>
        <r>
          <rPr>
            <sz val="9"/>
            <color indexed="81"/>
            <rFont val="Tahoma"/>
            <family val="2"/>
          </rPr>
          <t xml:space="preserve">(On a selective basis)
</t>
        </r>
      </text>
    </comment>
    <comment ref="E24" authorId="1" shapeId="0" xr:uid="{00000000-0006-0000-1100-000033000000}">
      <text>
        <r>
          <rPr>
            <b/>
            <sz val="9"/>
            <color indexed="81"/>
            <rFont val="Tahoma"/>
            <family val="2"/>
          </rPr>
          <t xml:space="preserve">x1.2: </t>
        </r>
        <r>
          <rPr>
            <sz val="9"/>
            <color indexed="81"/>
            <rFont val="細明體"/>
            <family val="3"/>
            <charset val="136"/>
          </rPr>
          <t>生物、化學、物理、組合科學、綜合科學、</t>
        </r>
        <r>
          <rPr>
            <sz val="9"/>
            <color indexed="81"/>
            <rFont val="Tahoma"/>
            <family val="2"/>
          </rPr>
          <t>HMSC</t>
        </r>
      </text>
    </comment>
    <comment ref="N24" authorId="0" shapeId="0" xr:uid="{00000000-0006-0000-1100-000034000000}">
      <text>
        <r>
          <rPr>
            <sz val="9"/>
            <color indexed="81"/>
            <rFont val="Tahoma"/>
            <family val="2"/>
          </rPr>
          <t xml:space="preserve">(On a selective basis)
</t>
        </r>
      </text>
    </comment>
    <comment ref="C25" authorId="1" shapeId="0" xr:uid="{00000000-0006-0000-1100-000035000000}">
      <text>
        <r>
          <rPr>
            <sz val="9"/>
            <color indexed="81"/>
            <rFont val="Tahoma"/>
            <family val="2"/>
          </rPr>
          <t>JSSU55 Bachelor of Science with Honours in Physiotherapy has become a SSSDP programme since 2021. Its programme code has changed from JS9790 to JSSU55 accordingly.</t>
        </r>
      </text>
    </comment>
    <comment ref="E25" authorId="1" shapeId="0" xr:uid="{00000000-0006-0000-1100-000036000000}">
      <text>
        <r>
          <rPr>
            <b/>
            <sz val="9"/>
            <color indexed="81"/>
            <rFont val="Tahoma"/>
            <family val="2"/>
          </rPr>
          <t>2020</t>
        </r>
        <r>
          <rPr>
            <b/>
            <sz val="9"/>
            <color indexed="81"/>
            <rFont val="細明體"/>
            <family val="3"/>
            <charset val="136"/>
          </rPr>
          <t>年原為</t>
        </r>
        <r>
          <rPr>
            <b/>
            <sz val="9"/>
            <color indexed="81"/>
            <rFont val="Tahoma"/>
            <family val="2"/>
          </rPr>
          <t xml:space="preserve">JS9790
x2: </t>
        </r>
        <r>
          <rPr>
            <sz val="9"/>
            <color indexed="81"/>
            <rFont val="細明體"/>
            <family val="3"/>
            <charset val="136"/>
          </rPr>
          <t>中文、英文、物理、生物、組合科學</t>
        </r>
        <r>
          <rPr>
            <sz val="9"/>
            <color indexed="81"/>
            <rFont val="Tahoma"/>
            <family val="2"/>
          </rPr>
          <t>(</t>
        </r>
        <r>
          <rPr>
            <sz val="9"/>
            <color indexed="81"/>
            <rFont val="細明體"/>
            <family val="3"/>
            <charset val="136"/>
          </rPr>
          <t>物理、生物</t>
        </r>
        <r>
          <rPr>
            <sz val="9"/>
            <color indexed="81"/>
            <rFont val="Tahoma"/>
            <family val="2"/>
          </rPr>
          <t>)</t>
        </r>
      </text>
    </comment>
    <comment ref="N25" authorId="0" shapeId="0" xr:uid="{00000000-0006-0000-1100-000037000000}">
      <text>
        <r>
          <rPr>
            <sz val="9"/>
            <color indexed="81"/>
            <rFont val="Tahoma"/>
            <family val="2"/>
          </rPr>
          <t xml:space="preserve">(On a selective basis)
</t>
        </r>
      </text>
    </comment>
    <comment ref="E28" authorId="1" shapeId="0" xr:uid="{00000000-0006-0000-1100-000038000000}">
      <text>
        <r>
          <rPr>
            <b/>
            <sz val="9"/>
            <color indexed="81"/>
            <rFont val="Tahoma"/>
            <family val="2"/>
          </rPr>
          <t>2020</t>
        </r>
        <r>
          <rPr>
            <b/>
            <sz val="9"/>
            <color indexed="81"/>
            <rFont val="細明體"/>
            <family val="3"/>
            <charset val="136"/>
          </rPr>
          <t>年原為</t>
        </r>
        <r>
          <rPr>
            <b/>
            <sz val="9"/>
            <color indexed="81"/>
            <rFont val="Tahoma"/>
            <family val="2"/>
          </rPr>
          <t>JS9769</t>
        </r>
      </text>
    </comment>
    <comment ref="E29" authorId="1" shapeId="0" xr:uid="{00000000-0006-0000-1100-000039000000}">
      <text>
        <r>
          <rPr>
            <b/>
            <sz val="9"/>
            <color indexed="81"/>
            <rFont val="Tahoma"/>
            <family val="2"/>
          </rPr>
          <t>2020</t>
        </r>
        <r>
          <rPr>
            <b/>
            <sz val="9"/>
            <color indexed="81"/>
            <rFont val="細明體"/>
            <family val="3"/>
            <charset val="136"/>
          </rPr>
          <t>年原為</t>
        </r>
        <r>
          <rPr>
            <b/>
            <sz val="9"/>
            <color indexed="81"/>
            <rFont val="Tahoma"/>
            <family val="2"/>
          </rPr>
          <t>JS9780</t>
        </r>
      </text>
    </comment>
    <comment ref="L35" authorId="2" shapeId="0" xr:uid="{00000000-0006-0000-1100-00003A000000}">
      <text>
        <r>
          <rPr>
            <sz val="9"/>
            <color indexed="81"/>
            <rFont val="Tahoma"/>
            <family val="2"/>
          </rPr>
          <t xml:space="preserve">This is the intake quota for 2021/22 cohort.
</t>
        </r>
      </text>
    </comment>
    <comment ref="N35" authorId="1" shapeId="0" xr:uid="{00000000-0006-0000-1100-00003B000000}">
      <text>
        <r>
          <rPr>
            <sz val="9"/>
            <color indexed="81"/>
            <rFont val="Tahoma"/>
            <family val="2"/>
          </rPr>
          <t xml:space="preserve">May require interview and/or test
</t>
        </r>
      </text>
    </comment>
    <comment ref="L36" authorId="2" shapeId="0" xr:uid="{00000000-0006-0000-1100-00003C000000}">
      <text>
        <r>
          <rPr>
            <sz val="9"/>
            <color indexed="81"/>
            <rFont val="Tahoma"/>
            <family val="2"/>
          </rPr>
          <t xml:space="preserve">This is the intake quota for 2021/22 cohort.
</t>
        </r>
      </text>
    </comment>
    <comment ref="N36" authorId="1" shapeId="0" xr:uid="{00000000-0006-0000-1100-00003D000000}">
      <text>
        <r>
          <rPr>
            <sz val="9"/>
            <color indexed="81"/>
            <rFont val="Tahoma"/>
            <family val="2"/>
          </rPr>
          <t xml:space="preserve">May require interview and/or test
</t>
        </r>
      </text>
    </comment>
    <comment ref="L37" authorId="2" shapeId="0" xr:uid="{00000000-0006-0000-1100-00003E000000}">
      <text>
        <r>
          <rPr>
            <sz val="9"/>
            <color indexed="81"/>
            <rFont val="Tahoma"/>
            <family val="2"/>
          </rPr>
          <t xml:space="preserve">This is the intake quota for 2021/22 cohort.
</t>
        </r>
      </text>
    </comment>
    <comment ref="N37" authorId="1" shapeId="0" xr:uid="{00000000-0006-0000-1100-00003F000000}">
      <text>
        <r>
          <rPr>
            <sz val="9"/>
            <color indexed="81"/>
            <rFont val="Tahoma"/>
            <family val="2"/>
          </rPr>
          <t xml:space="preserve">May require interview and/or test
</t>
        </r>
      </text>
    </comment>
    <comment ref="L38" authorId="2" shapeId="0" xr:uid="{00000000-0006-0000-1100-000040000000}">
      <text>
        <r>
          <rPr>
            <sz val="9"/>
            <color indexed="81"/>
            <rFont val="Tahoma"/>
            <family val="2"/>
          </rPr>
          <t>This is the intake quota for 2021/22 cohort.</t>
        </r>
      </text>
    </comment>
    <comment ref="N38" authorId="1" shapeId="0" xr:uid="{00000000-0006-0000-1100-000041000000}">
      <text>
        <r>
          <rPr>
            <sz val="9"/>
            <color indexed="81"/>
            <rFont val="Tahoma"/>
            <family val="2"/>
          </rPr>
          <t xml:space="preserve">May require interview and/or test
</t>
        </r>
      </text>
    </comment>
    <comment ref="L39" authorId="2" shapeId="0" xr:uid="{00000000-0006-0000-1100-000042000000}">
      <text>
        <r>
          <rPr>
            <sz val="9"/>
            <color indexed="81"/>
            <rFont val="Tahoma"/>
            <family val="2"/>
          </rPr>
          <t xml:space="preserve">This is the intake quota for 2021/22 cohort.
</t>
        </r>
      </text>
    </comment>
    <comment ref="N39" authorId="1" shapeId="0" xr:uid="{00000000-0006-0000-1100-000043000000}">
      <text>
        <r>
          <rPr>
            <sz val="9"/>
            <color indexed="81"/>
            <rFont val="Tahoma"/>
            <family val="2"/>
          </rPr>
          <t xml:space="preserve">May require interview and/or test
</t>
        </r>
      </text>
    </comment>
    <comment ref="S39" authorId="1" shapeId="0" xr:uid="{00000000-0006-0000-1100-000044000000}">
      <text>
        <r>
          <rPr>
            <b/>
            <sz val="9"/>
            <color indexed="81"/>
            <rFont val="細明體"/>
            <family val="3"/>
            <charset val="136"/>
          </rPr>
          <t>以下一科</t>
        </r>
        <r>
          <rPr>
            <b/>
            <sz val="9"/>
            <color indexed="81"/>
            <rFont val="Tahoma"/>
            <family val="2"/>
          </rPr>
          <t>:</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r>
          <rPr>
            <sz val="9"/>
            <color indexed="81"/>
            <rFont val="Tahoma"/>
            <family val="2"/>
          </rPr>
          <t xml:space="preserve">
- M1/2</t>
        </r>
      </text>
    </comment>
    <comment ref="L40" authorId="2" shapeId="0" xr:uid="{00000000-0006-0000-1100-000045000000}">
      <text>
        <r>
          <rPr>
            <sz val="9"/>
            <color indexed="81"/>
            <rFont val="Tahoma"/>
            <family val="2"/>
          </rPr>
          <t xml:space="preserve">This is the intake quota for 2021/22 cohort.
</t>
        </r>
      </text>
    </comment>
    <comment ref="N40" authorId="1" shapeId="0" xr:uid="{00000000-0006-0000-1100-000046000000}">
      <text>
        <r>
          <rPr>
            <sz val="9"/>
            <color indexed="81"/>
            <rFont val="Tahoma"/>
            <family val="2"/>
          </rPr>
          <t xml:space="preserve">May require interview and/or test
</t>
        </r>
      </text>
    </comment>
    <comment ref="L41" authorId="2" shapeId="0" xr:uid="{00000000-0006-0000-1100-000047000000}">
      <text>
        <r>
          <rPr>
            <sz val="9"/>
            <color indexed="81"/>
            <rFont val="Tahoma"/>
            <family val="2"/>
          </rPr>
          <t xml:space="preserve">This is the intake quota for 2021/22 cohort.
</t>
        </r>
      </text>
    </comment>
    <comment ref="N41" authorId="1" shapeId="0" xr:uid="{00000000-0006-0000-1100-000048000000}">
      <text>
        <r>
          <rPr>
            <sz val="9"/>
            <color indexed="81"/>
            <rFont val="Tahoma"/>
            <family val="2"/>
          </rPr>
          <t xml:space="preserve">May require interview and/or test
</t>
        </r>
      </text>
    </comment>
    <comment ref="E42" authorId="1" shapeId="0" xr:uid="{00000000-0006-0000-1100-000049000000}">
      <text>
        <r>
          <rPr>
            <b/>
            <sz val="9"/>
            <color indexed="81"/>
            <rFont val="細明體"/>
            <family val="3"/>
            <charset val="136"/>
          </rPr>
          <t xml:space="preserve">此處並無計算比重
</t>
        </r>
        <r>
          <rPr>
            <b/>
            <sz val="9"/>
            <color indexed="81"/>
            <rFont val="Tahoma"/>
            <family val="2"/>
          </rPr>
          <t xml:space="preserve">x2: </t>
        </r>
        <r>
          <rPr>
            <sz val="9"/>
            <color indexed="81"/>
            <rFont val="細明體"/>
            <family val="3"/>
            <charset val="136"/>
          </rPr>
          <t>體育</t>
        </r>
      </text>
    </comment>
    <comment ref="L42" authorId="2" shapeId="0" xr:uid="{00000000-0006-0000-1100-00004A000000}">
      <text>
        <r>
          <rPr>
            <sz val="9"/>
            <color indexed="81"/>
            <rFont val="Tahoma"/>
            <family val="2"/>
          </rPr>
          <t xml:space="preserve">This is the intake quota for 2021/22 cohort.
</t>
        </r>
      </text>
    </comment>
    <comment ref="N42" authorId="1" shapeId="0" xr:uid="{00000000-0006-0000-1100-00004B000000}">
      <text>
        <r>
          <rPr>
            <sz val="9"/>
            <color indexed="81"/>
            <rFont val="Tahoma"/>
            <family val="2"/>
          </rPr>
          <t xml:space="preserve">May require interview and/or test
</t>
        </r>
      </text>
    </comment>
    <comment ref="L43" authorId="2" shapeId="0" xr:uid="{00000000-0006-0000-1100-00004C000000}">
      <text>
        <r>
          <rPr>
            <sz val="9"/>
            <color indexed="81"/>
            <rFont val="Tahoma"/>
            <family val="2"/>
          </rPr>
          <t xml:space="preserve">This is the intake quota for 2021/22 cohort.
</t>
        </r>
      </text>
    </comment>
    <comment ref="N43" authorId="1" shapeId="0" xr:uid="{00000000-0006-0000-1100-00004D000000}">
      <text>
        <r>
          <rPr>
            <sz val="9"/>
            <color indexed="81"/>
            <rFont val="Tahoma"/>
            <family val="2"/>
          </rPr>
          <t xml:space="preserve">May require interview and/or test
</t>
        </r>
      </text>
    </comment>
    <comment ref="L44" authorId="2" shapeId="0" xr:uid="{00000000-0006-0000-1100-00004E000000}">
      <text>
        <r>
          <rPr>
            <sz val="9"/>
            <color indexed="81"/>
            <rFont val="Tahoma"/>
            <family val="2"/>
          </rPr>
          <t xml:space="preserve">This is the intake quota for 2021/22 cohort.
</t>
        </r>
      </text>
    </comment>
    <comment ref="N44" authorId="1" shapeId="0" xr:uid="{00000000-0006-0000-1100-00004F000000}">
      <text>
        <r>
          <rPr>
            <sz val="9"/>
            <color indexed="81"/>
            <rFont val="Tahoma"/>
            <family val="2"/>
          </rPr>
          <t xml:space="preserve">May require interview and/or test
</t>
        </r>
      </text>
    </comment>
    <comment ref="E45" authorId="1" shapeId="0" xr:uid="{00000000-0006-0000-1100-000050000000}">
      <text>
        <r>
          <rPr>
            <b/>
            <sz val="9"/>
            <color indexed="81"/>
            <rFont val="Tahoma"/>
            <family val="2"/>
          </rPr>
          <t>2021</t>
        </r>
        <r>
          <rPr>
            <b/>
            <sz val="9"/>
            <color indexed="81"/>
            <rFont val="細明體"/>
            <family val="3"/>
            <charset val="136"/>
          </rPr>
          <t xml:space="preserve">新科目
</t>
        </r>
        <r>
          <rPr>
            <sz val="9"/>
            <color indexed="81"/>
            <rFont val="細明體"/>
            <family val="3"/>
            <charset val="136"/>
          </rPr>
          <t>未有提供資料</t>
        </r>
      </text>
    </comment>
    <comment ref="N45" authorId="1" shapeId="0" xr:uid="{00000000-0006-0000-1100-000051000000}">
      <text>
        <r>
          <rPr>
            <sz val="9"/>
            <color indexed="81"/>
            <rFont val="Tahoma"/>
            <family val="2"/>
          </rPr>
          <t xml:space="preserve">(On a selective basis)
</t>
        </r>
      </text>
    </comment>
    <comment ref="E46" authorId="1" shapeId="0" xr:uid="{00000000-0006-0000-1100-000052000000}">
      <text>
        <r>
          <rPr>
            <b/>
            <sz val="9"/>
            <color indexed="81"/>
            <rFont val="Tahoma"/>
            <family val="2"/>
          </rPr>
          <t>2021</t>
        </r>
        <r>
          <rPr>
            <b/>
            <sz val="9"/>
            <color indexed="81"/>
            <rFont val="細明體"/>
            <family val="3"/>
            <charset val="136"/>
          </rPr>
          <t xml:space="preserve">年新科目
</t>
        </r>
        <r>
          <rPr>
            <sz val="9"/>
            <color indexed="81"/>
            <rFont val="Tahoma"/>
            <family val="2"/>
          </rPr>
          <t xml:space="preserve">
</t>
        </r>
        <r>
          <rPr>
            <sz val="9"/>
            <color indexed="81"/>
            <rFont val="細明體"/>
            <family val="3"/>
            <charset val="136"/>
          </rPr>
          <t>優先考慮</t>
        </r>
        <r>
          <rPr>
            <sz val="9"/>
            <color indexed="81"/>
            <rFont val="Tahoma"/>
            <family val="2"/>
          </rPr>
          <t xml:space="preserve"> </t>
        </r>
        <r>
          <rPr>
            <b/>
            <sz val="9"/>
            <color indexed="81"/>
            <rFont val="Tahoma"/>
            <family val="2"/>
          </rPr>
          <t>ICT</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者</t>
        </r>
      </text>
    </comment>
    <comment ref="N46" authorId="1" shapeId="0" xr:uid="{00000000-0006-0000-1100-000053000000}">
      <text>
        <r>
          <rPr>
            <sz val="9"/>
            <color indexed="81"/>
            <rFont val="Tahoma"/>
            <family val="2"/>
          </rPr>
          <t xml:space="preserve">May require interview and/or test
</t>
        </r>
      </text>
    </comment>
    <comment ref="S46" authorId="1" shapeId="0" xr:uid="{00000000-0006-0000-1100-000054000000}">
      <text>
        <r>
          <rPr>
            <sz val="9"/>
            <color indexed="81"/>
            <rFont val="細明體"/>
            <family val="3"/>
            <charset val="136"/>
          </rPr>
          <t>優先考慮</t>
        </r>
        <r>
          <rPr>
            <sz val="9"/>
            <color indexed="81"/>
            <rFont val="Tahoma"/>
            <family val="2"/>
          </rPr>
          <t xml:space="preserve"> </t>
        </r>
        <r>
          <rPr>
            <b/>
            <sz val="9"/>
            <color indexed="81"/>
            <rFont val="細明體"/>
            <family val="3"/>
            <charset val="136"/>
          </rPr>
          <t>資訊及通訊科技</t>
        </r>
        <r>
          <rPr>
            <sz val="9"/>
            <color indexed="81"/>
            <rFont val="Tahoma"/>
            <family val="2"/>
          </rPr>
          <t xml:space="preserve"> </t>
        </r>
        <r>
          <rPr>
            <sz val="9"/>
            <color indexed="81"/>
            <rFont val="細明體"/>
            <family val="3"/>
            <charset val="136"/>
          </rPr>
          <t>考獲</t>
        </r>
        <r>
          <rPr>
            <b/>
            <sz val="9"/>
            <color indexed="81"/>
            <rFont val="Tahoma"/>
            <family val="2"/>
          </rPr>
          <t>Lv.3</t>
        </r>
        <r>
          <rPr>
            <b/>
            <sz val="9"/>
            <color indexed="81"/>
            <rFont val="細明體"/>
            <family val="3"/>
            <charset val="136"/>
          </rPr>
          <t>或以上</t>
        </r>
        <r>
          <rPr>
            <sz val="9"/>
            <color indexed="81"/>
            <rFont val="細明體"/>
            <family val="3"/>
            <charset val="136"/>
          </rPr>
          <t>者</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C3" authorId="0" shapeId="0" xr:uid="{00000000-0006-0000-1200-000001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X3" authorId="0" shapeId="0" xr:uid="{57AC09DA-0A73-4041-97A4-A74E6BAF49A2}">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C6" authorId="0" shapeId="0" xr:uid="{00000000-0006-0000-1200-00000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、物理、化學、生物、組合科學</t>
        </r>
      </text>
    </comment>
    <comment ref="X6" authorId="0" shapeId="0" xr:uid="{5ECC4269-BA4F-49FC-8C2C-76311C5FFD02}">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、物理、化學、生物、組合科學</t>
        </r>
      </text>
    </comment>
    <comment ref="C9" authorId="0" shapeId="0" xr:uid="{00000000-0006-0000-1200-00000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X9" authorId="0" shapeId="0" xr:uid="{5E956B7D-2692-47DE-A67A-0F1E6B306C93}">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C12" authorId="0" shapeId="0" xr:uid="{00000000-0006-0000-1200-000004000000}">
      <text>
        <r>
          <rPr>
            <b/>
            <sz val="9"/>
            <color indexed="81"/>
            <rFont val="Tahoma"/>
            <family val="2"/>
          </rPr>
          <t>2021</t>
        </r>
        <r>
          <rPr>
            <b/>
            <sz val="9"/>
            <color indexed="81"/>
            <rFont val="細明體"/>
            <family val="3"/>
            <charset val="136"/>
          </rPr>
          <t xml:space="preserve">年將以新比重收生
</t>
        </r>
        <r>
          <rPr>
            <b/>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t>
        </r>
        <r>
          <rPr>
            <sz val="9"/>
            <color indexed="81"/>
            <rFont val="Tahoma"/>
            <family val="2"/>
          </rPr>
          <t>M1/2</t>
        </r>
        <r>
          <rPr>
            <sz val="9"/>
            <color indexed="81"/>
            <rFont val="細明體"/>
            <family val="3"/>
            <charset val="136"/>
          </rPr>
          <t xml:space="preserve">、通識、生物、化學、物理、組合科學、經濟、地理、綜合科學
</t>
        </r>
        <r>
          <rPr>
            <b/>
            <sz val="9"/>
            <color indexed="81"/>
            <rFont val="細明體"/>
            <family val="3"/>
            <charset val="136"/>
          </rPr>
          <t xml:space="preserve">
此處仍以</t>
        </r>
        <r>
          <rPr>
            <b/>
            <sz val="9"/>
            <color indexed="81"/>
            <rFont val="Tahoma"/>
            <family val="2"/>
          </rPr>
          <t>2020</t>
        </r>
        <r>
          <rPr>
            <b/>
            <sz val="9"/>
            <color indexed="81"/>
            <rFont val="細明體"/>
            <family val="3"/>
            <charset val="136"/>
          </rPr>
          <t>年比重作估算，請注意
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text>
    </comment>
    <comment ref="X12" authorId="0" shapeId="0" xr:uid="{0C267E5D-6D61-4FF2-B567-29785AD90DE9}">
      <text>
        <r>
          <rPr>
            <b/>
            <sz val="9"/>
            <color indexed="81"/>
            <rFont val="Tahoma"/>
            <family val="2"/>
          </rPr>
          <t>2021</t>
        </r>
        <r>
          <rPr>
            <b/>
            <sz val="9"/>
            <color indexed="81"/>
            <rFont val="細明體"/>
            <family val="3"/>
            <charset val="136"/>
          </rPr>
          <t xml:space="preserve">年將以新比重收生
</t>
        </r>
        <r>
          <rPr>
            <b/>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t>
        </r>
        <r>
          <rPr>
            <sz val="9"/>
            <color indexed="81"/>
            <rFont val="Tahoma"/>
            <family val="2"/>
          </rPr>
          <t>M1/2</t>
        </r>
        <r>
          <rPr>
            <sz val="9"/>
            <color indexed="81"/>
            <rFont val="細明體"/>
            <family val="3"/>
            <charset val="136"/>
          </rPr>
          <t xml:space="preserve">、通識、生物、化學、物理、組合科學、經濟、地理、綜合科學
</t>
        </r>
        <r>
          <rPr>
            <b/>
            <sz val="9"/>
            <color indexed="81"/>
            <rFont val="細明體"/>
            <family val="3"/>
            <charset val="136"/>
          </rPr>
          <t xml:space="preserve">
此處仍以</t>
        </r>
        <r>
          <rPr>
            <b/>
            <sz val="9"/>
            <color indexed="81"/>
            <rFont val="Tahoma"/>
            <family val="2"/>
          </rPr>
          <t>2020</t>
        </r>
        <r>
          <rPr>
            <b/>
            <sz val="9"/>
            <color indexed="81"/>
            <rFont val="細明體"/>
            <family val="3"/>
            <charset val="136"/>
          </rPr>
          <t>年比重作估算，請注意
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text>
    </comment>
    <comment ref="C15" authorId="0" shapeId="0" xr:uid="{00000000-0006-0000-1200-000005000000}">
      <text>
        <r>
          <rPr>
            <b/>
            <sz val="9"/>
            <color indexed="81"/>
            <rFont val="Tahoma"/>
            <family val="2"/>
          </rPr>
          <t>2021</t>
        </r>
        <r>
          <rPr>
            <b/>
            <sz val="9"/>
            <color indexed="81"/>
            <rFont val="細明體"/>
            <family val="3"/>
            <charset val="136"/>
          </rPr>
          <t xml:space="preserve">年將以新比重收生
</t>
        </r>
        <r>
          <rPr>
            <b/>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、地理、</t>
        </r>
        <r>
          <rPr>
            <sz val="9"/>
            <color indexed="81"/>
            <rFont val="Tahoma"/>
            <family val="2"/>
          </rPr>
          <t>ICT</t>
        </r>
        <r>
          <rPr>
            <sz val="9"/>
            <color indexed="81"/>
            <rFont val="細明體"/>
            <family val="3"/>
            <charset val="136"/>
          </rPr>
          <t xml:space="preserve">、綜合科學
</t>
        </r>
        <r>
          <rPr>
            <b/>
            <sz val="9"/>
            <color indexed="81"/>
            <rFont val="細明體"/>
            <family val="3"/>
            <charset val="136"/>
          </rPr>
          <t xml:space="preserve">
此處仍以</t>
        </r>
        <r>
          <rPr>
            <b/>
            <sz val="9"/>
            <color indexed="81"/>
            <rFont val="Tahoma"/>
            <family val="2"/>
          </rPr>
          <t>2020</t>
        </r>
        <r>
          <rPr>
            <b/>
            <sz val="9"/>
            <color indexed="81"/>
            <rFont val="細明體"/>
            <family val="3"/>
            <charset val="136"/>
          </rPr>
          <t>年比重作估算，請注意
最高比重</t>
        </r>
        <r>
          <rPr>
            <b/>
            <sz val="9"/>
            <color indexed="81"/>
            <rFont val="Tahoma"/>
            <family val="2"/>
          </rPr>
          <t xml:space="preserve">: </t>
        </r>
        <r>
          <rPr>
            <sz val="9"/>
            <color indexed="81"/>
            <rFont val="細明體"/>
            <family val="3"/>
            <charset val="136"/>
          </rPr>
          <t>英文、數學</t>
        </r>
      </text>
    </comment>
    <comment ref="X15" authorId="0" shapeId="0" xr:uid="{B554967E-8F6F-4F90-BCBD-B78E9A3EC80D}">
      <text>
        <r>
          <rPr>
            <b/>
            <sz val="9"/>
            <color indexed="81"/>
            <rFont val="Tahoma"/>
            <family val="2"/>
          </rPr>
          <t>2021</t>
        </r>
        <r>
          <rPr>
            <b/>
            <sz val="9"/>
            <color indexed="81"/>
            <rFont val="細明體"/>
            <family val="3"/>
            <charset val="136"/>
          </rPr>
          <t xml:space="preserve">年將以新比重收生
</t>
        </r>
        <r>
          <rPr>
            <b/>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、地理、</t>
        </r>
        <r>
          <rPr>
            <sz val="9"/>
            <color indexed="81"/>
            <rFont val="Tahoma"/>
            <family val="2"/>
          </rPr>
          <t>ICT</t>
        </r>
        <r>
          <rPr>
            <sz val="9"/>
            <color indexed="81"/>
            <rFont val="細明體"/>
            <family val="3"/>
            <charset val="136"/>
          </rPr>
          <t xml:space="preserve">、綜合科學
</t>
        </r>
        <r>
          <rPr>
            <b/>
            <sz val="9"/>
            <color indexed="81"/>
            <rFont val="細明體"/>
            <family val="3"/>
            <charset val="136"/>
          </rPr>
          <t xml:space="preserve">
此處仍以</t>
        </r>
        <r>
          <rPr>
            <b/>
            <sz val="9"/>
            <color indexed="81"/>
            <rFont val="Tahoma"/>
            <family val="2"/>
          </rPr>
          <t>2020</t>
        </r>
        <r>
          <rPr>
            <b/>
            <sz val="9"/>
            <color indexed="81"/>
            <rFont val="細明體"/>
            <family val="3"/>
            <charset val="136"/>
          </rPr>
          <t>年比重作估算，請注意
最高比重</t>
        </r>
        <r>
          <rPr>
            <b/>
            <sz val="9"/>
            <color indexed="81"/>
            <rFont val="Tahoma"/>
            <family val="2"/>
          </rPr>
          <t xml:space="preserve">: </t>
        </r>
        <r>
          <rPr>
            <sz val="9"/>
            <color indexed="81"/>
            <rFont val="細明體"/>
            <family val="3"/>
            <charset val="136"/>
          </rPr>
          <t>英文、數學</t>
        </r>
      </text>
    </comment>
    <comment ref="C18" authorId="0" shapeId="0" xr:uid="{00000000-0006-0000-1200-00000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X18" authorId="0" shapeId="0" xr:uid="{5E702F6C-B940-4FCF-8D05-F607FAC8B5E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C21" authorId="0" shapeId="0" xr:uid="{00000000-0006-0000-1200-000007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21" authorId="0" shapeId="0" xr:uid="{3F93A48E-39DF-4DB9-B658-826D0051E487}">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24" authorId="0" shapeId="0" xr:uid="{00000000-0006-0000-1200-00000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、生物、化學、組合科學</t>
        </r>
        <r>
          <rPr>
            <sz val="9"/>
            <color indexed="81"/>
            <rFont val="Tahoma"/>
            <family val="2"/>
          </rPr>
          <t>(</t>
        </r>
        <r>
          <rPr>
            <sz val="9"/>
            <color indexed="81"/>
            <rFont val="細明體"/>
            <family val="3"/>
            <charset val="136"/>
          </rPr>
          <t>生物、化學</t>
        </r>
        <r>
          <rPr>
            <sz val="9"/>
            <color indexed="81"/>
            <rFont val="Tahoma"/>
            <family val="2"/>
          </rPr>
          <t>)</t>
        </r>
      </text>
    </comment>
    <comment ref="X24" authorId="0" shapeId="0" xr:uid="{4D0D18FF-F855-401C-B8EF-9952C5D623B5}">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、生物、化學、組合科學</t>
        </r>
        <r>
          <rPr>
            <sz val="9"/>
            <color indexed="81"/>
            <rFont val="Tahoma"/>
            <family val="2"/>
          </rPr>
          <t>(</t>
        </r>
        <r>
          <rPr>
            <sz val="9"/>
            <color indexed="81"/>
            <rFont val="細明體"/>
            <family val="3"/>
            <charset val="136"/>
          </rPr>
          <t>生物、化學</t>
        </r>
        <r>
          <rPr>
            <sz val="9"/>
            <color indexed="81"/>
            <rFont val="Tahoma"/>
            <family val="2"/>
          </rPr>
          <t>)</t>
        </r>
      </text>
    </comment>
    <comment ref="C27" authorId="0" shapeId="0" xr:uid="{00000000-0006-0000-1200-00000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英文、化學、組合科學</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t>
        </r>
        <r>
          <rPr>
            <sz val="9"/>
            <color indexed="81"/>
            <rFont val="Tahoma"/>
            <family val="2"/>
          </rPr>
          <t>DAT</t>
        </r>
        <r>
          <rPr>
            <sz val="9"/>
            <color indexed="81"/>
            <rFont val="細明體"/>
            <family val="3"/>
            <charset val="136"/>
          </rPr>
          <t>、視藝藝術</t>
        </r>
      </text>
    </comment>
    <comment ref="X27" authorId="0" shapeId="0" xr:uid="{BAA5CDC4-F90B-4EED-8339-1520196E0BF2}">
      <text>
        <r>
          <rPr>
            <b/>
            <sz val="9"/>
            <color indexed="81"/>
            <rFont val="細明體"/>
            <family val="3"/>
            <charset val="136"/>
          </rPr>
          <t>最高比重</t>
        </r>
        <r>
          <rPr>
            <b/>
            <sz val="9"/>
            <color indexed="81"/>
            <rFont val="Tahoma"/>
            <family val="2"/>
          </rPr>
          <t xml:space="preserve">:
</t>
        </r>
        <r>
          <rPr>
            <sz val="9"/>
            <color indexed="81"/>
            <rFont val="細明體"/>
            <family val="3"/>
            <charset val="136"/>
          </rPr>
          <t>英文、化學、組合科學</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t>
        </r>
        <r>
          <rPr>
            <sz val="9"/>
            <color indexed="81"/>
            <rFont val="Tahoma"/>
            <family val="2"/>
          </rPr>
          <t>DAT</t>
        </r>
        <r>
          <rPr>
            <sz val="9"/>
            <color indexed="81"/>
            <rFont val="細明體"/>
            <family val="3"/>
            <charset val="136"/>
          </rPr>
          <t>、視藝藝術</t>
        </r>
      </text>
    </comment>
    <comment ref="C30" authorId="0" shapeId="0" xr:uid="{00000000-0006-0000-1200-00000A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X30" authorId="0" shapeId="0" xr:uid="{B27B2182-E0AE-483B-B90A-A302BF99DF71}">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C33" authorId="0" shapeId="0" xr:uid="{00000000-0006-0000-1200-00000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X33" authorId="0" shapeId="0" xr:uid="{53AF0172-5FA3-4CB8-82A6-9F9DA9CEC2AE}">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C36" authorId="0" shapeId="0" xr:uid="{00000000-0006-0000-1200-00000C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36" authorId="0" shapeId="0" xr:uid="{3A22A558-D7D0-45C2-AA97-50091480F9F6}">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39" authorId="0" shapeId="0" xr:uid="{00000000-0006-0000-1200-00000D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t>
        </r>
        <r>
          <rPr>
            <sz val="9"/>
            <color indexed="81"/>
            <rFont val="Tahoma"/>
            <family val="2"/>
          </rPr>
          <t>DAT</t>
        </r>
        <r>
          <rPr>
            <sz val="9"/>
            <color indexed="81"/>
            <rFont val="細明體"/>
            <family val="3"/>
            <charset val="136"/>
          </rPr>
          <t>、視覺藝術</t>
        </r>
      </text>
    </comment>
    <comment ref="X39" authorId="0" shapeId="0" xr:uid="{E56AC33C-6BB2-4632-945E-3146A04CE154}">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t>
        </r>
        <r>
          <rPr>
            <sz val="9"/>
            <color indexed="81"/>
            <rFont val="Tahoma"/>
            <family val="2"/>
          </rPr>
          <t>DAT</t>
        </r>
        <r>
          <rPr>
            <sz val="9"/>
            <color indexed="81"/>
            <rFont val="細明體"/>
            <family val="3"/>
            <charset val="136"/>
          </rPr>
          <t>、視覺藝術</t>
        </r>
      </text>
    </comment>
    <comment ref="C42" authorId="0" shapeId="0" xr:uid="{00000000-0006-0000-1200-00000E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42" authorId="0" shapeId="0" xr:uid="{488A8058-CC86-40A5-81D2-135DE09BC5CD}">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45" authorId="0" shapeId="0" xr:uid="{00000000-0006-0000-1200-00000F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45" authorId="0" shapeId="0" xr:uid="{8EBE5D91-FB6D-4016-881A-012374E52A46}">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48" authorId="0" shapeId="0" xr:uid="{00000000-0006-0000-1200-000010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48" authorId="0" shapeId="0" xr:uid="{FCB88AE5-9A78-4F1A-A79A-628B54441FD2}">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51" authorId="0" shapeId="0" xr:uid="{00000000-0006-0000-1200-000011000000}">
      <text>
        <r>
          <rPr>
            <b/>
            <sz val="9"/>
            <color indexed="81"/>
            <rFont val="細明體"/>
            <family val="3"/>
            <charset val="136"/>
          </rPr>
          <t>最高比重</t>
        </r>
        <r>
          <rPr>
            <b/>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、生物、化學、物理、組合科學</t>
        </r>
      </text>
    </comment>
    <comment ref="X51" authorId="0" shapeId="0" xr:uid="{8F7FEC4F-E350-4403-963E-0D11DCF997D7}">
      <text>
        <r>
          <rPr>
            <b/>
            <sz val="9"/>
            <color indexed="81"/>
            <rFont val="細明體"/>
            <family val="3"/>
            <charset val="136"/>
          </rPr>
          <t>最高比重</t>
        </r>
        <r>
          <rPr>
            <b/>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、生物、化學、物理、組合科學</t>
        </r>
      </text>
    </comment>
    <comment ref="C54" authorId="0" shapeId="0" xr:uid="{00000000-0006-0000-1200-00001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中文、英文、數學、生物、化學、物理、組合科學</t>
        </r>
      </text>
    </comment>
    <comment ref="X54" authorId="0" shapeId="0" xr:uid="{32656D66-72E3-47E5-96AC-AB38255F76DC}">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中文、英文、數學、生物、化學、物理、組合科學</t>
        </r>
      </text>
    </comment>
    <comment ref="C57" authorId="0" shapeId="0" xr:uid="{00000000-0006-0000-1200-00001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text>
    </comment>
    <comment ref="X57" authorId="0" shapeId="0" xr:uid="{D16405CF-7A82-4255-BD57-3BB90806E324}">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text>
    </comment>
    <comment ref="C60" authorId="0" shapeId="0" xr:uid="{00000000-0006-0000-1200-000014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r>
          <rPr>
            <sz val="9"/>
            <color indexed="81"/>
            <rFont val="Tahoma"/>
            <family val="2"/>
          </rPr>
          <t>(</t>
        </r>
        <r>
          <rPr>
            <sz val="9"/>
            <color indexed="81"/>
            <rFont val="細明體"/>
            <family val="3"/>
            <charset val="136"/>
          </rPr>
          <t>生物、物理</t>
        </r>
        <r>
          <rPr>
            <sz val="9"/>
            <color indexed="81"/>
            <rFont val="Tahoma"/>
            <family val="2"/>
          </rPr>
          <t>)</t>
        </r>
      </text>
    </comment>
    <comment ref="X60" authorId="0" shapeId="0" xr:uid="{9ECE4860-B403-4C3F-8EA1-CC2887FEBB35}">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r>
          <rPr>
            <sz val="9"/>
            <color indexed="81"/>
            <rFont val="Tahoma"/>
            <family val="2"/>
          </rPr>
          <t>(</t>
        </r>
        <r>
          <rPr>
            <sz val="9"/>
            <color indexed="81"/>
            <rFont val="細明體"/>
            <family val="3"/>
            <charset val="136"/>
          </rPr>
          <t>生物、物理</t>
        </r>
        <r>
          <rPr>
            <sz val="9"/>
            <color indexed="81"/>
            <rFont val="Tahoma"/>
            <family val="2"/>
          </rPr>
          <t>)</t>
        </r>
      </text>
    </comment>
    <comment ref="C63" authorId="0" shapeId="0" xr:uid="{00000000-0006-0000-1200-000015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X63" authorId="0" shapeId="0" xr:uid="{0A35C353-5A7E-410A-A84C-D7AA25C0EB3C}">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C66" authorId="0" shapeId="0" xr:uid="{00000000-0006-0000-1200-000016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text>
    </comment>
    <comment ref="X66" authorId="0" shapeId="0" xr:uid="{DFF2DC40-E371-43D6-A0AE-1D2F49D24683}">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text>
    </comment>
    <comment ref="C72" authorId="0" shapeId="0" xr:uid="{00000000-0006-0000-1200-000017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72" authorId="0" shapeId="0" xr:uid="{A76C2103-6198-4B1C-8D49-CD10780EC9F9}">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75" authorId="0" shapeId="0" xr:uid="{00000000-0006-0000-1200-00001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X75" authorId="0" shapeId="0" xr:uid="{F4BB57F9-67D6-4A77-BFC1-04A9F1D13C67}">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C78" authorId="0" shapeId="0" xr:uid="{00000000-0006-0000-1200-00001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X78" authorId="0" shapeId="0" xr:uid="{A55851D3-5F69-451E-B537-34DDC87146A9}">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C81" authorId="0" shapeId="0" xr:uid="{00000000-0006-0000-1200-00001A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X81" authorId="0" shapeId="0" xr:uid="{BED0A868-E9B9-471E-82EE-9BD4ED574FB6}">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84" authorId="0" shapeId="0" xr:uid="{00000000-0006-0000-1200-00001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X84" authorId="0" shapeId="0" xr:uid="{F1E3A77E-F5F7-4471-871B-FD30608281B9}">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C87" authorId="0" shapeId="0" xr:uid="{00000000-0006-0000-1200-00001C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英文、數學、物理、組合科學</t>
        </r>
        <r>
          <rPr>
            <sz val="9"/>
            <color indexed="81"/>
            <rFont val="Tahoma"/>
            <family val="2"/>
          </rPr>
          <t>(</t>
        </r>
        <r>
          <rPr>
            <sz val="9"/>
            <color indexed="81"/>
            <rFont val="細明體"/>
            <family val="3"/>
            <charset val="136"/>
          </rPr>
          <t>物理</t>
        </r>
        <r>
          <rPr>
            <sz val="9"/>
            <color indexed="81"/>
            <rFont val="Tahoma"/>
            <family val="2"/>
          </rPr>
          <t>)</t>
        </r>
      </text>
    </comment>
    <comment ref="X87" authorId="0" shapeId="0" xr:uid="{AA87391B-0942-47A3-9C39-75F65E256EC9}">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英文、數學、物理、組合科學</t>
        </r>
        <r>
          <rPr>
            <sz val="9"/>
            <color indexed="81"/>
            <rFont val="Tahoma"/>
            <family val="2"/>
          </rPr>
          <t>(</t>
        </r>
        <r>
          <rPr>
            <sz val="9"/>
            <color indexed="81"/>
            <rFont val="細明體"/>
            <family val="3"/>
            <charset val="136"/>
          </rPr>
          <t>物理</t>
        </r>
        <r>
          <rPr>
            <sz val="9"/>
            <color indexed="81"/>
            <rFont val="Tahoma"/>
            <family val="2"/>
          </rPr>
          <t>)</t>
        </r>
      </text>
    </comment>
    <comment ref="C93" authorId="0" shapeId="0" xr:uid="{00000000-0006-0000-1200-00001D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X93" authorId="0" shapeId="0" xr:uid="{FCA46826-914A-4540-A93E-84DAA684A0B6}">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96" authorId="0" shapeId="0" xr:uid="{00000000-0006-0000-1200-00001E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X96" authorId="0" shapeId="0" xr:uid="{748BF682-3C8E-4699-A81F-E84351E29D73}">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C99" authorId="0" shapeId="0" xr:uid="{00000000-0006-0000-1200-00001F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X99" authorId="0" shapeId="0" xr:uid="{3A332E53-AA23-4BF6-A814-01CE18102A8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102" authorId="0" shapeId="0" xr:uid="{00000000-0006-0000-1200-000020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102" authorId="0" shapeId="0" xr:uid="{481C4712-2DFC-4E7F-B559-9C876BA0B8ED}">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05" authorId="0" shapeId="0" xr:uid="{00000000-0006-0000-1200-000021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text>
    </comment>
    <comment ref="X105" authorId="0" shapeId="0" xr:uid="{E498E18A-E9D6-433A-AC1B-666C0BF1F6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text>
    </comment>
    <comment ref="C108" authorId="0" shapeId="0" xr:uid="{00000000-0006-0000-1200-00002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X108" authorId="0" shapeId="0" xr:uid="{32D2143F-5F51-40F9-9F59-0BE2AA0545BE}">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C111" authorId="0" shapeId="0" xr:uid="{00000000-0006-0000-1200-000023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text>
    </comment>
    <comment ref="X111" authorId="0" shapeId="0" xr:uid="{943710B1-A0DA-4DD6-AB8C-1BF71F5C195A}">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text>
    </comment>
    <comment ref="C114" authorId="0" shapeId="0" xr:uid="{00000000-0006-0000-1200-000024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114" authorId="0" shapeId="0" xr:uid="{3ED119E8-0123-41B1-BD6A-5221EC27661A}">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17" authorId="0" shapeId="0" xr:uid="{00000000-0006-0000-1200-000025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t>
        </r>
        <r>
          <rPr>
            <sz val="9"/>
            <color indexed="81"/>
            <rFont val="Tahoma"/>
            <family val="2"/>
          </rPr>
          <t>BAFS</t>
        </r>
        <r>
          <rPr>
            <sz val="9"/>
            <color indexed="81"/>
            <rFont val="細明體"/>
            <family val="3"/>
            <charset val="136"/>
          </rPr>
          <t>、組合科學、經濟、</t>
        </r>
        <r>
          <rPr>
            <sz val="9"/>
            <color indexed="81"/>
            <rFont val="Tahoma"/>
            <family val="2"/>
          </rPr>
          <t>ICT</t>
        </r>
      </text>
    </comment>
    <comment ref="X117" authorId="0" shapeId="0" xr:uid="{AD9F57B2-FC75-4613-86D8-4AF306B8F586}">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t>
        </r>
        <r>
          <rPr>
            <sz val="9"/>
            <color indexed="81"/>
            <rFont val="Tahoma"/>
            <family val="2"/>
          </rPr>
          <t>BAFS</t>
        </r>
        <r>
          <rPr>
            <sz val="9"/>
            <color indexed="81"/>
            <rFont val="細明體"/>
            <family val="3"/>
            <charset val="136"/>
          </rPr>
          <t>、組合科學、經濟、</t>
        </r>
        <r>
          <rPr>
            <sz val="9"/>
            <color indexed="81"/>
            <rFont val="Tahoma"/>
            <family val="2"/>
          </rPr>
          <t>ICT</t>
        </r>
      </text>
    </comment>
    <comment ref="C120" authorId="0" shapeId="0" xr:uid="{00000000-0006-0000-1200-00002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X120" authorId="0" shapeId="0" xr:uid="{67839A38-BBDE-484F-9741-8C910207960B}">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C123" authorId="0" shapeId="0" xr:uid="{00000000-0006-0000-1200-000027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123" authorId="0" shapeId="0" xr:uid="{FBC15E02-BD6F-4046-8121-E58736B51E09}">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26" authorId="0" shapeId="0" xr:uid="{00000000-0006-0000-1200-00002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X126" authorId="0" shapeId="0" xr:uid="{F11423EC-DD7D-4536-9C21-69AF11F31571}">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C129" authorId="0" shapeId="0" xr:uid="{00000000-0006-0000-1200-00002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英文、數學、生物、組合科學</t>
        </r>
        <r>
          <rPr>
            <sz val="9"/>
            <color indexed="81"/>
            <rFont val="Tahoma"/>
            <family val="2"/>
          </rPr>
          <t>(</t>
        </r>
        <r>
          <rPr>
            <sz val="9"/>
            <color indexed="81"/>
            <rFont val="細明體"/>
            <family val="3"/>
            <charset val="136"/>
          </rPr>
          <t>生物</t>
        </r>
        <r>
          <rPr>
            <sz val="9"/>
            <color indexed="81"/>
            <rFont val="Tahoma"/>
            <family val="2"/>
          </rPr>
          <t>)</t>
        </r>
      </text>
    </comment>
    <comment ref="X129" authorId="0" shapeId="0" xr:uid="{76F59459-F13D-4157-987F-4B7233E86FB7}">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英文、數學、生物、組合科學</t>
        </r>
        <r>
          <rPr>
            <sz val="9"/>
            <color indexed="81"/>
            <rFont val="Tahoma"/>
            <family val="2"/>
          </rPr>
          <t>(</t>
        </r>
        <r>
          <rPr>
            <sz val="9"/>
            <color indexed="81"/>
            <rFont val="細明體"/>
            <family val="3"/>
            <charset val="136"/>
          </rPr>
          <t>生物</t>
        </r>
        <r>
          <rPr>
            <sz val="9"/>
            <color indexed="81"/>
            <rFont val="Tahoma"/>
            <family val="2"/>
          </rPr>
          <t>)</t>
        </r>
      </text>
    </comment>
    <comment ref="C132" authorId="0" shapeId="0" xr:uid="{00000000-0006-0000-1200-00002A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X132" authorId="0" shapeId="0" xr:uid="{852FFFEE-C76D-4C1B-A7C2-8ABD36B90C2C}">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C135" authorId="0" shapeId="0" xr:uid="{00000000-0006-0000-1200-00002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英文、數學、化學、組合科學</t>
        </r>
        <r>
          <rPr>
            <sz val="9"/>
            <color indexed="81"/>
            <rFont val="Tahoma"/>
            <family val="2"/>
          </rPr>
          <t>(</t>
        </r>
        <r>
          <rPr>
            <sz val="9"/>
            <color indexed="81"/>
            <rFont val="細明體"/>
            <family val="3"/>
            <charset val="136"/>
          </rPr>
          <t>化學</t>
        </r>
        <r>
          <rPr>
            <sz val="9"/>
            <color indexed="81"/>
            <rFont val="Tahoma"/>
            <family val="2"/>
          </rPr>
          <t>)</t>
        </r>
      </text>
    </comment>
    <comment ref="X135" authorId="0" shapeId="0" xr:uid="{189D616D-7A9B-445D-B3DE-89B606EA461F}">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英文、數學、化學、組合科學</t>
        </r>
        <r>
          <rPr>
            <sz val="9"/>
            <color indexed="81"/>
            <rFont val="Tahoma"/>
            <family val="2"/>
          </rPr>
          <t>(</t>
        </r>
        <r>
          <rPr>
            <sz val="9"/>
            <color indexed="81"/>
            <rFont val="細明體"/>
            <family val="3"/>
            <charset val="136"/>
          </rPr>
          <t>化學</t>
        </r>
        <r>
          <rPr>
            <sz val="9"/>
            <color indexed="81"/>
            <rFont val="Tahoma"/>
            <family val="2"/>
          </rPr>
          <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C16" authorId="0" shapeId="0" xr:uid="{00000000-0006-0000-1300-000001000000}">
      <text>
        <r>
          <rPr>
            <b/>
            <sz val="9"/>
            <color indexed="81"/>
            <rFont val="Tahoma"/>
            <family val="2"/>
          </rPr>
          <t>2021</t>
        </r>
        <r>
          <rPr>
            <b/>
            <sz val="9"/>
            <color indexed="81"/>
            <rFont val="細明體"/>
            <family val="3"/>
            <charset val="136"/>
          </rPr>
          <t xml:space="preserve">年將不會計算比重
</t>
        </r>
        <r>
          <rPr>
            <b/>
            <sz val="9"/>
            <color indexed="81"/>
            <rFont val="Tahoma"/>
            <family val="2"/>
          </rPr>
          <t xml:space="preserve">
</t>
        </r>
        <r>
          <rPr>
            <b/>
            <sz val="9"/>
            <color indexed="81"/>
            <rFont val="細明體"/>
            <family val="3"/>
            <charset val="136"/>
          </rPr>
          <t xml:space="preserve">經考慮後，
此處將以不以原有比重作估算，請注意
</t>
        </r>
        <r>
          <rPr>
            <sz val="9"/>
            <color indexed="81"/>
            <rFont val="細明體"/>
            <family val="3"/>
            <charset val="136"/>
          </rPr>
          <t xml:space="preserve">
</t>
        </r>
        <r>
          <rPr>
            <b/>
            <sz val="9"/>
            <color indexed="81"/>
            <rFont val="Tahoma"/>
            <family val="2"/>
          </rPr>
          <t>x2:</t>
        </r>
        <r>
          <rPr>
            <sz val="9"/>
            <color indexed="81"/>
            <rFont val="Tahoma"/>
            <family val="2"/>
          </rPr>
          <t xml:space="preserve"> </t>
        </r>
        <r>
          <rPr>
            <sz val="9"/>
            <color indexed="81"/>
            <rFont val="細明體"/>
            <family val="3"/>
            <charset val="136"/>
          </rPr>
          <t>旅遊及款待</t>
        </r>
      </text>
    </comment>
    <comment ref="C17" authorId="0" shapeId="0" xr:uid="{00000000-0006-0000-1300-000002000000}">
      <text>
        <r>
          <rPr>
            <b/>
            <sz val="9"/>
            <color indexed="81"/>
            <rFont val="細明體"/>
            <family val="3"/>
            <charset val="136"/>
          </rPr>
          <t>包含英文及</t>
        </r>
        <r>
          <rPr>
            <b/>
            <sz val="9"/>
            <color indexed="81"/>
            <rFont val="Tahoma"/>
            <family val="2"/>
          </rPr>
          <t xml:space="preserve"> [</t>
        </r>
        <r>
          <rPr>
            <b/>
            <sz val="9"/>
            <color indexed="81"/>
            <rFont val="細明體"/>
            <family val="3"/>
            <charset val="136"/>
          </rPr>
          <t>數學和</t>
        </r>
        <r>
          <rPr>
            <b/>
            <sz val="9"/>
            <color indexed="81"/>
            <rFont val="Tahoma"/>
            <family val="2"/>
          </rPr>
          <t>M1/2]</t>
        </r>
        <r>
          <rPr>
            <b/>
            <sz val="9"/>
            <color indexed="81"/>
            <rFont val="細明體"/>
            <family val="3"/>
            <charset val="136"/>
          </rPr>
          <t>其中最佳一科</t>
        </r>
      </text>
    </comment>
    <comment ref="C19" authorId="0" shapeId="0" xr:uid="{00000000-0006-0000-1300-000003000000}">
      <text>
        <r>
          <rPr>
            <b/>
            <sz val="9"/>
            <color indexed="81"/>
            <rFont val="Tahoma"/>
            <family val="2"/>
          </rPr>
          <t>2021</t>
        </r>
        <r>
          <rPr>
            <b/>
            <sz val="9"/>
            <color indexed="81"/>
            <rFont val="細明體"/>
            <family val="3"/>
            <charset val="136"/>
          </rPr>
          <t xml:space="preserve">年將以新比重收生
</t>
        </r>
        <r>
          <rPr>
            <sz val="9"/>
            <color indexed="81"/>
            <rFont val="Tahoma"/>
            <family val="2"/>
          </rPr>
          <t>(</t>
        </r>
        <r>
          <rPr>
            <b/>
            <sz val="9"/>
            <color indexed="81"/>
            <rFont val="Tahoma"/>
            <family val="2"/>
          </rPr>
          <t>x2</t>
        </r>
        <r>
          <rPr>
            <sz val="9"/>
            <color indexed="81"/>
            <rFont val="Tahoma"/>
            <family val="2"/>
          </rPr>
          <t xml:space="preserve">: </t>
        </r>
        <r>
          <rPr>
            <sz val="9"/>
            <color indexed="81"/>
            <rFont val="細明體"/>
            <family val="3"/>
            <charset val="136"/>
          </rPr>
          <t xml:space="preserve">英文、數學
</t>
        </r>
        <r>
          <rPr>
            <b/>
            <sz val="9"/>
            <color indexed="81"/>
            <rFont val="Tahoma"/>
            <family val="2"/>
          </rPr>
          <t xml:space="preserve">x1.5: </t>
        </r>
        <r>
          <rPr>
            <sz val="9"/>
            <color indexed="81"/>
            <rFont val="Tahoma"/>
            <family val="2"/>
          </rPr>
          <t>[M1/2</t>
        </r>
        <r>
          <rPr>
            <sz val="9"/>
            <color indexed="81"/>
            <rFont val="細明體"/>
            <family val="3"/>
            <charset val="136"/>
          </rPr>
          <t>、化學、物理或經濟</t>
        </r>
        <r>
          <rPr>
            <sz val="9"/>
            <color indexed="81"/>
            <rFont val="Tahoma"/>
            <family val="2"/>
          </rPr>
          <t xml:space="preserve">] </t>
        </r>
        <r>
          <rPr>
            <sz val="9"/>
            <color indexed="81"/>
            <rFont val="細明體"/>
            <family val="3"/>
            <charset val="136"/>
          </rPr>
          <t>其中最佳一科</t>
        </r>
        <r>
          <rPr>
            <sz val="9"/>
            <color indexed="81"/>
            <rFont val="Tahoma"/>
            <family val="2"/>
          </rPr>
          <t>)</t>
        </r>
        <r>
          <rPr>
            <b/>
            <sz val="9"/>
            <color indexed="81"/>
            <rFont val="細明體"/>
            <family val="3"/>
            <charset val="136"/>
          </rPr>
          <t xml:space="preserve">
此處仍以原有比重作估算，請注意</t>
        </r>
        <r>
          <rPr>
            <b/>
            <sz val="9"/>
            <color indexed="81"/>
            <rFont val="Tahoma"/>
            <family val="2"/>
          </rPr>
          <t xml:space="preserve">
x2: </t>
        </r>
        <r>
          <rPr>
            <sz val="9"/>
            <color indexed="81"/>
            <rFont val="細明體"/>
            <family val="3"/>
            <charset val="136"/>
          </rPr>
          <t xml:space="preserve">英文、數學
</t>
        </r>
        <r>
          <rPr>
            <b/>
            <sz val="9"/>
            <color indexed="81"/>
            <rFont val="Tahoma"/>
            <family val="2"/>
          </rPr>
          <t xml:space="preserve">x1.5: </t>
        </r>
        <r>
          <rPr>
            <sz val="9"/>
            <color indexed="81"/>
            <rFont val="Tahoma"/>
            <family val="2"/>
          </rPr>
          <t>[M1/2</t>
        </r>
        <r>
          <rPr>
            <sz val="9"/>
            <color indexed="81"/>
            <rFont val="細明體"/>
            <family val="3"/>
            <charset val="136"/>
          </rPr>
          <t>、化學或物理</t>
        </r>
        <r>
          <rPr>
            <sz val="9"/>
            <color indexed="81"/>
            <rFont val="Tahoma"/>
            <family val="2"/>
          </rPr>
          <t xml:space="preserve">] </t>
        </r>
        <r>
          <rPr>
            <sz val="9"/>
            <color indexed="81"/>
            <rFont val="細明體"/>
            <family val="3"/>
            <charset val="136"/>
          </rPr>
          <t>其中最佳一科</t>
        </r>
      </text>
    </comment>
    <comment ref="C20" authorId="0" shapeId="0" xr:uid="{00000000-0006-0000-1300-000004000000}">
      <text>
        <r>
          <rPr>
            <b/>
            <sz val="9"/>
            <color indexed="81"/>
            <rFont val="Tahoma"/>
            <family val="2"/>
          </rPr>
          <t xml:space="preserve">x2: </t>
        </r>
        <r>
          <rPr>
            <sz val="9"/>
            <color indexed="81"/>
            <rFont val="細明體"/>
            <family val="3"/>
            <charset val="136"/>
          </rPr>
          <t>英文、通識</t>
        </r>
        <r>
          <rPr>
            <sz val="9"/>
            <color indexed="81"/>
            <rFont val="Tahoma"/>
            <family val="2"/>
          </rPr>
          <t xml:space="preserve">
</t>
        </r>
        <r>
          <rPr>
            <b/>
            <sz val="9"/>
            <color indexed="81"/>
            <rFont val="Tahoma"/>
            <family val="2"/>
          </rPr>
          <t xml:space="preserve">x 1.5: </t>
        </r>
        <r>
          <rPr>
            <sz val="9"/>
            <color indexed="81"/>
            <rFont val="細明體"/>
            <family val="3"/>
            <charset val="136"/>
          </rPr>
          <t>中文</t>
        </r>
      </text>
    </comment>
    <comment ref="C22" authorId="0" shapeId="0" xr:uid="{00000000-0006-0000-1300-000005000000}">
      <text>
        <r>
          <rPr>
            <b/>
            <sz val="9"/>
            <color indexed="81"/>
            <rFont val="細明體"/>
            <family val="3"/>
            <charset val="136"/>
          </rPr>
          <t xml:space="preserve">包含中文
</t>
        </r>
        <r>
          <rPr>
            <b/>
            <sz val="9"/>
            <color indexed="81"/>
            <rFont val="Tahoma"/>
            <family val="2"/>
          </rPr>
          <t xml:space="preserve">
</t>
        </r>
        <r>
          <rPr>
            <sz val="9"/>
            <color indexed="81"/>
            <rFont val="細明體"/>
            <family val="3"/>
            <charset val="136"/>
          </rPr>
          <t>中文有較高比重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C23" authorId="0" shapeId="0" xr:uid="{00000000-0006-0000-1300-000006000000}">
      <text>
        <r>
          <rPr>
            <b/>
            <sz val="9"/>
            <color indexed="81"/>
            <rFont val="細明體"/>
            <family val="3"/>
            <charset val="136"/>
          </rPr>
          <t xml:space="preserve">包含英文
</t>
        </r>
        <r>
          <rPr>
            <b/>
            <sz val="9"/>
            <color indexed="81"/>
            <rFont val="Tahoma"/>
            <family val="2"/>
          </rPr>
          <t xml:space="preserve">
</t>
        </r>
        <r>
          <rPr>
            <sz val="9"/>
            <color indexed="81"/>
            <rFont val="細明體"/>
            <family val="3"/>
            <charset val="136"/>
          </rPr>
          <t>英文有較高比重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C24" authorId="0" shapeId="0" xr:uid="{00000000-0006-0000-1300-000007000000}">
      <text>
        <r>
          <rPr>
            <b/>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、中文、英文</t>
        </r>
      </text>
    </comment>
    <comment ref="C28" authorId="0" shapeId="0" xr:uid="{00000000-0006-0000-1300-000008000000}">
      <text>
        <r>
          <rPr>
            <b/>
            <sz val="9"/>
            <color indexed="81"/>
            <rFont val="Tahoma"/>
            <family val="2"/>
          </rPr>
          <t xml:space="preserve">x1.5: </t>
        </r>
        <r>
          <rPr>
            <sz val="9"/>
            <color indexed="81"/>
            <rFont val="細明體"/>
            <family val="3"/>
            <charset val="136"/>
          </rPr>
          <t xml:space="preserve">英文
</t>
        </r>
        <r>
          <rPr>
            <sz val="9"/>
            <color indexed="81"/>
            <rFont val="Tahoma"/>
            <family val="2"/>
          </rPr>
          <t xml:space="preserve">
</t>
        </r>
        <r>
          <rPr>
            <b/>
            <sz val="9"/>
            <color indexed="81"/>
            <rFont val="Tahoma"/>
            <family val="2"/>
          </rPr>
          <t xml:space="preserve">x1.25: </t>
        </r>
        <r>
          <rPr>
            <sz val="9"/>
            <color indexed="81"/>
            <rFont val="細明體"/>
            <family val="3"/>
            <charset val="136"/>
          </rPr>
          <t>中文、通識</t>
        </r>
      </text>
    </comment>
    <comment ref="C29" authorId="0" shapeId="0" xr:uid="{00000000-0006-0000-1300-000009000000}">
      <text>
        <r>
          <rPr>
            <b/>
            <sz val="9"/>
            <color indexed="81"/>
            <rFont val="Tahoma"/>
            <family val="2"/>
          </rPr>
          <t xml:space="preserve">x2: </t>
        </r>
        <r>
          <rPr>
            <sz val="9"/>
            <color indexed="81"/>
            <rFont val="細明體"/>
            <family val="3"/>
            <charset val="136"/>
          </rPr>
          <t xml:space="preserve">英文、通識
</t>
        </r>
        <r>
          <rPr>
            <sz val="9"/>
            <color indexed="81"/>
            <rFont val="Tahoma"/>
            <family val="2"/>
          </rPr>
          <t xml:space="preserve">
</t>
        </r>
        <r>
          <rPr>
            <b/>
            <sz val="9"/>
            <color indexed="81"/>
            <rFont val="Tahoma"/>
            <family val="2"/>
          </rPr>
          <t xml:space="preserve">x1.5: </t>
        </r>
        <r>
          <rPr>
            <sz val="9"/>
            <color indexed="81"/>
            <rFont val="細明體"/>
            <family val="3"/>
            <charset val="136"/>
          </rPr>
          <t>中文</t>
        </r>
      </text>
    </comment>
    <comment ref="R64" authorId="0" shapeId="0" xr:uid="{00000000-0006-0000-1300-00000A000000}">
      <text>
        <r>
          <rPr>
            <sz val="9"/>
            <color indexed="81"/>
            <rFont val="Tahoma"/>
            <family val="2"/>
          </rPr>
          <t>Penalty for previous sitting(s) (2019 and before) will be imposed on a case-by-case basis</t>
        </r>
      </text>
    </comment>
    <comment ref="R65" authorId="0" shapeId="0" xr:uid="{00000000-0006-0000-1300-00000B000000}">
      <text>
        <r>
          <rPr>
            <sz val="9"/>
            <color indexed="81"/>
            <rFont val="Tahoma"/>
            <family val="2"/>
          </rPr>
          <t>Penalty for previous sitting(s) (2019 and before) will be imposed on a case-by-case basis</t>
        </r>
      </text>
    </comment>
    <comment ref="R72" authorId="0" shapeId="0" xr:uid="{00000000-0006-0000-1300-00000C000000}">
      <text>
        <r>
          <rPr>
            <sz val="9"/>
            <color indexed="81"/>
            <rFont val="Tahoma"/>
            <family val="2"/>
          </rPr>
          <t>Penalty for previous sitting(s) (2019 and before) will be imposed on a case-by-case basis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G14" authorId="0" shapeId="0" xr:uid="{00000000-0006-0000-0100-000001000000}">
      <text>
        <r>
          <rPr>
            <sz val="9"/>
            <color indexed="81"/>
            <rFont val="Tahoma"/>
            <family val="2"/>
          </rPr>
          <t>Penalty will be imposed on</t>
        </r>
        <r>
          <rPr>
            <b/>
            <sz val="9"/>
            <color indexed="81"/>
            <rFont val="Tahoma"/>
            <family val="2"/>
          </rPr>
          <t xml:space="preserve"> subjects which were retaken</t>
        </r>
        <r>
          <rPr>
            <sz val="9"/>
            <color indexed="81"/>
            <rFont val="Tahoma"/>
            <family val="2"/>
          </rPr>
          <t xml:space="preserve">
</t>
        </r>
      </text>
    </comment>
    <comment ref="G27" authorId="0" shapeId="0" xr:uid="{00000000-0006-0000-0100-000002000000}">
      <text>
        <r>
          <rPr>
            <sz val="9"/>
            <color indexed="81"/>
            <rFont val="Tahoma"/>
            <family val="2"/>
          </rPr>
          <t>Penalty will be imposed on</t>
        </r>
        <r>
          <rPr>
            <b/>
            <sz val="9"/>
            <color indexed="81"/>
            <rFont val="Tahoma"/>
            <family val="2"/>
          </rPr>
          <t xml:space="preserve"> subjects which were retaken</t>
        </r>
        <r>
          <rPr>
            <sz val="9"/>
            <color indexed="81"/>
            <rFont val="Tahoma"/>
            <family val="2"/>
          </rPr>
          <t xml:space="preserve">
</t>
        </r>
      </text>
    </comment>
    <comment ref="G30" authorId="0" shapeId="0" xr:uid="{00000000-0006-0000-0100-000003000000}">
      <text>
        <r>
          <rPr>
            <sz val="9"/>
            <color indexed="81"/>
            <rFont val="Tahoma"/>
            <family val="2"/>
          </rPr>
          <t xml:space="preserve">Penalty will be imposed on </t>
        </r>
        <r>
          <rPr>
            <b/>
            <sz val="9"/>
            <color indexed="81"/>
            <rFont val="Tahoma"/>
            <family val="2"/>
          </rPr>
          <t>subjects which were retaken</t>
        </r>
        <r>
          <rPr>
            <sz val="9"/>
            <color indexed="81"/>
            <rFont val="Tahoma"/>
            <family val="2"/>
          </rPr>
          <t xml:space="preserve">
</t>
        </r>
      </text>
    </comment>
    <comment ref="G31" authorId="0" shapeId="0" xr:uid="{00000000-0006-0000-0100-000004000000}">
      <text>
        <r>
          <rPr>
            <sz val="9"/>
            <color indexed="81"/>
            <rFont val="Tahoma"/>
            <family val="2"/>
          </rPr>
          <t xml:space="preserve">Penalty will be imposed on </t>
        </r>
        <r>
          <rPr>
            <b/>
            <sz val="9"/>
            <color indexed="81"/>
            <rFont val="Tahoma"/>
            <family val="2"/>
          </rPr>
          <t>subjects which were retaken</t>
        </r>
        <r>
          <rPr>
            <sz val="9"/>
            <color indexed="81"/>
            <rFont val="Tahoma"/>
            <family val="2"/>
          </rPr>
          <t xml:space="preserve">
</t>
        </r>
      </text>
    </comment>
    <comment ref="G33" authorId="0" shapeId="0" xr:uid="{00000000-0006-0000-0100-000005000000}">
      <text>
        <r>
          <rPr>
            <sz val="9"/>
            <color indexed="81"/>
            <rFont val="Tahoma"/>
            <family val="2"/>
          </rPr>
          <t xml:space="preserve">Penalty for </t>
        </r>
        <r>
          <rPr>
            <b/>
            <sz val="9"/>
            <color indexed="81"/>
            <rFont val="Tahoma"/>
            <family val="2"/>
          </rPr>
          <t>previous sitting(s) (2019 or before)</t>
        </r>
        <r>
          <rPr>
            <sz val="9"/>
            <color indexed="81"/>
            <rFont val="Tahoma"/>
            <family val="2"/>
          </rPr>
          <t xml:space="preserve"> will be imposed on a case-by-case basis
</t>
        </r>
      </text>
    </comment>
    <comment ref="G40" authorId="0" shapeId="0" xr:uid="{00000000-0006-0000-0100-000006000000}">
      <text>
        <r>
          <rPr>
            <sz val="9"/>
            <color indexed="81"/>
            <rFont val="Tahoma"/>
            <family val="2"/>
          </rPr>
          <t>Penalty for</t>
        </r>
        <r>
          <rPr>
            <b/>
            <sz val="9"/>
            <color indexed="81"/>
            <rFont val="Tahoma"/>
            <family val="2"/>
          </rPr>
          <t xml:space="preserve"> previous sitting(s) (2019 or before)</t>
        </r>
        <r>
          <rPr>
            <sz val="9"/>
            <color indexed="81"/>
            <rFont val="Tahoma"/>
            <family val="2"/>
          </rPr>
          <t xml:space="preserve"> will be imposed on a case-by-case basis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author>
    <author>Michael Chan</author>
    <author>CHAN, Koon Ho</author>
    <author>SHEK, Kam Ming</author>
  </authors>
  <commentList>
    <comment ref="E2" authorId="0" shapeId="0" xr:uid="{00000000-0006-0000-0200-000001000000}">
      <text>
        <r>
          <rPr>
            <b/>
            <sz val="9"/>
            <color indexed="81"/>
            <rFont val="細明體"/>
            <family val="3"/>
            <charset val="136"/>
          </rPr>
          <t>入學要求</t>
        </r>
      </text>
    </comment>
    <comment ref="L2" authorId="0" shapeId="0" xr:uid="{00000000-0006-0000-0200-000002000000}">
      <text>
        <r>
          <rPr>
            <b/>
            <sz val="9"/>
            <color indexed="81"/>
            <rFont val="細明體"/>
            <family val="3"/>
            <charset val="136"/>
          </rPr>
          <t>入學要求</t>
        </r>
      </text>
    </comment>
    <comment ref="I21" authorId="0" shapeId="0" xr:uid="{00000000-0006-0000-0200-000003000000}">
      <text>
        <r>
          <rPr>
            <b/>
            <sz val="9"/>
            <color indexed="81"/>
            <rFont val="Tahoma"/>
            <family val="2"/>
          </rPr>
          <t>Level 3</t>
        </r>
        <r>
          <rPr>
            <sz val="9"/>
            <color indexed="81"/>
            <rFont val="Tahoma"/>
            <family val="2"/>
          </rPr>
          <t xml:space="preserve"> in one elective subject from:
- Chemistry
- Combined Science
(Chemistry and Physics)
- Physics</t>
        </r>
      </text>
    </comment>
    <comment ref="G40" authorId="0" shapeId="0" xr:uid="{00000000-0006-0000-0200-000004000000}">
      <text>
        <r>
          <rPr>
            <b/>
            <sz val="9"/>
            <color indexed="81"/>
            <rFont val="Tahoma"/>
            <family val="2"/>
          </rPr>
          <t>Level 3</t>
        </r>
        <r>
          <rPr>
            <sz val="9"/>
            <color indexed="81"/>
            <rFont val="Tahoma"/>
            <family val="2"/>
          </rPr>
          <t xml:space="preserve"> in Mathematics if no other science subject is taken
</t>
        </r>
      </text>
    </comment>
    <comment ref="I40" authorId="0" shapeId="0" xr:uid="{00000000-0006-0000-0200-000005000000}">
      <text>
        <r>
          <rPr>
            <b/>
            <sz val="9"/>
            <color indexed="81"/>
            <rFont val="Tahoma"/>
            <family val="2"/>
          </rPr>
          <t>Level 3</t>
        </r>
        <r>
          <rPr>
            <sz val="9"/>
            <color indexed="81"/>
            <rFont val="Tahoma"/>
            <family val="2"/>
          </rPr>
          <t xml:space="preserve"> in one elective subject from:
- Chemistry
- Combined Science
(Biology and Chemistry)
- Combined Science
(Chemistry and Physics)</t>
        </r>
      </text>
    </comment>
    <comment ref="J40" authorId="0" shapeId="0" xr:uid="{00000000-0006-0000-0200-000006000000}">
      <text>
        <r>
          <rPr>
            <sz val="9"/>
            <color indexed="81"/>
            <rFont val="細明體"/>
            <family val="3"/>
            <charset val="136"/>
          </rPr>
          <t>若於數學科中獲</t>
        </r>
        <r>
          <rPr>
            <sz val="9"/>
            <color indexed="81"/>
            <rFont val="Tahoma"/>
            <family val="2"/>
          </rPr>
          <t>Lv.3</t>
        </r>
        <r>
          <rPr>
            <sz val="9"/>
            <color indexed="81"/>
            <rFont val="細明體"/>
            <family val="3"/>
            <charset val="136"/>
          </rPr>
          <t xml:space="preserve">或以上的成績︰
</t>
        </r>
        <r>
          <rPr>
            <b/>
            <sz val="9"/>
            <color indexed="81"/>
            <rFont val="細明體"/>
            <family val="3"/>
            <charset val="136"/>
          </rPr>
          <t>任何一科</t>
        </r>
        <r>
          <rPr>
            <sz val="9"/>
            <color indexed="81"/>
            <rFont val="細明體"/>
            <family val="3"/>
            <charset val="136"/>
          </rPr>
          <t xml:space="preserve">
若於數學科中只獲</t>
        </r>
        <r>
          <rPr>
            <sz val="9"/>
            <color indexed="81"/>
            <rFont val="Tahoma"/>
            <family val="2"/>
          </rPr>
          <t>Lv.2</t>
        </r>
        <r>
          <rPr>
            <sz val="9"/>
            <color indexed="81"/>
            <rFont val="細明體"/>
            <family val="3"/>
            <charset val="136"/>
          </rPr>
          <t xml:space="preserve">的成績︰
</t>
        </r>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BAFS
- DAT
- ICT</t>
        </r>
      </text>
    </comment>
    <comment ref="I41" authorId="0" shapeId="0" xr:uid="{00000000-0006-0000-0200-000007000000}">
      <text>
        <r>
          <rPr>
            <b/>
            <sz val="9"/>
            <color indexed="81"/>
            <rFont val="Tahoma"/>
            <family val="2"/>
          </rPr>
          <t>Level 3</t>
        </r>
        <r>
          <rPr>
            <sz val="9"/>
            <color indexed="81"/>
            <rFont val="Tahoma"/>
            <family val="2"/>
          </rPr>
          <t xml:space="preserve"> in one elective subject from:
- Biology
- Chemistry
- Combined Science
- ICT
- M1/M2
- Physics</t>
        </r>
      </text>
    </comment>
    <comment ref="I42" authorId="0" shapeId="0" xr:uid="{00000000-0006-0000-0200-000008000000}">
      <text>
        <r>
          <rPr>
            <b/>
            <sz val="9"/>
            <color indexed="81"/>
            <rFont val="Tahoma"/>
            <family val="2"/>
          </rPr>
          <t>Level 3</t>
        </r>
        <r>
          <rPr>
            <sz val="9"/>
            <color indexed="81"/>
            <rFont val="Tahoma"/>
            <family val="2"/>
          </rPr>
          <t xml:space="preserve"> in one elective subject from:
- Biology
- Chemistry
- Combined Science
- Integrated Science
- ICT
- M1/M2
- Physics</t>
        </r>
      </text>
    </comment>
    <comment ref="I43" authorId="0" shapeId="0" xr:uid="{00000000-0006-0000-0200-000009000000}">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I44" authorId="0" shapeId="0" xr:uid="{00000000-0006-0000-0200-00000A000000}">
      <text>
        <r>
          <rPr>
            <b/>
            <sz val="9"/>
            <color indexed="81"/>
            <rFont val="Tahoma"/>
            <family val="2"/>
          </rPr>
          <t>Level 3</t>
        </r>
        <r>
          <rPr>
            <sz val="9"/>
            <color indexed="81"/>
            <rFont val="Tahoma"/>
            <family val="2"/>
          </rPr>
          <t xml:space="preserve"> in one elective subject from:
- Chemistry
- Combined Science
- M1/2
- DAT
- Physics</t>
        </r>
      </text>
    </comment>
    <comment ref="I45" authorId="0" shapeId="0" xr:uid="{00000000-0006-0000-0200-00000B000000}">
      <text>
        <r>
          <rPr>
            <b/>
            <sz val="9"/>
            <color indexed="81"/>
            <rFont val="Tahoma"/>
            <family val="2"/>
          </rPr>
          <t>Level 3</t>
        </r>
        <r>
          <rPr>
            <sz val="9"/>
            <color indexed="81"/>
            <rFont val="Tahoma"/>
            <family val="2"/>
          </rPr>
          <t xml:space="preserve"> in one elective subject from:
- Chemistry
- Combined Science
(Biology and Physics)
- Combined Science
(Chemistry and Physics)
- DAT
- Physics</t>
        </r>
      </text>
    </comment>
    <comment ref="I46" authorId="0" shapeId="0" xr:uid="{00000000-0006-0000-0200-00000C000000}">
      <text>
        <r>
          <rPr>
            <b/>
            <sz val="9"/>
            <color indexed="81"/>
            <rFont val="Tahoma"/>
            <family val="2"/>
          </rPr>
          <t xml:space="preserve">Level 3 </t>
        </r>
        <r>
          <rPr>
            <sz val="9"/>
            <color indexed="81"/>
            <rFont val="Tahoma"/>
            <family val="2"/>
          </rPr>
          <t xml:space="preserve">in one elective subject from:
- Chemistry
- Combined Science (Biology and Physics)
- Combined Science (Chemistry and Physics)
- DAT
- Physics
</t>
        </r>
      </text>
    </comment>
    <comment ref="I47" authorId="0" shapeId="0" xr:uid="{00000000-0006-0000-0200-00000D000000}">
      <text>
        <r>
          <rPr>
            <b/>
            <sz val="9"/>
            <color indexed="81"/>
            <rFont val="Tahoma"/>
            <family val="2"/>
          </rPr>
          <t>Level 3</t>
        </r>
        <r>
          <rPr>
            <sz val="9"/>
            <color indexed="81"/>
            <rFont val="Tahoma"/>
            <family val="2"/>
          </rPr>
          <t xml:space="preserve"> in one elective subject from:
- Biology
- Chemistry
- Combined Science
- Physics</t>
        </r>
      </text>
    </comment>
    <comment ref="I48" authorId="0" shapeId="0" xr:uid="{00000000-0006-0000-0200-00000E000000}">
      <text>
        <r>
          <rPr>
            <b/>
            <sz val="9"/>
            <color indexed="81"/>
            <rFont val="Tahoma"/>
            <family val="2"/>
          </rPr>
          <t>Level 3</t>
        </r>
        <r>
          <rPr>
            <sz val="9"/>
            <color indexed="81"/>
            <rFont val="Tahoma"/>
            <family val="2"/>
          </rPr>
          <t xml:space="preserve"> in one elective subject from:
- Chemistry
- Combined Science (Physics)
- DAT
- ICT
- M1/2
- Physics</t>
        </r>
      </text>
    </comment>
    <comment ref="I49" authorId="0" shapeId="0" xr:uid="{00000000-0006-0000-0200-00000F000000}">
      <text>
        <r>
          <rPr>
            <b/>
            <sz val="9"/>
            <color indexed="81"/>
            <rFont val="Tahoma"/>
            <family val="2"/>
          </rPr>
          <t xml:space="preserve">Level 3 </t>
        </r>
        <r>
          <rPr>
            <sz val="9"/>
            <color indexed="81"/>
            <rFont val="Tahoma"/>
            <family val="2"/>
          </rPr>
          <t>in Biology and Chemistry</t>
        </r>
      </text>
    </comment>
    <comment ref="J49" authorId="0" shapeId="0" xr:uid="{00000000-0006-0000-0200-000010000000}">
      <text>
        <r>
          <rPr>
            <b/>
            <sz val="9"/>
            <color indexed="81"/>
            <rFont val="Tahoma"/>
            <family val="2"/>
          </rPr>
          <t xml:space="preserve">Level 3 </t>
        </r>
        <r>
          <rPr>
            <sz val="9"/>
            <color indexed="81"/>
            <rFont val="Tahoma"/>
            <family val="2"/>
          </rPr>
          <t>in Biology and Chemistry</t>
        </r>
      </text>
    </comment>
    <comment ref="I50" authorId="0" shapeId="0" xr:uid="{00000000-0006-0000-0200-000011000000}">
      <text>
        <r>
          <rPr>
            <b/>
            <sz val="9"/>
            <color indexed="81"/>
            <rFont val="Tahoma"/>
            <family val="2"/>
          </rPr>
          <t>Level 3</t>
        </r>
        <r>
          <rPr>
            <sz val="9"/>
            <color indexed="81"/>
            <rFont val="Tahoma"/>
            <family val="2"/>
          </rPr>
          <t xml:space="preserve"> in one elective subject from:
- Biology
- Chemistry
- Combined Science</t>
        </r>
      </text>
    </comment>
    <comment ref="J50" authorId="0" shapeId="0" xr:uid="{00000000-0006-0000-0200-000012000000}">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I51" authorId="0" shapeId="0" xr:uid="{00000000-0006-0000-0200-000013000000}">
      <text>
        <r>
          <rPr>
            <b/>
            <sz val="9"/>
            <color indexed="81"/>
            <rFont val="Tahoma"/>
            <family val="2"/>
          </rPr>
          <t>Level 3</t>
        </r>
        <r>
          <rPr>
            <sz val="9"/>
            <color indexed="81"/>
            <rFont val="Tahoma"/>
            <family val="2"/>
          </rPr>
          <t xml:space="preserve"> in one elective subject from:
- Biology
- Chemistry
- Combined Science</t>
        </r>
      </text>
    </comment>
    <comment ref="J51" authorId="0" shapeId="0" xr:uid="{00000000-0006-0000-0200-000014000000}">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I52" authorId="0" shapeId="0" xr:uid="{00000000-0006-0000-0200-000015000000}">
      <text>
        <r>
          <rPr>
            <b/>
            <sz val="9"/>
            <color indexed="81"/>
            <rFont val="Tahoma"/>
            <family val="2"/>
          </rPr>
          <t>Level 3</t>
        </r>
        <r>
          <rPr>
            <sz val="9"/>
            <color indexed="81"/>
            <rFont val="Tahoma"/>
            <family val="2"/>
          </rPr>
          <t xml:space="preserve"> in one elective subject from:
- Biology
- Chemistry
- Combined Science</t>
        </r>
      </text>
    </comment>
    <comment ref="J52" authorId="0" shapeId="0" xr:uid="{00000000-0006-0000-0200-000016000000}">
      <text>
        <r>
          <rPr>
            <b/>
            <sz val="9"/>
            <color indexed="81"/>
            <rFont val="Tahoma"/>
            <family val="2"/>
          </rPr>
          <t xml:space="preserve">Level 3 </t>
        </r>
        <r>
          <rPr>
            <sz val="9"/>
            <color indexed="81"/>
            <rFont val="Tahoma"/>
            <family val="2"/>
          </rPr>
          <t>in one elective subject from:
Biology
BAFS
Chemistry
DAT
ICT
M1/M2
Physics
Science (Combined or Integrated)</t>
        </r>
      </text>
    </comment>
    <comment ref="E55" authorId="0" shapeId="0" xr:uid="{00000000-0006-0000-0200-000017000000}">
      <text>
        <r>
          <rPr>
            <b/>
            <sz val="9"/>
            <color indexed="81"/>
            <rFont val="細明體"/>
            <family val="3"/>
            <charset val="136"/>
          </rPr>
          <t>入學要求</t>
        </r>
      </text>
    </comment>
    <comment ref="L55" authorId="0" shapeId="0" xr:uid="{00000000-0006-0000-0200-000018000000}">
      <text>
        <r>
          <rPr>
            <b/>
            <sz val="9"/>
            <color indexed="81"/>
            <rFont val="細明體"/>
            <family val="3"/>
            <charset val="136"/>
          </rPr>
          <t>入學要求</t>
        </r>
      </text>
    </comment>
    <comment ref="C64" authorId="1" shapeId="0" xr:uid="{00000000-0006-0000-0200-000019000000}">
      <text>
        <r>
          <rPr>
            <b/>
            <sz val="9"/>
            <color indexed="81"/>
            <rFont val="Tahoma"/>
            <family val="2"/>
          </rPr>
          <t>x2:</t>
        </r>
        <r>
          <rPr>
            <b/>
            <sz val="9"/>
            <color indexed="81"/>
            <rFont val="細明體"/>
            <family val="3"/>
            <charset val="136"/>
          </rPr>
          <t xml:space="preserve">
</t>
        </r>
        <r>
          <rPr>
            <sz val="9"/>
            <color indexed="81"/>
            <rFont val="細明體"/>
            <family val="3"/>
            <charset val="136"/>
          </rPr>
          <t>英文、英語文學</t>
        </r>
        <r>
          <rPr>
            <b/>
            <sz val="9"/>
            <color indexed="81"/>
            <rFont val="細明體"/>
            <family val="3"/>
            <charset val="136"/>
          </rPr>
          <t xml:space="preserve">
</t>
        </r>
        <r>
          <rPr>
            <b/>
            <sz val="9"/>
            <color indexed="81"/>
            <rFont val="Tahoma"/>
            <family val="2"/>
          </rPr>
          <t xml:space="preserve">
x1.5:
</t>
        </r>
        <r>
          <rPr>
            <sz val="9"/>
            <color indexed="81"/>
            <rFont val="細明體"/>
            <family val="3"/>
            <charset val="136"/>
          </rPr>
          <t>中文、中國文學、通識、數學</t>
        </r>
      </text>
    </comment>
    <comment ref="E64" authorId="1" shapeId="0" xr:uid="{00000000-0006-0000-0200-00001A000000}">
      <text>
        <r>
          <rPr>
            <sz val="9"/>
            <color indexed="81"/>
            <rFont val="Tahoma"/>
            <family val="2"/>
          </rPr>
          <t>Good results in</t>
        </r>
        <r>
          <rPr>
            <b/>
            <sz val="9"/>
            <color indexed="81"/>
            <rFont val="Tahoma"/>
            <family val="2"/>
          </rPr>
          <t xml:space="preserve"> Chinese and English Language </t>
        </r>
        <r>
          <rPr>
            <sz val="9"/>
            <color indexed="81"/>
            <rFont val="Tahoma"/>
            <family val="2"/>
          </rPr>
          <t xml:space="preserve">subjects are preferred.
</t>
        </r>
      </text>
    </comment>
    <comment ref="F64" authorId="1" shapeId="0" xr:uid="{00000000-0006-0000-0200-00001B000000}">
      <text>
        <r>
          <rPr>
            <sz val="9"/>
            <color indexed="81"/>
            <rFont val="Tahoma"/>
            <family val="2"/>
          </rPr>
          <t>Good results in</t>
        </r>
        <r>
          <rPr>
            <b/>
            <sz val="9"/>
            <color indexed="81"/>
            <rFont val="Tahoma"/>
            <family val="2"/>
          </rPr>
          <t xml:space="preserve"> Chinese and English Language </t>
        </r>
        <r>
          <rPr>
            <sz val="9"/>
            <color indexed="81"/>
            <rFont val="Tahoma"/>
            <family val="2"/>
          </rPr>
          <t xml:space="preserve">subjects are preferred.
</t>
        </r>
      </text>
    </comment>
    <comment ref="C66" authorId="1" shapeId="0" xr:uid="{00000000-0006-0000-0200-00001C000000}">
      <text>
        <r>
          <rPr>
            <b/>
            <sz val="9"/>
            <color indexed="81"/>
            <rFont val="Tahoma"/>
            <family val="2"/>
          </rPr>
          <t xml:space="preserve">x1.5:
英文 
</t>
        </r>
      </text>
    </comment>
    <comment ref="F66" authorId="1" shapeId="0" xr:uid="{00000000-0006-0000-0200-00001D000000}">
      <text>
        <r>
          <rPr>
            <b/>
            <sz val="9"/>
            <color indexed="81"/>
            <rFont val="Tahoma"/>
            <family val="2"/>
          </rPr>
          <t>Good result in English Language</t>
        </r>
        <r>
          <rPr>
            <sz val="9"/>
            <color indexed="81"/>
            <rFont val="Tahoma"/>
            <family val="2"/>
          </rPr>
          <t xml:space="preserve"> subject is preferred.</t>
        </r>
      </text>
    </comment>
    <comment ref="C67" authorId="1" shapeId="0" xr:uid="{00000000-0006-0000-0200-00001E000000}">
      <text>
        <r>
          <rPr>
            <b/>
            <sz val="9"/>
            <color indexed="81"/>
            <rFont val="Tahoma"/>
            <family val="2"/>
          </rPr>
          <t xml:space="preserve">x1.5:
英文 
</t>
        </r>
      </text>
    </comment>
    <comment ref="F67" authorId="1" shapeId="0" xr:uid="{00000000-0006-0000-0200-00001F000000}">
      <text>
        <r>
          <rPr>
            <b/>
            <sz val="9"/>
            <color indexed="81"/>
            <rFont val="Tahoma"/>
            <family val="2"/>
          </rPr>
          <t>Good result in English Language</t>
        </r>
        <r>
          <rPr>
            <sz val="9"/>
            <color indexed="81"/>
            <rFont val="Tahoma"/>
            <family val="2"/>
          </rPr>
          <t xml:space="preserve"> subject is preferred.</t>
        </r>
      </text>
    </comment>
    <comment ref="C68" authorId="1" shapeId="0" xr:uid="{00000000-0006-0000-0200-000020000000}">
      <text>
        <r>
          <rPr>
            <b/>
            <sz val="9"/>
            <color indexed="81"/>
            <rFont val="Tahoma"/>
            <family val="2"/>
          </rPr>
          <t xml:space="preserve">Best 5 </t>
        </r>
        <r>
          <rPr>
            <b/>
            <sz val="9"/>
            <color indexed="81"/>
            <rFont val="細明體"/>
            <family val="3"/>
            <charset val="136"/>
          </rPr>
          <t xml:space="preserve">(包括中、英文)
</t>
        </r>
        <r>
          <rPr>
            <b/>
            <sz val="9"/>
            <color indexed="81"/>
            <rFont val="Tahoma"/>
            <family val="2"/>
          </rPr>
          <t>x1.25:
中文、英文</t>
        </r>
      </text>
    </comment>
    <comment ref="E68" authorId="1" shapeId="0" xr:uid="{00000000-0006-0000-0200-000021000000}">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F68" authorId="1" shapeId="0" xr:uid="{00000000-0006-0000-0200-000022000000}">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C69" authorId="1" shapeId="0" xr:uid="{00000000-0006-0000-0200-000023000000}">
      <text>
        <r>
          <rPr>
            <b/>
            <sz val="9"/>
            <color indexed="81"/>
            <rFont val="Tahoma"/>
            <family val="2"/>
          </rPr>
          <t xml:space="preserve">Best 5 </t>
        </r>
        <r>
          <rPr>
            <b/>
            <sz val="9"/>
            <color indexed="81"/>
            <rFont val="細明體"/>
            <family val="3"/>
            <charset val="136"/>
          </rPr>
          <t xml:space="preserve">(包括中、英文)
</t>
        </r>
        <r>
          <rPr>
            <b/>
            <sz val="9"/>
            <color indexed="81"/>
            <rFont val="Tahoma"/>
            <family val="2"/>
          </rPr>
          <t>x1.25:
中文、英文</t>
        </r>
      </text>
    </comment>
    <comment ref="E69" authorId="1" shapeId="0" xr:uid="{00000000-0006-0000-0200-000024000000}">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F69" authorId="1" shapeId="0" xr:uid="{00000000-0006-0000-0200-000025000000}">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C70" authorId="1" shapeId="0" xr:uid="{00000000-0006-0000-0200-000026000000}">
      <text>
        <r>
          <rPr>
            <b/>
            <sz val="9"/>
            <color indexed="81"/>
            <rFont val="Tahoma"/>
            <family val="2"/>
          </rPr>
          <t>Best 5 (</t>
        </r>
        <r>
          <rPr>
            <b/>
            <sz val="9"/>
            <color indexed="81"/>
            <rFont val="細明體"/>
            <family val="3"/>
            <charset val="136"/>
          </rPr>
          <t>包括英文</t>
        </r>
        <r>
          <rPr>
            <b/>
            <sz val="9"/>
            <color indexed="81"/>
            <rFont val="Tahoma"/>
            <family val="2"/>
          </rPr>
          <t>)</t>
        </r>
        <r>
          <rPr>
            <sz val="9"/>
            <color indexed="81"/>
            <rFont val="Tahoma"/>
            <family val="2"/>
          </rPr>
          <t xml:space="preserve">
</t>
        </r>
      </text>
    </comment>
    <comment ref="F70" authorId="1" shapeId="0" xr:uid="{00000000-0006-0000-0200-000027000000}">
      <text>
        <r>
          <rPr>
            <sz val="9"/>
            <color indexed="81"/>
            <rFont val="Tahoma"/>
            <family val="2"/>
          </rPr>
          <t xml:space="preserve">Good results in </t>
        </r>
        <r>
          <rPr>
            <b/>
            <sz val="9"/>
            <color indexed="81"/>
            <rFont val="Tahoma"/>
            <family val="2"/>
          </rPr>
          <t xml:space="preserve">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C71" authorId="1" shapeId="0" xr:uid="{00000000-0006-0000-0200-000028000000}">
      <text>
        <r>
          <rPr>
            <b/>
            <sz val="9"/>
            <color indexed="81"/>
            <rFont val="Tahoma"/>
            <family val="2"/>
          </rPr>
          <t>2021</t>
        </r>
        <r>
          <rPr>
            <b/>
            <sz val="9"/>
            <color indexed="81"/>
            <rFont val="細明體"/>
            <family val="3"/>
            <charset val="136"/>
          </rPr>
          <t>年新科目</t>
        </r>
        <r>
          <rPr>
            <b/>
            <sz val="9"/>
            <color indexed="81"/>
            <rFont val="Tahoma"/>
            <family val="2"/>
          </rPr>
          <t xml:space="preserve">
Best 5 </t>
        </r>
        <r>
          <rPr>
            <b/>
            <sz val="9"/>
            <color indexed="81"/>
            <rFont val="細明體"/>
            <family val="3"/>
            <charset val="136"/>
          </rPr>
          <t xml:space="preserve">(包括中、英文)
</t>
        </r>
        <r>
          <rPr>
            <b/>
            <sz val="9"/>
            <color indexed="81"/>
            <rFont val="Tahoma"/>
            <family val="2"/>
          </rPr>
          <t>x1.25:
中文、英文</t>
        </r>
      </text>
    </comment>
    <comment ref="C72" authorId="1" shapeId="0" xr:uid="{00000000-0006-0000-0200-000029000000}">
      <text>
        <r>
          <rPr>
            <b/>
            <sz val="9"/>
            <color indexed="81"/>
            <rFont val="Tahoma"/>
            <family val="2"/>
          </rPr>
          <t>2021</t>
        </r>
        <r>
          <rPr>
            <b/>
            <sz val="9"/>
            <color indexed="81"/>
            <rFont val="細明體"/>
            <family val="3"/>
            <charset val="136"/>
          </rPr>
          <t>年新科目</t>
        </r>
        <r>
          <rPr>
            <b/>
            <sz val="9"/>
            <color indexed="81"/>
            <rFont val="Tahoma"/>
            <family val="2"/>
          </rPr>
          <t xml:space="preserve">
Best 5 </t>
        </r>
        <r>
          <rPr>
            <b/>
            <sz val="9"/>
            <color indexed="81"/>
            <rFont val="細明體"/>
            <family val="3"/>
            <charset val="136"/>
          </rPr>
          <t xml:space="preserve">(包括中、英文)
</t>
        </r>
        <r>
          <rPr>
            <b/>
            <sz val="9"/>
            <color indexed="81"/>
            <rFont val="Tahoma"/>
            <family val="2"/>
          </rPr>
          <t>x1.25:
中文、英文</t>
        </r>
      </text>
    </comment>
    <comment ref="C73" authorId="1" shapeId="0" xr:uid="{00000000-0006-0000-0200-00002A000000}">
      <text>
        <r>
          <rPr>
            <b/>
            <sz val="9"/>
            <color indexed="81"/>
            <rFont val="Tahoma"/>
            <family val="2"/>
          </rPr>
          <t xml:space="preserve">x1.5: </t>
        </r>
        <r>
          <rPr>
            <sz val="9"/>
            <color indexed="81"/>
            <rFont val="細明體"/>
            <family val="3"/>
            <charset val="136"/>
          </rPr>
          <t>中文、英文、生物</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中史、中國文學、化學、組合科學、數學、物理</t>
        </r>
      </text>
    </comment>
    <comment ref="I73" authorId="0" shapeId="0" xr:uid="{00000000-0006-0000-0200-00002B000000}">
      <text>
        <r>
          <rPr>
            <sz val="9"/>
            <color indexed="81"/>
            <rFont val="Tahoma"/>
            <family val="2"/>
          </rPr>
          <t xml:space="preserve">One elective must be </t>
        </r>
        <r>
          <rPr>
            <b/>
            <sz val="9"/>
            <color indexed="81"/>
            <rFont val="Tahoma"/>
            <family val="2"/>
          </rPr>
          <t>Biology or Chemistry.</t>
        </r>
      </text>
    </comment>
    <comment ref="C74" authorId="1" shapeId="0" xr:uid="{00000000-0006-0000-0200-00002C000000}">
      <text>
        <r>
          <rPr>
            <b/>
            <sz val="9"/>
            <color indexed="81"/>
            <rFont val="Tahoma"/>
            <family val="2"/>
          </rPr>
          <t xml:space="preserve">x1.5: </t>
        </r>
        <r>
          <rPr>
            <sz val="9"/>
            <color indexed="81"/>
            <rFont val="細明體"/>
            <family val="3"/>
            <charset val="136"/>
          </rPr>
          <t>中文、英文、化學</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生物、中國文學、組合科學、數學、物理</t>
        </r>
      </text>
    </comment>
    <comment ref="I74" authorId="0" shapeId="0" xr:uid="{00000000-0006-0000-0200-00002D000000}">
      <text>
        <r>
          <rPr>
            <sz val="9"/>
            <color indexed="81"/>
            <rFont val="Tahoma"/>
            <family val="2"/>
          </rPr>
          <t xml:space="preserve">One elective must be </t>
        </r>
        <r>
          <rPr>
            <b/>
            <sz val="9"/>
            <color indexed="81"/>
            <rFont val="Tahoma"/>
            <family val="2"/>
          </rPr>
          <t>Chemistry.</t>
        </r>
      </text>
    </comment>
    <comment ref="C75" authorId="2" shapeId="0" xr:uid="{00000000-0006-0000-0200-00002E000000}">
      <text>
        <r>
          <rPr>
            <b/>
            <sz val="9"/>
            <color indexed="81"/>
            <rFont val="Tahoma"/>
            <family val="2"/>
          </rPr>
          <t>2021年將以4C2X收生
此處仍以Best 6作估算，請注意</t>
        </r>
      </text>
    </comment>
    <comment ref="I75" authorId="1" shapeId="0" xr:uid="{00000000-0006-0000-0200-00002F000000}">
      <text>
        <r>
          <rPr>
            <sz val="9"/>
            <color indexed="81"/>
            <rFont val="Tahoma"/>
            <family val="2"/>
          </rPr>
          <t>High choice banding in JUPAS application is preferred. 
Good results in</t>
        </r>
        <r>
          <rPr>
            <b/>
            <sz val="9"/>
            <color indexed="81"/>
            <rFont val="Tahoma"/>
            <family val="2"/>
          </rPr>
          <t xml:space="preserve"> science-related elective subjects</t>
        </r>
        <r>
          <rPr>
            <sz val="9"/>
            <color indexed="81"/>
            <rFont val="Tahoma"/>
            <family val="2"/>
          </rPr>
          <t xml:space="preserve"> is preferred.</t>
        </r>
      </text>
    </comment>
    <comment ref="C76" authorId="1" shapeId="0" xr:uid="{00000000-0006-0000-0200-000030000000}">
      <text>
        <r>
          <rPr>
            <b/>
            <sz val="9"/>
            <color indexed="81"/>
            <rFont val="Tahoma"/>
            <family val="2"/>
          </rPr>
          <t xml:space="preserve">x2:
英文 
</t>
        </r>
      </text>
    </comment>
    <comment ref="C78" authorId="1" shapeId="0" xr:uid="{00000000-0006-0000-0200-000031000000}">
      <text>
        <r>
          <rPr>
            <b/>
            <sz val="9"/>
            <color indexed="81"/>
            <rFont val="Tahoma"/>
            <family val="2"/>
          </rPr>
          <t>Best 5 (</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t>
        </r>
        <r>
          <rPr>
            <b/>
            <sz val="9"/>
            <color indexed="81"/>
            <rFont val="Tahoma"/>
            <family val="2"/>
          </rPr>
          <t>x1.2:
英文</t>
        </r>
      </text>
    </comment>
    <comment ref="C79" authorId="1" shapeId="0" xr:uid="{00000000-0006-0000-0200-000032000000}">
      <text>
        <r>
          <rPr>
            <b/>
            <sz val="9"/>
            <color indexed="81"/>
            <rFont val="Tahoma"/>
            <family val="2"/>
          </rPr>
          <t>Best 5 (</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t>
        </r>
        <r>
          <rPr>
            <b/>
            <sz val="9"/>
            <color indexed="81"/>
            <rFont val="Tahoma"/>
            <family val="2"/>
          </rPr>
          <t>x1.2:
英文</t>
        </r>
      </text>
    </comment>
    <comment ref="C80" authorId="1" shapeId="0" xr:uid="{00000000-0006-0000-0200-000033000000}">
      <text>
        <r>
          <rPr>
            <b/>
            <sz val="9"/>
            <color indexed="81"/>
            <rFont val="Tahoma"/>
            <family val="2"/>
          </rPr>
          <t>x2:
英文
x1.5:
通識</t>
        </r>
      </text>
    </comment>
    <comment ref="C81" authorId="1" shapeId="0" xr:uid="{00000000-0006-0000-0200-000034000000}">
      <text>
        <r>
          <rPr>
            <b/>
            <sz val="9"/>
            <color indexed="81"/>
            <rFont val="Tahoma"/>
            <family val="2"/>
          </rPr>
          <t xml:space="preserve">x1.5:
中文、英文 </t>
        </r>
      </text>
    </comment>
    <comment ref="E81" authorId="1" shapeId="0" xr:uid="{00000000-0006-0000-0200-000035000000}">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F81" authorId="1" shapeId="0" xr:uid="{00000000-0006-0000-0200-000036000000}">
      <text>
        <r>
          <rPr>
            <sz val="9"/>
            <color indexed="81"/>
            <rFont val="Tahoma"/>
            <family val="2"/>
          </rPr>
          <t xml:space="preserve">Good results in </t>
        </r>
        <r>
          <rPr>
            <b/>
            <sz val="9"/>
            <color indexed="81"/>
            <rFont val="Tahoma"/>
            <family val="2"/>
          </rPr>
          <t xml:space="preserve">Chinese Language and English Language </t>
        </r>
        <r>
          <rPr>
            <sz val="9"/>
            <color indexed="81"/>
            <rFont val="Tahoma"/>
            <family val="2"/>
          </rPr>
          <t xml:space="preserve">subjects are preferred.
</t>
        </r>
        <r>
          <rPr>
            <b/>
            <sz val="9"/>
            <color indexed="81"/>
            <rFont val="Tahoma"/>
            <family val="2"/>
          </rPr>
          <t>High choice banding</t>
        </r>
        <r>
          <rPr>
            <sz val="9"/>
            <color indexed="81"/>
            <rFont val="Tahoma"/>
            <family val="2"/>
          </rPr>
          <t xml:space="preserve"> in JUPAS application is preferred
</t>
        </r>
      </text>
    </comment>
    <comment ref="C82" authorId="1" shapeId="0" xr:uid="{00000000-0006-0000-0200-000037000000}">
      <text>
        <r>
          <rPr>
            <b/>
            <sz val="9"/>
            <color indexed="81"/>
            <rFont val="Tahoma"/>
            <family val="2"/>
          </rPr>
          <t>2021</t>
        </r>
        <r>
          <rPr>
            <b/>
            <sz val="9"/>
            <color indexed="81"/>
            <rFont val="細明體"/>
            <family val="3"/>
            <charset val="136"/>
          </rPr>
          <t>年英文有</t>
        </r>
        <r>
          <rPr>
            <b/>
            <sz val="9"/>
            <color indexed="81"/>
            <rFont val="Tahoma"/>
            <family val="2"/>
          </rPr>
          <t>x2</t>
        </r>
        <r>
          <rPr>
            <b/>
            <sz val="9"/>
            <color indexed="81"/>
            <rFont val="細明體"/>
            <family val="3"/>
            <charset val="136"/>
          </rPr>
          <t>比重
此處仍以</t>
        </r>
        <r>
          <rPr>
            <b/>
            <sz val="9"/>
            <color indexed="81"/>
            <rFont val="Tahoma"/>
            <family val="2"/>
          </rPr>
          <t>2020</t>
        </r>
        <r>
          <rPr>
            <b/>
            <sz val="9"/>
            <color indexed="81"/>
            <rFont val="細明體"/>
            <family val="3"/>
            <charset val="136"/>
          </rPr>
          <t>年比重計算，請注意</t>
        </r>
        <r>
          <rPr>
            <b/>
            <sz val="9"/>
            <color indexed="81"/>
            <rFont val="細明體"/>
            <family val="3"/>
            <charset val="136"/>
          </rPr>
          <t xml:space="preserve">
</t>
        </r>
        <r>
          <rPr>
            <sz val="9"/>
            <color indexed="81"/>
            <rFont val="Tahoma"/>
            <family val="2"/>
          </rPr>
          <t xml:space="preserve">x1.2: </t>
        </r>
        <r>
          <rPr>
            <sz val="9"/>
            <color indexed="81"/>
            <rFont val="細明體"/>
            <family val="3"/>
            <charset val="136"/>
          </rPr>
          <t>中國歷史、經濟、倫理及宗教科、地理、歷史、旅遊及款待</t>
        </r>
      </text>
    </comment>
    <comment ref="C83" authorId="1" shapeId="0" xr:uid="{00000000-0006-0000-0200-000038000000}">
      <text>
        <r>
          <rPr>
            <b/>
            <sz val="9"/>
            <color indexed="81"/>
            <rFont val="Tahoma"/>
            <family val="2"/>
          </rPr>
          <t>Best 5 (</t>
        </r>
        <r>
          <rPr>
            <b/>
            <sz val="9"/>
            <color indexed="81"/>
            <rFont val="細明體"/>
            <family val="3"/>
            <charset val="136"/>
          </rPr>
          <t>包括英文</t>
        </r>
        <r>
          <rPr>
            <b/>
            <sz val="9"/>
            <color indexed="81"/>
            <rFont val="Tahoma"/>
            <family val="2"/>
          </rPr>
          <t>)</t>
        </r>
        <r>
          <rPr>
            <sz val="9"/>
            <color indexed="81"/>
            <rFont val="Tahoma"/>
            <family val="2"/>
          </rPr>
          <t xml:space="preserve">
</t>
        </r>
      </text>
    </comment>
    <comment ref="E87" authorId="0" shapeId="0" xr:uid="{00000000-0006-0000-0200-000039000000}">
      <text>
        <r>
          <rPr>
            <b/>
            <sz val="9"/>
            <color indexed="81"/>
            <rFont val="細明體"/>
            <family val="3"/>
            <charset val="136"/>
          </rPr>
          <t>入學要求</t>
        </r>
      </text>
    </comment>
    <comment ref="L87" authorId="0" shapeId="0" xr:uid="{00000000-0006-0000-0200-00003A000000}">
      <text>
        <r>
          <rPr>
            <b/>
            <sz val="9"/>
            <color indexed="81"/>
            <rFont val="細明體"/>
            <family val="3"/>
            <charset val="136"/>
          </rPr>
          <t>入學要求</t>
        </r>
      </text>
    </comment>
    <comment ref="E146" authorId="0" shapeId="0" xr:uid="{00000000-0006-0000-0200-00003B000000}">
      <text>
        <r>
          <rPr>
            <b/>
            <sz val="9"/>
            <color indexed="81"/>
            <rFont val="細明體"/>
            <family val="3"/>
            <charset val="136"/>
          </rPr>
          <t>入學要求</t>
        </r>
      </text>
    </comment>
    <comment ref="L146" authorId="0" shapeId="0" xr:uid="{00000000-0006-0000-0200-00003C000000}">
      <text>
        <r>
          <rPr>
            <b/>
            <sz val="9"/>
            <color indexed="81"/>
            <rFont val="細明體"/>
            <family val="3"/>
            <charset val="136"/>
          </rPr>
          <t>入學要求</t>
        </r>
      </text>
    </comment>
    <comment ref="C148" authorId="1" shapeId="0" xr:uid="{00000000-0006-0000-0200-00003D000000}">
      <text>
        <r>
          <rPr>
            <sz val="9"/>
            <color indexed="81"/>
            <rFont val="細明體"/>
            <family val="3"/>
            <charset val="136"/>
          </rPr>
          <t>中文有較高比重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B151" authorId="1" shapeId="0" xr:uid="{00000000-0006-0000-0200-00003E000000}">
      <text>
        <r>
          <rPr>
            <b/>
            <sz val="9"/>
            <color indexed="81"/>
            <rFont val="Tahoma"/>
            <family val="2"/>
          </rPr>
          <t>Literature in English is preferred</t>
        </r>
      </text>
    </comment>
    <comment ref="C151" authorId="1" shapeId="0" xr:uid="{00000000-0006-0000-0200-00003F000000}">
      <text>
        <r>
          <rPr>
            <b/>
            <sz val="9"/>
            <color indexed="81"/>
            <rFont val="Tahoma"/>
            <family val="2"/>
          </rPr>
          <t>2021</t>
        </r>
        <r>
          <rPr>
            <b/>
            <sz val="9"/>
            <color indexed="81"/>
            <rFont val="細明體"/>
            <family val="3"/>
            <charset val="136"/>
          </rPr>
          <t>年會以</t>
        </r>
        <r>
          <rPr>
            <b/>
            <sz val="9"/>
            <color indexed="81"/>
            <rFont val="Tahoma"/>
            <family val="2"/>
          </rPr>
          <t>Best 5</t>
        </r>
        <r>
          <rPr>
            <b/>
            <sz val="9"/>
            <color indexed="81"/>
            <rFont val="細明體"/>
            <family val="3"/>
            <charset val="136"/>
          </rPr>
          <t xml:space="preserve">收生
</t>
        </r>
        <r>
          <rPr>
            <b/>
            <sz val="9"/>
            <color indexed="81"/>
            <rFont val="Tahoma"/>
            <family val="2"/>
          </rPr>
          <t xml:space="preserve">
</t>
        </r>
        <r>
          <rPr>
            <sz val="9"/>
            <color indexed="81"/>
            <rFont val="細明體"/>
            <family val="3"/>
            <charset val="136"/>
          </rPr>
          <t>英文有較高比重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B152" authorId="1" shapeId="0" xr:uid="{00000000-0006-0000-0200-000040000000}">
      <text>
        <r>
          <rPr>
            <b/>
            <sz val="9"/>
            <color indexed="81"/>
            <rFont val="Tahoma"/>
            <family val="2"/>
          </rPr>
          <t>Visual Arts is preferred</t>
        </r>
        <r>
          <rPr>
            <sz val="9"/>
            <color indexed="81"/>
            <rFont val="Tahoma"/>
            <family val="2"/>
          </rPr>
          <t xml:space="preserve">
</t>
        </r>
      </text>
    </comment>
    <comment ref="B156" authorId="1" shapeId="0" xr:uid="{00000000-0006-0000-0200-000041000000}">
      <text>
        <r>
          <rPr>
            <b/>
            <sz val="9"/>
            <color indexed="81"/>
            <rFont val="Tahoma"/>
            <family val="2"/>
          </rPr>
          <t>Music is preferred</t>
        </r>
        <r>
          <rPr>
            <sz val="9"/>
            <color indexed="81"/>
            <rFont val="Tahoma"/>
            <family val="2"/>
          </rPr>
          <t xml:space="preserve">
</t>
        </r>
      </text>
    </comment>
    <comment ref="C157" authorId="1" shapeId="0" xr:uid="{00000000-0006-0000-0200-000042000000}">
      <text>
        <r>
          <rPr>
            <b/>
            <sz val="9"/>
            <color indexed="81"/>
            <rFont val="細明體"/>
            <family val="3"/>
            <charset val="136"/>
          </rPr>
          <t>包含中文、英文</t>
        </r>
      </text>
    </comment>
    <comment ref="B161" authorId="1" shapeId="0" xr:uid="{00000000-0006-0000-0200-000043000000}">
      <text>
        <r>
          <rPr>
            <b/>
            <sz val="9"/>
            <color indexed="81"/>
            <rFont val="Tahoma"/>
            <family val="2"/>
          </rPr>
          <t>English Language at Level 4 or above is preferred</t>
        </r>
        <r>
          <rPr>
            <sz val="9"/>
            <color indexed="81"/>
            <rFont val="Tahoma"/>
            <family val="2"/>
          </rPr>
          <t xml:space="preserve">
</t>
        </r>
      </text>
    </comment>
    <comment ref="F161" authorId="0" shapeId="0" xr:uid="{00000000-0006-0000-0200-000044000000}">
      <text>
        <r>
          <rPr>
            <b/>
            <sz val="9"/>
            <color indexed="81"/>
            <rFont val="Tahoma"/>
            <family val="2"/>
          </rPr>
          <t>English Language at Level 4 or above is preferred</t>
        </r>
        <r>
          <rPr>
            <sz val="8"/>
            <color indexed="81"/>
            <rFont val="Tahoma"/>
            <family val="2"/>
          </rPr>
          <t xml:space="preserve">
</t>
        </r>
      </text>
    </comment>
    <comment ref="C164" authorId="1" shapeId="0" xr:uid="{00000000-0006-0000-0200-000045000000}">
      <text>
        <r>
          <rPr>
            <b/>
            <sz val="9"/>
            <color indexed="81"/>
            <rFont val="Tahoma"/>
            <family val="2"/>
          </rPr>
          <t>2021</t>
        </r>
        <r>
          <rPr>
            <b/>
            <sz val="9"/>
            <color indexed="81"/>
            <rFont val="細明體"/>
            <family val="3"/>
            <charset val="136"/>
          </rPr>
          <t xml:space="preserve">年將不會計算比重
</t>
        </r>
        <r>
          <rPr>
            <b/>
            <sz val="9"/>
            <color indexed="81"/>
            <rFont val="Tahoma"/>
            <family val="2"/>
          </rPr>
          <t xml:space="preserve">
</t>
        </r>
        <r>
          <rPr>
            <b/>
            <sz val="9"/>
            <color indexed="81"/>
            <rFont val="細明體"/>
            <family val="3"/>
            <charset val="136"/>
          </rPr>
          <t xml:space="preserve">此處將以原有比重作估算，請注意
</t>
        </r>
        <r>
          <rPr>
            <sz val="9"/>
            <color indexed="81"/>
            <rFont val="細明體"/>
            <family val="3"/>
            <charset val="136"/>
          </rPr>
          <t xml:space="preserve">
</t>
        </r>
        <r>
          <rPr>
            <sz val="9"/>
            <color indexed="81"/>
            <rFont val="Tahoma"/>
            <family val="2"/>
          </rPr>
          <t xml:space="preserve">x2: </t>
        </r>
        <r>
          <rPr>
            <sz val="9"/>
            <color indexed="81"/>
            <rFont val="細明體"/>
            <family val="3"/>
            <charset val="136"/>
          </rPr>
          <t>旅遊及款待</t>
        </r>
      </text>
    </comment>
    <comment ref="B165" authorId="1" shapeId="0" xr:uid="{00000000-0006-0000-0200-000046000000}">
      <text>
        <r>
          <rPr>
            <b/>
            <sz val="9"/>
            <color indexed="81"/>
            <rFont val="Tahoma"/>
            <family val="2"/>
          </rPr>
          <t>Mathematics (Module 1 or 2) at Level 5 is required if Mathematics (Compulsory Part) is at Level 3 or 4</t>
        </r>
        <r>
          <rPr>
            <sz val="9"/>
            <color indexed="81"/>
            <rFont val="Tahoma"/>
            <family val="2"/>
          </rPr>
          <t xml:space="preserve">
</t>
        </r>
      </text>
    </comment>
    <comment ref="C165" authorId="1" shapeId="0" xr:uid="{00000000-0006-0000-0200-000047000000}">
      <text>
        <r>
          <rPr>
            <b/>
            <sz val="9"/>
            <color indexed="81"/>
            <rFont val="細明體"/>
            <family val="3"/>
            <charset val="136"/>
          </rPr>
          <t>包含英文及</t>
        </r>
        <r>
          <rPr>
            <b/>
            <sz val="9"/>
            <color indexed="81"/>
            <rFont val="Tahoma"/>
            <family val="2"/>
          </rPr>
          <t xml:space="preserve"> </t>
        </r>
        <r>
          <rPr>
            <b/>
            <sz val="9"/>
            <color indexed="81"/>
            <rFont val="細明體"/>
            <family val="3"/>
            <charset val="136"/>
          </rPr>
          <t>數學和</t>
        </r>
        <r>
          <rPr>
            <b/>
            <sz val="9"/>
            <color indexed="81"/>
            <rFont val="Tahoma"/>
            <family val="2"/>
          </rPr>
          <t>M1/2</t>
        </r>
        <r>
          <rPr>
            <b/>
            <sz val="9"/>
            <color indexed="81"/>
            <rFont val="細明體"/>
            <family val="3"/>
            <charset val="136"/>
          </rPr>
          <t>其中最佳一科</t>
        </r>
      </text>
    </comment>
    <comment ref="G165" authorId="0" shapeId="0" xr:uid="{00000000-0006-0000-0200-000048000000}">
      <text>
        <r>
          <rPr>
            <b/>
            <sz val="9"/>
            <color indexed="81"/>
            <rFont val="Tahoma"/>
            <family val="2"/>
          </rPr>
          <t>(a) Mathematics (Module 1 or 2)
at Level 5 is required if
Mathematics (Compulsory
Part) is at Level 3 or 4</t>
        </r>
        <r>
          <rPr>
            <sz val="9"/>
            <color indexed="81"/>
            <rFont val="Tahoma"/>
            <family val="2"/>
          </rPr>
          <t xml:space="preserve">
</t>
        </r>
      </text>
    </comment>
    <comment ref="I165" authorId="0" shapeId="0" xr:uid="{00000000-0006-0000-0200-000049000000}">
      <text>
        <r>
          <rPr>
            <b/>
            <sz val="9"/>
            <color indexed="81"/>
            <rFont val="Tahoma"/>
            <family val="2"/>
          </rPr>
          <t>(a) Mathematics (Module 1 or 2)
at Level 5 is required if
Mathematics (Compulsory
Part) is at Level 3 or 4</t>
        </r>
        <r>
          <rPr>
            <sz val="9"/>
            <color indexed="81"/>
            <rFont val="Tahoma"/>
            <family val="2"/>
          </rPr>
          <t xml:space="preserve">
</t>
        </r>
      </text>
    </comment>
    <comment ref="J165" authorId="0" shapeId="0" xr:uid="{00000000-0006-0000-0200-00004A000000}">
      <text>
        <r>
          <rPr>
            <b/>
            <sz val="9"/>
            <color indexed="81"/>
            <rFont val="Tahoma"/>
            <family val="2"/>
          </rPr>
          <t>(a) Mathematics (Module 1 or 2)
at Level 5 is required if
Mathematics (Compulsory
Part) is at Level 3 or 4</t>
        </r>
        <r>
          <rPr>
            <sz val="9"/>
            <color indexed="81"/>
            <rFont val="Tahoma"/>
            <family val="2"/>
          </rPr>
          <t xml:space="preserve">
</t>
        </r>
      </text>
    </comment>
    <comment ref="C167" authorId="1" shapeId="0" xr:uid="{00000000-0006-0000-0200-00004B000000}">
      <text>
        <r>
          <rPr>
            <sz val="9"/>
            <color indexed="81"/>
            <rFont val="Tahoma"/>
            <family val="2"/>
          </rPr>
          <t xml:space="preserve">x2: </t>
        </r>
        <r>
          <rPr>
            <sz val="9"/>
            <color indexed="81"/>
            <rFont val="細明體"/>
            <family val="3"/>
            <charset val="136"/>
          </rPr>
          <t xml:space="preserve">英文、數學
</t>
        </r>
        <r>
          <rPr>
            <sz val="9"/>
            <color indexed="81"/>
            <rFont val="Tahoma"/>
            <family val="2"/>
          </rPr>
          <t>x1.5: M1/2</t>
        </r>
        <r>
          <rPr>
            <sz val="9"/>
            <color indexed="81"/>
            <rFont val="細明體"/>
            <family val="3"/>
            <charset val="136"/>
          </rPr>
          <t>、化學或物理</t>
        </r>
        <r>
          <rPr>
            <sz val="9"/>
            <color indexed="81"/>
            <rFont val="Tahoma"/>
            <family val="2"/>
          </rPr>
          <t xml:space="preserve"> </t>
        </r>
        <r>
          <rPr>
            <sz val="9"/>
            <color indexed="81"/>
            <rFont val="細明體"/>
            <family val="3"/>
            <charset val="136"/>
          </rPr>
          <t>其中最佳一科</t>
        </r>
        <r>
          <rPr>
            <sz val="9"/>
            <color indexed="81"/>
            <rFont val="Tahoma"/>
            <family val="2"/>
          </rPr>
          <t xml:space="preserve">
</t>
        </r>
      </text>
    </comment>
    <comment ref="C168" authorId="3" shapeId="0" xr:uid="{00000000-0006-0000-0200-00004C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r>
          <rPr>
            <b/>
            <sz val="9"/>
            <color indexed="81"/>
            <rFont val="Tahoma"/>
            <family val="2"/>
          </rPr>
          <t xml:space="preserve">
</t>
        </r>
      </text>
    </comment>
    <comment ref="C169" authorId="1" shapeId="0" xr:uid="{00000000-0006-0000-0200-00004D000000}">
      <text>
        <r>
          <rPr>
            <sz val="9"/>
            <color indexed="81"/>
            <rFont val="Tahoma"/>
            <family val="2"/>
          </rPr>
          <t xml:space="preserve">x2: </t>
        </r>
        <r>
          <rPr>
            <sz val="9"/>
            <color indexed="81"/>
            <rFont val="細明體"/>
            <family val="3"/>
            <charset val="136"/>
          </rPr>
          <t>英文、通識</t>
        </r>
        <r>
          <rPr>
            <sz val="9"/>
            <color indexed="81"/>
            <rFont val="Tahoma"/>
            <family val="2"/>
          </rPr>
          <t xml:space="preserve">
x 1.5: </t>
        </r>
        <r>
          <rPr>
            <sz val="9"/>
            <color indexed="81"/>
            <rFont val="細明體"/>
            <family val="3"/>
            <charset val="136"/>
          </rPr>
          <t>中文</t>
        </r>
        <r>
          <rPr>
            <sz val="9"/>
            <color indexed="81"/>
            <rFont val="Tahoma"/>
            <family val="2"/>
          </rPr>
          <t xml:space="preserve">
</t>
        </r>
      </text>
    </comment>
    <comment ref="C170" authorId="1" shapeId="0" xr:uid="{00000000-0006-0000-0200-00004E000000}">
      <text>
        <r>
          <rPr>
            <b/>
            <sz val="9"/>
            <color indexed="81"/>
            <rFont val="Tahoma"/>
            <family val="2"/>
          </rPr>
          <t>2021</t>
        </r>
        <r>
          <rPr>
            <b/>
            <sz val="9"/>
            <color indexed="81"/>
            <rFont val="細明體"/>
            <family val="3"/>
            <charset val="136"/>
          </rPr>
          <t xml:space="preserve">年將以新比重收生
</t>
        </r>
        <r>
          <rPr>
            <sz val="9"/>
            <color indexed="81"/>
            <rFont val="Tahoma"/>
            <family val="2"/>
          </rPr>
          <t>(x2:</t>
        </r>
        <r>
          <rPr>
            <sz val="9"/>
            <color indexed="81"/>
            <rFont val="細明體"/>
            <family val="3"/>
            <charset val="136"/>
          </rPr>
          <t xml:space="preserve">英文、數學
</t>
        </r>
        <r>
          <rPr>
            <sz val="9"/>
            <color indexed="81"/>
            <rFont val="Tahoma"/>
            <family val="2"/>
          </rPr>
          <t>x1.5: M1/2</t>
        </r>
        <r>
          <rPr>
            <sz val="9"/>
            <color indexed="81"/>
            <rFont val="細明體"/>
            <family val="3"/>
            <charset val="136"/>
          </rPr>
          <t>、化學、物理及經濟其中最佳一科</t>
        </r>
        <r>
          <rPr>
            <sz val="9"/>
            <color indexed="81"/>
            <rFont val="Tahoma"/>
            <family val="2"/>
          </rPr>
          <t xml:space="preserve"> )</t>
        </r>
        <r>
          <rPr>
            <b/>
            <sz val="9"/>
            <color indexed="81"/>
            <rFont val="Tahoma"/>
            <family val="2"/>
          </rPr>
          <t xml:space="preserve">
</t>
        </r>
        <r>
          <rPr>
            <b/>
            <sz val="9"/>
            <color indexed="81"/>
            <rFont val="細明體"/>
            <family val="3"/>
            <charset val="136"/>
          </rPr>
          <t xml:space="preserve">
此處將以原有比重作估算，請注意
</t>
        </r>
        <r>
          <rPr>
            <sz val="9"/>
            <color indexed="81"/>
            <rFont val="細明體"/>
            <family val="3"/>
            <charset val="136"/>
          </rPr>
          <t xml:space="preserve">
</t>
        </r>
        <r>
          <rPr>
            <sz val="9"/>
            <color indexed="81"/>
            <rFont val="Tahoma"/>
            <family val="2"/>
          </rPr>
          <t xml:space="preserve">x2: </t>
        </r>
        <r>
          <rPr>
            <sz val="9"/>
            <color indexed="81"/>
            <rFont val="細明體"/>
            <family val="3"/>
            <charset val="136"/>
          </rPr>
          <t>英文、數學、</t>
        </r>
        <r>
          <rPr>
            <sz val="9"/>
            <color indexed="81"/>
            <rFont val="Tahoma"/>
            <family val="2"/>
          </rPr>
          <t>M1/2</t>
        </r>
      </text>
    </comment>
    <comment ref="C172" authorId="1" shapeId="0" xr:uid="{00000000-0006-0000-0200-00004F000000}">
      <text>
        <r>
          <rPr>
            <b/>
            <sz val="9"/>
            <color indexed="81"/>
            <rFont val="細明體"/>
            <family val="3"/>
            <charset val="136"/>
          </rPr>
          <t xml:space="preserve">包含中文
</t>
        </r>
        <r>
          <rPr>
            <b/>
            <sz val="9"/>
            <color indexed="81"/>
            <rFont val="Tahoma"/>
            <family val="2"/>
          </rPr>
          <t xml:space="preserve">
</t>
        </r>
        <r>
          <rPr>
            <sz val="9"/>
            <color indexed="81"/>
            <rFont val="細明體"/>
            <family val="3"/>
            <charset val="136"/>
          </rPr>
          <t>中文有較高比重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C173" authorId="1" shapeId="0" xr:uid="{00000000-0006-0000-0200-000050000000}">
      <text>
        <r>
          <rPr>
            <b/>
            <sz val="9"/>
            <color indexed="81"/>
            <rFont val="細明體"/>
            <family val="3"/>
            <charset val="136"/>
          </rPr>
          <t xml:space="preserve">包含英文
</t>
        </r>
        <r>
          <rPr>
            <b/>
            <sz val="9"/>
            <color indexed="81"/>
            <rFont val="Tahoma"/>
            <family val="2"/>
          </rPr>
          <t xml:space="preserve">
</t>
        </r>
        <r>
          <rPr>
            <sz val="9"/>
            <color indexed="81"/>
            <rFont val="細明體"/>
            <family val="3"/>
            <charset val="136"/>
          </rPr>
          <t>英文有較高比重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C174" authorId="1" shapeId="0" xr:uid="{00000000-0006-0000-0200-000051000000}">
      <text>
        <r>
          <rPr>
            <sz val="9"/>
            <color indexed="81"/>
            <rFont val="Tahoma"/>
            <family val="2"/>
          </rPr>
          <t xml:space="preserve">x1.5: </t>
        </r>
        <r>
          <rPr>
            <sz val="9"/>
            <color indexed="81"/>
            <rFont val="細明體"/>
            <family val="3"/>
            <charset val="136"/>
          </rPr>
          <t>數學、</t>
        </r>
        <r>
          <rPr>
            <sz val="9"/>
            <color indexed="81"/>
            <rFont val="Tahoma"/>
            <family val="2"/>
          </rPr>
          <t xml:space="preserve">M1/2
x1.2: </t>
        </r>
        <r>
          <rPr>
            <sz val="9"/>
            <color indexed="81"/>
            <rFont val="細明體"/>
            <family val="3"/>
            <charset val="136"/>
          </rPr>
          <t>中文、英文</t>
        </r>
      </text>
    </comment>
    <comment ref="J174" authorId="0" shapeId="0" xr:uid="{00000000-0006-0000-0200-000052000000}">
      <text>
        <r>
          <rPr>
            <b/>
            <sz val="9"/>
            <color indexed="81"/>
            <rFont val="Tahoma"/>
            <family val="2"/>
          </rPr>
          <t>M1/2 is required</t>
        </r>
      </text>
    </comment>
    <comment ref="B176" authorId="1" shapeId="0" xr:uid="{00000000-0006-0000-0200-000053000000}">
      <text>
        <r>
          <rPr>
            <b/>
            <sz val="9"/>
            <color indexed="81"/>
            <rFont val="Tahoma"/>
            <family val="2"/>
          </rPr>
          <t>(a) The following subjects are preferred:
• M1/M2
• Biology
• Chemistry
• Combined Science
• DAT
• ICT
• Physics</t>
        </r>
        <r>
          <rPr>
            <sz val="9"/>
            <color indexed="81"/>
            <rFont val="Tahoma"/>
            <family val="2"/>
          </rPr>
          <t xml:space="preserve">
</t>
        </r>
      </text>
    </comment>
    <comment ref="C176" authorId="1" shapeId="0" xr:uid="{00000000-0006-0000-0200-000054000000}">
      <text>
        <r>
          <rPr>
            <sz val="9"/>
            <color indexed="81"/>
            <rFont val="Tahoma"/>
            <family val="2"/>
          </rPr>
          <t xml:space="preserve">x1.75: M1/2
x1.5: </t>
        </r>
        <r>
          <rPr>
            <sz val="9"/>
            <color indexed="81"/>
            <rFont val="細明體"/>
            <family val="3"/>
            <charset val="136"/>
          </rPr>
          <t>數學、物理、生物、化學、組合科學、</t>
        </r>
        <r>
          <rPr>
            <sz val="9"/>
            <color indexed="81"/>
            <rFont val="Tahoma"/>
            <family val="2"/>
          </rPr>
          <t>ICT</t>
        </r>
        <r>
          <rPr>
            <sz val="9"/>
            <color indexed="81"/>
            <rFont val="細明體"/>
            <family val="3"/>
            <charset val="136"/>
          </rPr>
          <t>、</t>
        </r>
        <r>
          <rPr>
            <sz val="9"/>
            <color indexed="81"/>
            <rFont val="Tahoma"/>
            <family val="2"/>
          </rPr>
          <t xml:space="preserve">DAT
x0.5: </t>
        </r>
        <r>
          <rPr>
            <sz val="9"/>
            <color indexed="81"/>
            <rFont val="細明體"/>
            <family val="3"/>
            <charset val="136"/>
          </rPr>
          <t>通識</t>
        </r>
        <r>
          <rPr>
            <sz val="9"/>
            <color indexed="81"/>
            <rFont val="Tahoma"/>
            <family val="2"/>
          </rPr>
          <t xml:space="preserve">
</t>
        </r>
      </text>
    </comment>
    <comment ref="I176" authorId="0" shapeId="0" xr:uid="{00000000-0006-0000-0200-000055000000}">
      <text>
        <r>
          <rPr>
            <b/>
            <sz val="9"/>
            <color indexed="81"/>
            <rFont val="Tahoma"/>
            <family val="2"/>
          </rPr>
          <t>One of the following:
• M1/M2
• Biology
• Chemistry
• Combined Science
• Physics</t>
        </r>
      </text>
    </comment>
    <comment ref="B177" authorId="1" shapeId="0" xr:uid="{00000000-0006-0000-0200-000056000000}">
      <text>
        <r>
          <rPr>
            <b/>
            <sz val="9"/>
            <color indexed="81"/>
            <rFont val="Tahoma"/>
            <family val="2"/>
          </rPr>
          <t>The following subjects are preferred:
• M1/M2
• Biology
• BAFS
• Chemistry
• Combined Science
• Economics
• ICT
• Physics</t>
        </r>
        <r>
          <rPr>
            <sz val="9"/>
            <color indexed="81"/>
            <rFont val="Tahoma"/>
            <family val="2"/>
          </rPr>
          <t xml:space="preserve">
</t>
        </r>
      </text>
    </comment>
    <comment ref="C177" authorId="1" shapeId="0" xr:uid="{00000000-0006-0000-0200-000057000000}">
      <text>
        <r>
          <rPr>
            <sz val="9"/>
            <color indexed="81"/>
            <rFont val="Tahoma"/>
            <family val="2"/>
          </rPr>
          <t xml:space="preserve">x1.75: </t>
        </r>
        <r>
          <rPr>
            <sz val="9"/>
            <color indexed="81"/>
            <rFont val="細明體"/>
            <family val="3"/>
            <charset val="136"/>
          </rPr>
          <t>數學、</t>
        </r>
        <r>
          <rPr>
            <sz val="9"/>
            <color indexed="81"/>
            <rFont val="Tahoma"/>
            <family val="2"/>
          </rPr>
          <t xml:space="preserve">M1/2
x1.5: </t>
        </r>
        <r>
          <rPr>
            <sz val="9"/>
            <color indexed="81"/>
            <rFont val="細明體"/>
            <family val="3"/>
            <charset val="136"/>
          </rPr>
          <t>物理、生物、化學、組合科學、經濟、</t>
        </r>
        <r>
          <rPr>
            <sz val="9"/>
            <color indexed="81"/>
            <rFont val="Tahoma"/>
            <family val="2"/>
          </rPr>
          <t>BAFS</t>
        </r>
        <r>
          <rPr>
            <sz val="9"/>
            <color indexed="81"/>
            <rFont val="細明體"/>
            <family val="3"/>
            <charset val="136"/>
          </rPr>
          <t>、</t>
        </r>
        <r>
          <rPr>
            <sz val="9"/>
            <color indexed="81"/>
            <rFont val="Tahoma"/>
            <family val="2"/>
          </rPr>
          <t xml:space="preserve">ICT
x1.25: </t>
        </r>
        <r>
          <rPr>
            <sz val="9"/>
            <color indexed="81"/>
            <rFont val="細明體"/>
            <family val="3"/>
            <charset val="136"/>
          </rPr>
          <t>中文、英文</t>
        </r>
        <r>
          <rPr>
            <b/>
            <sz val="9"/>
            <color indexed="81"/>
            <rFont val="Tahoma"/>
            <family val="2"/>
          </rPr>
          <t xml:space="preserve">
</t>
        </r>
      </text>
    </comment>
    <comment ref="C178" authorId="1" shapeId="0" xr:uid="{00000000-0006-0000-0200-000058000000}">
      <text>
        <r>
          <rPr>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、物理</t>
        </r>
        <r>
          <rPr>
            <sz val="9"/>
            <color indexed="81"/>
            <rFont val="Tahoma"/>
            <family val="2"/>
          </rPr>
          <t xml:space="preserve">
</t>
        </r>
      </text>
    </comment>
    <comment ref="I178" authorId="0" shapeId="0" xr:uid="{00000000-0006-0000-0200-000059000000}">
      <text>
        <r>
          <rPr>
            <b/>
            <sz val="9"/>
            <color indexed="81"/>
            <rFont val="Tahoma"/>
            <family val="2"/>
          </rPr>
          <t>One of the following:
• M1/M2
• Biology
• Chemistry
• Combined Science
• ICT
• Physics</t>
        </r>
      </text>
    </comment>
    <comment ref="C179" authorId="1" shapeId="0" xr:uid="{00000000-0006-0000-0200-00005A000000}">
      <text>
        <r>
          <rPr>
            <sz val="9"/>
            <color indexed="81"/>
            <rFont val="Tahoma"/>
            <family val="2"/>
          </rPr>
          <t xml:space="preserve">x1.5: </t>
        </r>
        <r>
          <rPr>
            <sz val="9"/>
            <color indexed="81"/>
            <rFont val="細明體"/>
            <family val="3"/>
            <charset val="136"/>
          </rPr>
          <t>英文、物理、生物、化學、組合科學
、數學及</t>
        </r>
        <r>
          <rPr>
            <sz val="9"/>
            <color indexed="81"/>
            <rFont val="Tahoma"/>
            <family val="2"/>
          </rPr>
          <t>M1/2</t>
        </r>
        <r>
          <rPr>
            <sz val="9"/>
            <color indexed="81"/>
            <rFont val="細明體"/>
            <family val="3"/>
            <charset val="136"/>
          </rPr>
          <t>其中最佳一科</t>
        </r>
        <r>
          <rPr>
            <b/>
            <sz val="9"/>
            <color indexed="81"/>
            <rFont val="Tahoma"/>
            <family val="2"/>
          </rPr>
          <t xml:space="preserve">
</t>
        </r>
        <r>
          <rPr>
            <sz val="9"/>
            <color indexed="81"/>
            <rFont val="Tahoma"/>
            <family val="2"/>
          </rPr>
          <t xml:space="preserve">
</t>
        </r>
      </text>
    </comment>
    <comment ref="I179" authorId="0" shapeId="0" xr:uid="{00000000-0006-0000-0200-00005B000000}">
      <text>
        <r>
          <rPr>
            <b/>
            <sz val="9"/>
            <color indexed="81"/>
            <rFont val="Tahoma"/>
            <family val="2"/>
          </rPr>
          <t>One of the following:
• M1/M2
• Biology
• Chemistry
• Combined Science
• Physics</t>
        </r>
      </text>
    </comment>
    <comment ref="C180" authorId="1" shapeId="0" xr:uid="{00000000-0006-0000-0200-00005C000000}">
      <text>
        <r>
          <rPr>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、物理、生物、化學、組合科學、</t>
        </r>
        <r>
          <rPr>
            <sz val="9"/>
            <color indexed="81"/>
            <rFont val="Tahoma"/>
            <family val="2"/>
          </rPr>
          <t>DAT</t>
        </r>
        <r>
          <rPr>
            <sz val="9"/>
            <color indexed="81"/>
            <rFont val="細明體"/>
            <family val="3"/>
            <charset val="136"/>
          </rPr>
          <t>、</t>
        </r>
        <r>
          <rPr>
            <sz val="9"/>
            <color indexed="81"/>
            <rFont val="Tahoma"/>
            <family val="2"/>
          </rPr>
          <t xml:space="preserve">ICT
x1.2: </t>
        </r>
        <r>
          <rPr>
            <sz val="9"/>
            <color indexed="81"/>
            <rFont val="細明體"/>
            <family val="3"/>
            <charset val="136"/>
          </rPr>
          <t xml:space="preserve">經濟、地理
</t>
        </r>
        <r>
          <rPr>
            <sz val="9"/>
            <color indexed="81"/>
            <rFont val="Tahoma"/>
            <family val="2"/>
          </rPr>
          <t xml:space="preserve">x0.5: </t>
        </r>
        <r>
          <rPr>
            <sz val="9"/>
            <color indexed="81"/>
            <rFont val="細明體"/>
            <family val="3"/>
            <charset val="136"/>
          </rPr>
          <t>通識</t>
        </r>
        <r>
          <rPr>
            <sz val="9"/>
            <color indexed="81"/>
            <rFont val="Tahoma"/>
            <family val="2"/>
          </rPr>
          <t xml:space="preserve">
</t>
        </r>
      </text>
    </comment>
    <comment ref="I180" authorId="0" shapeId="0" xr:uid="{00000000-0006-0000-0200-00005D000000}">
      <text>
        <r>
          <rPr>
            <b/>
            <sz val="9"/>
            <color indexed="81"/>
            <rFont val="Tahoma"/>
            <family val="2"/>
          </rPr>
          <t>One of the following:
• M1/M2
• Biology
• Chemistry
• Combined Science
• DAT
• ICT
• Physics</t>
        </r>
        <r>
          <rPr>
            <sz val="9"/>
            <color indexed="81"/>
            <rFont val="Tahoma"/>
            <family val="2"/>
          </rPr>
          <t xml:space="preserve">
</t>
        </r>
      </text>
    </comment>
    <comment ref="B181" authorId="1" shapeId="0" xr:uid="{00000000-0006-0000-0200-00005E000000}">
      <text>
        <r>
          <rPr>
            <b/>
            <sz val="9"/>
            <color indexed="81"/>
            <rFont val="Tahoma"/>
            <family val="2"/>
          </rPr>
          <t>The following subjects are preferred:
• M1/M2
• Biology
• Chemistry
• Combined Science
• ICT
• Physics
^ Candidates with Level 4 in Mathematics (Compulsory Part) and good results in other HKDSE subjects will be exceptionally considered on a case by case basis.</t>
        </r>
        <r>
          <rPr>
            <sz val="9"/>
            <color indexed="81"/>
            <rFont val="Tahoma"/>
            <family val="2"/>
          </rPr>
          <t xml:space="preserve">
</t>
        </r>
      </text>
    </comment>
    <comment ref="C181" authorId="1" shapeId="0" xr:uid="{00000000-0006-0000-0200-00005F000000}">
      <text>
        <r>
          <rPr>
            <sz val="9"/>
            <color indexed="81"/>
            <rFont val="Tahoma"/>
            <family val="2"/>
          </rPr>
          <t xml:space="preserve">x1.75: </t>
        </r>
        <r>
          <rPr>
            <sz val="9"/>
            <color indexed="81"/>
            <rFont val="細明體"/>
            <family val="3"/>
            <charset val="136"/>
          </rPr>
          <t>數學、</t>
        </r>
        <r>
          <rPr>
            <sz val="9"/>
            <color indexed="81"/>
            <rFont val="Tahoma"/>
            <family val="2"/>
          </rPr>
          <t xml:space="preserve">M1/2
x1.5: </t>
        </r>
        <r>
          <rPr>
            <sz val="9"/>
            <color indexed="81"/>
            <rFont val="細明體"/>
            <family val="3"/>
            <charset val="136"/>
          </rPr>
          <t>物理、生物、化學、組合科學、</t>
        </r>
        <r>
          <rPr>
            <sz val="9"/>
            <color indexed="81"/>
            <rFont val="Tahoma"/>
            <family val="2"/>
          </rPr>
          <t xml:space="preserve">ICT
x1.25: </t>
        </r>
        <r>
          <rPr>
            <sz val="9"/>
            <color indexed="81"/>
            <rFont val="細明體"/>
            <family val="3"/>
            <charset val="136"/>
          </rPr>
          <t>中文、英文</t>
        </r>
        <r>
          <rPr>
            <b/>
            <sz val="9"/>
            <color indexed="81"/>
            <rFont val="Tahoma"/>
            <family val="2"/>
          </rPr>
          <t xml:space="preserve">
</t>
        </r>
      </text>
    </comment>
    <comment ref="G181" authorId="0" shapeId="0" xr:uid="{00000000-0006-0000-0200-000060000000}">
      <text>
        <r>
          <rPr>
            <b/>
            <sz val="9"/>
            <color indexed="81"/>
            <rFont val="Tahoma"/>
            <family val="2"/>
          </rPr>
          <t>^ Candidates with Level 4 in
Mathematics (Compulsory Part) and
good results in other HKDSE subjects
will be exceptionally considered on a
case by case basis.</t>
        </r>
      </text>
    </comment>
    <comment ref="B182" authorId="1" shapeId="0" xr:uid="{00000000-0006-0000-0200-000061000000}">
      <text>
        <r>
          <rPr>
            <b/>
            <sz val="9"/>
            <color indexed="81"/>
            <rFont val="Tahoma"/>
            <family val="2"/>
          </rPr>
          <t>a) Chemistry is preferred
(b) Biology is preferred
(c) Taking a third elective and/or M1/M2 will be strongly recommended</t>
        </r>
        <r>
          <rPr>
            <sz val="9"/>
            <color indexed="81"/>
            <rFont val="Tahoma"/>
            <family val="2"/>
          </rPr>
          <t xml:space="preserve">
</t>
        </r>
      </text>
    </comment>
    <comment ref="I182" authorId="0" shapeId="0" xr:uid="{00000000-0006-0000-0200-000062000000}">
      <text>
        <r>
          <rPr>
            <b/>
            <sz val="9"/>
            <color indexed="81"/>
            <rFont val="Tahoma"/>
            <family val="2"/>
          </rPr>
          <t>At Least one of the following:
Biology or Chemistry</t>
        </r>
      </text>
    </comment>
    <comment ref="B183" authorId="1" shapeId="0" xr:uid="{00000000-0006-0000-0200-000063000000}">
      <text>
        <r>
          <rPr>
            <b/>
            <sz val="9"/>
            <color indexed="81"/>
            <rFont val="Tahoma"/>
            <family val="2"/>
          </rPr>
          <t>(a) Chemistry is preferred
(b) Biology is preferred
(c) Taking a third elective and/or M1/M2 will be strongly recommended
(d) Additional requirements: Total score &gt; 46 in 7 subjects with 5** in ANY 4 subjects</t>
        </r>
        <r>
          <rPr>
            <sz val="9"/>
            <color indexed="81"/>
            <rFont val="Tahoma"/>
            <family val="2"/>
          </rPr>
          <t xml:space="preserve">
</t>
        </r>
      </text>
    </comment>
    <comment ref="I183" authorId="0" shapeId="0" xr:uid="{00000000-0006-0000-0200-000064000000}">
      <text>
        <r>
          <rPr>
            <b/>
            <sz val="9"/>
            <color indexed="81"/>
            <rFont val="Tahoma"/>
            <family val="2"/>
          </rPr>
          <t>At Least one of the following:
Biology or Chemistry</t>
        </r>
      </text>
    </comment>
    <comment ref="B184" authorId="1" shapeId="0" xr:uid="{00000000-0006-0000-0200-000065000000}">
      <text>
        <r>
          <rPr>
            <b/>
            <sz val="9"/>
            <color indexed="81"/>
            <rFont val="Tahoma"/>
            <family val="2"/>
          </rPr>
          <t>Preferred subjects for one of the two electives:
Biology
Chemistry
Combined Science
Integrated Science
Physics</t>
        </r>
        <r>
          <rPr>
            <sz val="9"/>
            <color indexed="81"/>
            <rFont val="Tahoma"/>
            <family val="2"/>
          </rPr>
          <t xml:space="preserve">
</t>
        </r>
      </text>
    </comment>
    <comment ref="C184" authorId="1" shapeId="0" xr:uid="{00000000-0006-0000-0200-000066000000}">
      <text>
        <r>
          <rPr>
            <sz val="9"/>
            <color indexed="81"/>
            <rFont val="細明體"/>
            <family val="3"/>
            <charset val="136"/>
          </rPr>
          <t>較高比重科目</t>
        </r>
        <r>
          <rPr>
            <sz val="9"/>
            <color indexed="81"/>
            <rFont val="Tahoma"/>
            <family val="2"/>
          </rPr>
          <t xml:space="preserve">:
</t>
        </r>
        <r>
          <rPr>
            <sz val="9"/>
            <color indexed="81"/>
            <rFont val="細明體"/>
            <family val="3"/>
            <charset val="136"/>
          </rPr>
          <t>物理、生物、化學、組合科學、綜合科學</t>
        </r>
        <r>
          <rPr>
            <sz val="9"/>
            <color indexed="81"/>
            <rFont val="Tahoma"/>
            <family val="2"/>
          </rPr>
          <t xml:space="preserve">
(</t>
        </r>
        <r>
          <rPr>
            <sz val="9"/>
            <color indexed="81"/>
            <rFont val="細明體"/>
            <family val="3"/>
            <charset val="136"/>
          </rPr>
          <t>此處作</t>
        </r>
        <r>
          <rPr>
            <sz val="9"/>
            <color indexed="81"/>
            <rFont val="Tahoma"/>
            <family val="2"/>
          </rPr>
          <t>x1.5)</t>
        </r>
      </text>
    </comment>
    <comment ref="B187" authorId="1" shapeId="0" xr:uid="{00000000-0006-0000-0200-000067000000}">
      <text>
        <r>
          <rPr>
            <b/>
            <sz val="9"/>
            <color indexed="81"/>
            <rFont val="Tahoma"/>
            <family val="2"/>
          </rPr>
          <t>Preferred subjects for one of the two electives:
Biology
Chemistry
Combined Science
Integrated Science
Physics</t>
        </r>
      </text>
    </comment>
    <comment ref="B188" authorId="1" shapeId="0" xr:uid="{00000000-0006-0000-0200-000068000000}">
      <text>
        <r>
          <rPr>
            <b/>
            <sz val="9"/>
            <color indexed="81"/>
            <rFont val="Tahoma"/>
            <family val="2"/>
          </rPr>
          <t>(a) Category A subjects only</t>
        </r>
      </text>
    </comment>
    <comment ref="I188" authorId="0" shapeId="0" xr:uid="{00000000-0006-0000-0200-000069000000}">
      <text>
        <r>
          <rPr>
            <b/>
            <sz val="9"/>
            <color indexed="81"/>
            <rFont val="Tahoma"/>
            <family val="2"/>
          </rPr>
          <t>At Least one of the following:
Biology or Chemistry</t>
        </r>
      </text>
    </comment>
    <comment ref="B189" authorId="1" shapeId="0" xr:uid="{00000000-0006-0000-0200-00006A000000}">
      <text>
        <r>
          <rPr>
            <b/>
            <sz val="9"/>
            <color indexed="81"/>
            <rFont val="Tahoma"/>
            <family val="2"/>
          </rPr>
          <t>(a) Category A subjects only
(b) Preferred subjects:
• M1/M2
• Biology
• Chemistry
• Combined Science
• Economics
• Geography
• ICT
• Integrated Science
• Physics
• Tech and Living (FST)</t>
        </r>
        <r>
          <rPr>
            <sz val="9"/>
            <color indexed="81"/>
            <rFont val="Tahoma"/>
            <family val="2"/>
          </rPr>
          <t xml:space="preserve">
</t>
        </r>
      </text>
    </comment>
    <comment ref="C189" authorId="1" shapeId="0" xr:uid="{00000000-0006-0000-0200-00006B000000}">
      <text>
        <r>
          <rPr>
            <sz val="9"/>
            <color indexed="81"/>
            <rFont val="Tahoma"/>
            <family val="2"/>
          </rPr>
          <t xml:space="preserve">x2: </t>
        </r>
        <r>
          <rPr>
            <sz val="9"/>
            <color indexed="81"/>
            <rFont val="細明體"/>
            <family val="3"/>
            <charset val="136"/>
          </rPr>
          <t>數學、</t>
        </r>
        <r>
          <rPr>
            <sz val="9"/>
            <color indexed="81"/>
            <rFont val="Tahoma"/>
            <family val="2"/>
          </rPr>
          <t>M1/2</t>
        </r>
        <r>
          <rPr>
            <sz val="9"/>
            <color indexed="81"/>
            <rFont val="細明體"/>
            <family val="3"/>
            <charset val="136"/>
          </rPr>
          <t xml:space="preserve">、物理、生物、化學、組合科學、綜合科學
</t>
        </r>
        <r>
          <rPr>
            <sz val="9"/>
            <color indexed="81"/>
            <rFont val="Tahoma"/>
            <family val="2"/>
          </rPr>
          <t xml:space="preserve">x1.5: </t>
        </r>
        <r>
          <rPr>
            <sz val="9"/>
            <color indexed="81"/>
            <rFont val="細明體"/>
            <family val="3"/>
            <charset val="136"/>
          </rPr>
          <t>中文或英文、經濟、地理、</t>
        </r>
        <r>
          <rPr>
            <sz val="9"/>
            <color indexed="81"/>
            <rFont val="Tahoma"/>
            <family val="2"/>
          </rPr>
          <t>ICT</t>
        </r>
        <r>
          <rPr>
            <sz val="9"/>
            <color indexed="81"/>
            <rFont val="細明體"/>
            <family val="3"/>
            <charset val="136"/>
          </rPr>
          <t>、科技與生活</t>
        </r>
        <r>
          <rPr>
            <sz val="9"/>
            <color indexed="81"/>
            <rFont val="Tahoma"/>
            <family val="2"/>
          </rPr>
          <t xml:space="preserve">
</t>
        </r>
        <r>
          <rPr>
            <b/>
            <sz val="9"/>
            <color indexed="81"/>
            <rFont val="Tahoma"/>
            <family val="2"/>
          </rPr>
          <t xml:space="preserve">
</t>
        </r>
        <r>
          <rPr>
            <b/>
            <sz val="9"/>
            <color indexed="81"/>
            <rFont val="細明體"/>
            <family val="3"/>
            <charset val="136"/>
          </rPr>
          <t>註</t>
        </r>
        <r>
          <rPr>
            <b/>
            <sz val="9"/>
            <color indexed="81"/>
            <rFont val="Tahoma"/>
            <family val="2"/>
          </rPr>
          <t xml:space="preserve">: </t>
        </r>
        <r>
          <rPr>
            <b/>
            <sz val="9"/>
            <color indexed="81"/>
            <rFont val="細明體"/>
            <family val="3"/>
            <charset val="136"/>
          </rPr>
          <t>只有最多三科將會用以計算比重</t>
        </r>
      </text>
    </comment>
    <comment ref="I189" authorId="0" shapeId="0" xr:uid="{00000000-0006-0000-0200-00006C000000}">
      <text>
        <r>
          <rPr>
            <b/>
            <sz val="9"/>
            <color indexed="81"/>
            <rFont val="Tahoma"/>
            <family val="2"/>
          </rPr>
          <t>One of the following:
• M1/M2
• Biology
• Chemistry
• Combined Science
• Integrated Science
• Physics</t>
        </r>
      </text>
    </comment>
    <comment ref="C190" authorId="1" shapeId="0" xr:uid="{00000000-0006-0000-0200-00006D000000}">
      <text>
        <r>
          <rPr>
            <sz val="9"/>
            <color indexed="81"/>
            <rFont val="細明體"/>
            <family val="3"/>
            <charset val="136"/>
          </rPr>
          <t>較高比重科目</t>
        </r>
        <r>
          <rPr>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、物理、生物、化學、組合科學、綜合科學、地理</t>
        </r>
        <r>
          <rPr>
            <sz val="9"/>
            <color indexed="81"/>
            <rFont val="Tahoma"/>
            <family val="2"/>
          </rPr>
          <t xml:space="preserve">
(</t>
        </r>
        <r>
          <rPr>
            <sz val="9"/>
            <color indexed="81"/>
            <rFont val="細明體"/>
            <family val="3"/>
            <charset val="136"/>
          </rPr>
          <t>此處作</t>
        </r>
        <r>
          <rPr>
            <sz val="9"/>
            <color indexed="81"/>
            <rFont val="Tahoma"/>
            <family val="2"/>
          </rPr>
          <t>x1.5)</t>
        </r>
      </text>
    </comment>
    <comment ref="I190" authorId="0" shapeId="0" xr:uid="{00000000-0006-0000-0200-00006E000000}">
      <text>
        <r>
          <rPr>
            <b/>
            <sz val="9"/>
            <color indexed="81"/>
            <rFont val="Tahoma"/>
            <family val="2"/>
          </rPr>
          <t>One of the following:
• M1/M2
• Chemistry
• Combined Science
• Geography
• Physics</t>
        </r>
      </text>
    </comment>
    <comment ref="J190" authorId="0" shapeId="0" xr:uid="{00000000-0006-0000-0200-00006F000000}">
      <text>
        <r>
          <rPr>
            <b/>
            <sz val="9"/>
            <color indexed="81"/>
            <rFont val="Tahoma"/>
            <family val="2"/>
          </rPr>
          <t>One of the following:
• M1/M2
• Biology
• Chemistry
• Combined Science
• Geography
• Integrated Science
• Physics</t>
        </r>
        <r>
          <rPr>
            <sz val="9"/>
            <color indexed="81"/>
            <rFont val="Tahoma"/>
            <family val="2"/>
          </rPr>
          <t xml:space="preserve">
</t>
        </r>
      </text>
    </comment>
    <comment ref="B191" authorId="1" shapeId="0" xr:uid="{00000000-0006-0000-0200-000070000000}">
      <text>
        <r>
          <rPr>
            <b/>
            <sz val="9"/>
            <color indexed="81"/>
            <rFont val="Tahoma"/>
            <family val="2"/>
          </rPr>
          <t>Good performance in M1/M2 will attract an additional bonus</t>
        </r>
        <r>
          <rPr>
            <sz val="9"/>
            <color indexed="81"/>
            <rFont val="Tahoma"/>
            <family val="2"/>
          </rPr>
          <t xml:space="preserve">
</t>
        </r>
      </text>
    </comment>
    <comment ref="C191" authorId="1" shapeId="0" xr:uid="{00000000-0006-0000-0200-000071000000}">
      <text>
        <r>
          <rPr>
            <sz val="9"/>
            <color indexed="81"/>
            <rFont val="Tahoma"/>
            <family val="2"/>
          </rPr>
          <t xml:space="preserve">M1/2 </t>
        </r>
        <r>
          <rPr>
            <sz val="9"/>
            <color indexed="81"/>
            <rFont val="細明體"/>
            <family val="3"/>
            <charset val="136"/>
          </rPr>
          <t xml:space="preserve">有更高比重
</t>
        </r>
        <r>
          <rPr>
            <sz val="9"/>
            <color indexed="81"/>
            <rFont val="Tahoma"/>
            <family val="2"/>
          </rPr>
          <t>(</t>
        </r>
        <r>
          <rPr>
            <sz val="9"/>
            <color indexed="81"/>
            <rFont val="細明體"/>
            <family val="3"/>
            <charset val="136"/>
          </rPr>
          <t>此處作</t>
        </r>
        <r>
          <rPr>
            <sz val="9"/>
            <color indexed="81"/>
            <rFont val="Tahoma"/>
            <family val="2"/>
          </rPr>
          <t>x2)</t>
        </r>
      </text>
    </comment>
    <comment ref="I191" authorId="0" shapeId="0" xr:uid="{00000000-0006-0000-0200-000072000000}">
      <text>
        <r>
          <rPr>
            <b/>
            <sz val="9"/>
            <color indexed="81"/>
            <rFont val="Tahoma"/>
            <family val="2"/>
          </rPr>
          <t>One of the following:
• Biology
• Chemistry
• Combined Science
• Economics
• Geography
• ICT
• Integrated Science
• Physics
• Tech and Living (FST)</t>
        </r>
        <r>
          <rPr>
            <sz val="9"/>
            <color indexed="81"/>
            <rFont val="Tahoma"/>
            <family val="2"/>
          </rPr>
          <t xml:space="preserve">
</t>
        </r>
      </text>
    </comment>
    <comment ref="J191" authorId="0" shapeId="0" xr:uid="{00000000-0006-0000-0200-000073000000}">
      <text>
        <r>
          <rPr>
            <b/>
            <sz val="9"/>
            <color indexed="81"/>
            <rFont val="Tahoma"/>
            <family val="2"/>
          </rPr>
          <t>M1/M2</t>
        </r>
        <r>
          <rPr>
            <sz val="9"/>
            <color indexed="81"/>
            <rFont val="Tahoma"/>
            <family val="2"/>
          </rPr>
          <t xml:space="preserve">
</t>
        </r>
      </text>
    </comment>
    <comment ref="B192" authorId="1" shapeId="0" xr:uid="{00000000-0006-0000-0200-000074000000}">
      <text>
        <r>
          <rPr>
            <b/>
            <sz val="9"/>
            <color indexed="81"/>
            <rFont val="Tahoma"/>
            <family val="2"/>
          </rPr>
          <t>(a) M1/M2 is preferred</t>
        </r>
        <r>
          <rPr>
            <sz val="9"/>
            <color indexed="81"/>
            <rFont val="Tahoma"/>
            <family val="2"/>
          </rPr>
          <t xml:space="preserve">
</t>
        </r>
      </text>
    </comment>
    <comment ref="C192" authorId="1" shapeId="0" xr:uid="{00000000-0006-0000-0200-000075000000}">
      <text>
        <r>
          <rPr>
            <sz val="9"/>
            <color indexed="81"/>
            <rFont val="細明體"/>
            <family val="3"/>
            <charset val="136"/>
          </rPr>
          <t>較高比重科目</t>
        </r>
        <r>
          <rPr>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、物理</t>
        </r>
        <r>
          <rPr>
            <sz val="9"/>
            <color indexed="81"/>
            <rFont val="Tahoma"/>
            <family val="2"/>
          </rPr>
          <t xml:space="preserve">
(</t>
        </r>
        <r>
          <rPr>
            <sz val="9"/>
            <color indexed="81"/>
            <rFont val="細明體"/>
            <family val="3"/>
            <charset val="136"/>
          </rPr>
          <t>此處作</t>
        </r>
        <r>
          <rPr>
            <sz val="9"/>
            <color indexed="81"/>
            <rFont val="Tahoma"/>
            <family val="2"/>
          </rPr>
          <t>x1.5)</t>
        </r>
      </text>
    </comment>
    <comment ref="I192" authorId="0" shapeId="0" xr:uid="{00000000-0006-0000-0200-000076000000}">
      <text>
        <r>
          <rPr>
            <b/>
            <sz val="9"/>
            <color indexed="81"/>
            <rFont val="Tahoma"/>
            <family val="2"/>
          </rPr>
          <t>Physics</t>
        </r>
        <r>
          <rPr>
            <sz val="9"/>
            <color indexed="81"/>
            <rFont val="Tahoma"/>
            <family val="2"/>
          </rPr>
          <t xml:space="preserve">
</t>
        </r>
      </text>
    </comment>
    <comment ref="J192" authorId="0" shapeId="0" xr:uid="{00000000-0006-0000-0200-000077000000}">
      <text>
        <r>
          <rPr>
            <b/>
            <sz val="9"/>
            <color indexed="81"/>
            <rFont val="Tahoma"/>
            <family val="2"/>
          </rPr>
          <t>One of the following:
• M1/M2 (Preferred)
• Biology
• Chemistry
• Combined Science
• Economics
• Geography
• ICT
• Integrated Science
• Tech and Living (FST)</t>
        </r>
        <r>
          <rPr>
            <sz val="9"/>
            <color indexed="81"/>
            <rFont val="Tahoma"/>
            <family val="2"/>
          </rPr>
          <t xml:space="preserve">
</t>
        </r>
      </text>
    </comment>
    <comment ref="B193" authorId="1" shapeId="0" xr:uid="{00000000-0006-0000-0200-000078000000}">
      <text>
        <r>
          <rPr>
            <b/>
            <sz val="9"/>
            <color indexed="81"/>
            <rFont val="Tahoma"/>
            <family val="2"/>
          </rPr>
          <t>Category A subjects only</t>
        </r>
        <r>
          <rPr>
            <sz val="9"/>
            <color indexed="81"/>
            <rFont val="Tahoma"/>
            <family val="2"/>
          </rPr>
          <t xml:space="preserve">
</t>
        </r>
      </text>
    </comment>
    <comment ref="C193" authorId="1" shapeId="0" xr:uid="{00000000-0006-0000-0200-000079000000}">
      <text>
        <r>
          <rPr>
            <sz val="9"/>
            <color indexed="81"/>
            <rFont val="Tahoma"/>
            <family val="2"/>
          </rPr>
          <t xml:space="preserve">x2: </t>
        </r>
        <r>
          <rPr>
            <sz val="9"/>
            <color indexed="81"/>
            <rFont val="細明體"/>
            <family val="3"/>
            <charset val="136"/>
          </rPr>
          <t>數學、</t>
        </r>
        <r>
          <rPr>
            <sz val="9"/>
            <color indexed="81"/>
            <rFont val="Tahoma"/>
            <family val="2"/>
          </rPr>
          <t xml:space="preserve">M1/2
</t>
        </r>
      </text>
    </comment>
    <comment ref="I193" authorId="0" shapeId="0" xr:uid="{00000000-0006-0000-0200-00007A000000}">
      <text>
        <r>
          <rPr>
            <b/>
            <sz val="9"/>
            <color indexed="81"/>
            <rFont val="Tahoma"/>
            <family val="2"/>
          </rPr>
          <t>(a) Category A subjects only</t>
        </r>
        <r>
          <rPr>
            <sz val="9"/>
            <color indexed="81"/>
            <rFont val="Tahoma"/>
            <family val="2"/>
          </rPr>
          <t xml:space="preserve">
</t>
        </r>
      </text>
    </comment>
    <comment ref="J193" authorId="0" shapeId="0" xr:uid="{00000000-0006-0000-0200-00007B000000}">
      <text>
        <r>
          <rPr>
            <b/>
            <sz val="9"/>
            <color indexed="81"/>
            <rFont val="Tahoma"/>
            <family val="2"/>
          </rPr>
          <t>M1/2 is required</t>
        </r>
      </text>
    </comment>
    <comment ref="C194" authorId="1" shapeId="0" xr:uid="{00000000-0006-0000-0200-00007C000000}">
      <text>
        <r>
          <rPr>
            <sz val="9"/>
            <color indexed="81"/>
            <rFont val="Tahoma"/>
            <family val="2"/>
          </rPr>
          <t xml:space="preserve">x1.3: </t>
        </r>
        <r>
          <rPr>
            <sz val="9"/>
            <color indexed="81"/>
            <rFont val="細明體"/>
            <family val="3"/>
            <charset val="136"/>
          </rPr>
          <t>英文</t>
        </r>
        <r>
          <rPr>
            <sz val="9"/>
            <color indexed="81"/>
            <rFont val="Tahoma"/>
            <family val="2"/>
          </rPr>
          <t xml:space="preserve">
</t>
        </r>
      </text>
    </comment>
    <comment ref="C195" authorId="1" shapeId="0" xr:uid="{00000000-0006-0000-0200-00007D000000}">
      <text>
        <r>
          <rPr>
            <b/>
            <sz val="9"/>
            <color indexed="81"/>
            <rFont val="Tahoma"/>
            <family val="2"/>
          </rPr>
          <t>2021</t>
        </r>
        <r>
          <rPr>
            <b/>
            <sz val="9"/>
            <color indexed="81"/>
            <rFont val="細明體"/>
            <family val="3"/>
            <charset val="136"/>
          </rPr>
          <t xml:space="preserve">年將以新比重收生
</t>
        </r>
        <r>
          <rPr>
            <sz val="9"/>
            <color indexed="81"/>
            <rFont val="Tahoma"/>
            <family val="2"/>
          </rPr>
          <t xml:space="preserve">(x1.5: </t>
        </r>
        <r>
          <rPr>
            <sz val="9"/>
            <color indexed="81"/>
            <rFont val="細明體"/>
            <family val="3"/>
            <charset val="136"/>
          </rPr>
          <t>英文</t>
        </r>
        <r>
          <rPr>
            <sz val="9"/>
            <color indexed="81"/>
            <rFont val="Tahoma"/>
            <family val="2"/>
          </rPr>
          <t>)</t>
        </r>
        <r>
          <rPr>
            <b/>
            <sz val="9"/>
            <color indexed="81"/>
            <rFont val="Tahoma"/>
            <family val="2"/>
          </rPr>
          <t xml:space="preserve">
</t>
        </r>
        <r>
          <rPr>
            <b/>
            <sz val="9"/>
            <color indexed="81"/>
            <rFont val="細明體"/>
            <family val="3"/>
            <charset val="136"/>
          </rPr>
          <t xml:space="preserve">此處將以原有比重作估算，請注意
</t>
        </r>
        <r>
          <rPr>
            <sz val="9"/>
            <color indexed="81"/>
            <rFont val="Tahoma"/>
            <family val="2"/>
          </rPr>
          <t xml:space="preserve">x1.5: </t>
        </r>
        <r>
          <rPr>
            <sz val="9"/>
            <color indexed="81"/>
            <rFont val="細明體"/>
            <family val="3"/>
            <charset val="136"/>
          </rPr>
          <t>英文、數學</t>
        </r>
        <r>
          <rPr>
            <sz val="9"/>
            <color indexed="81"/>
            <rFont val="Tahoma"/>
            <family val="2"/>
          </rPr>
          <t xml:space="preserve">
</t>
        </r>
      </text>
    </comment>
    <comment ref="C196" authorId="1" shapeId="0" xr:uid="{00000000-0006-0000-0200-00007E000000}">
      <text>
        <r>
          <rPr>
            <sz val="9"/>
            <color indexed="81"/>
            <rFont val="Tahoma"/>
            <family val="2"/>
          </rPr>
          <t xml:space="preserve">x1.5: </t>
        </r>
        <r>
          <rPr>
            <sz val="9"/>
            <color indexed="81"/>
            <rFont val="細明體"/>
            <family val="3"/>
            <charset val="136"/>
          </rPr>
          <t>數學、</t>
        </r>
        <r>
          <rPr>
            <sz val="9"/>
            <color indexed="81"/>
            <rFont val="Tahoma"/>
            <family val="2"/>
          </rPr>
          <t xml:space="preserve"> M1/2</t>
        </r>
        <r>
          <rPr>
            <sz val="9"/>
            <color indexed="81"/>
            <rFont val="細明體"/>
            <family val="3"/>
            <charset val="136"/>
          </rPr>
          <t>、物理、化學及經濟</t>
        </r>
        <r>
          <rPr>
            <sz val="9"/>
            <color indexed="81"/>
            <rFont val="Tahoma"/>
            <family val="2"/>
          </rPr>
          <t xml:space="preserve"> </t>
        </r>
        <r>
          <rPr>
            <sz val="9"/>
            <color indexed="81"/>
            <rFont val="細明體"/>
            <family val="3"/>
            <charset val="136"/>
          </rPr>
          <t>其中最佳一科</t>
        </r>
      </text>
    </comment>
    <comment ref="C197" authorId="1" shapeId="0" xr:uid="{00000000-0006-0000-0200-00007F000000}">
      <text>
        <r>
          <rPr>
            <sz val="9"/>
            <color indexed="81"/>
            <rFont val="Tahoma"/>
            <family val="2"/>
          </rPr>
          <t xml:space="preserve">x1.5: </t>
        </r>
        <r>
          <rPr>
            <sz val="9"/>
            <color indexed="81"/>
            <rFont val="細明體"/>
            <family val="3"/>
            <charset val="136"/>
          </rPr>
          <t>英文</t>
        </r>
        <r>
          <rPr>
            <sz val="9"/>
            <color indexed="81"/>
            <rFont val="Tahoma"/>
            <family val="2"/>
          </rPr>
          <t xml:space="preserve">
</t>
        </r>
      </text>
    </comment>
    <comment ref="C199" authorId="1" shapeId="0" xr:uid="{00000000-0006-0000-0200-000080000000}">
      <text>
        <r>
          <rPr>
            <sz val="9"/>
            <color indexed="81"/>
            <rFont val="Tahoma"/>
            <family val="2"/>
          </rPr>
          <t xml:space="preserve">x1.5: </t>
        </r>
        <r>
          <rPr>
            <sz val="9"/>
            <color indexed="81"/>
            <rFont val="細明體"/>
            <family val="3"/>
            <charset val="136"/>
          </rPr>
          <t>英文</t>
        </r>
        <r>
          <rPr>
            <sz val="9"/>
            <color indexed="81"/>
            <rFont val="Tahoma"/>
            <family val="2"/>
          </rPr>
          <t xml:space="preserve">
x1.25: </t>
        </r>
        <r>
          <rPr>
            <sz val="9"/>
            <color indexed="81"/>
            <rFont val="細明體"/>
            <family val="3"/>
            <charset val="136"/>
          </rPr>
          <t>中文、通識</t>
        </r>
      </text>
    </comment>
    <comment ref="C200" authorId="1" shapeId="0" xr:uid="{00000000-0006-0000-0200-000081000000}">
      <text>
        <r>
          <rPr>
            <sz val="9"/>
            <color indexed="81"/>
            <rFont val="Tahoma"/>
            <family val="2"/>
          </rPr>
          <t xml:space="preserve">x1.3: </t>
        </r>
        <r>
          <rPr>
            <sz val="9"/>
            <color indexed="81"/>
            <rFont val="細明體"/>
            <family val="3"/>
            <charset val="136"/>
          </rPr>
          <t>英文、中文</t>
        </r>
        <r>
          <rPr>
            <b/>
            <sz val="9"/>
            <color indexed="81"/>
            <rFont val="Tahoma"/>
            <family val="2"/>
          </rPr>
          <t xml:space="preserve">
</t>
        </r>
        <r>
          <rPr>
            <sz val="9"/>
            <color indexed="81"/>
            <rFont val="Tahoma"/>
            <family val="2"/>
          </rPr>
          <t xml:space="preserve">
</t>
        </r>
      </text>
    </comment>
    <comment ref="C201" authorId="1" shapeId="0" xr:uid="{00000000-0006-0000-0200-000082000000}">
      <text>
        <r>
          <rPr>
            <sz val="9"/>
            <color indexed="81"/>
            <rFont val="Tahoma"/>
            <family val="2"/>
          </rPr>
          <t xml:space="preserve">x1.3: </t>
        </r>
        <r>
          <rPr>
            <sz val="9"/>
            <color indexed="81"/>
            <rFont val="細明體"/>
            <family val="3"/>
            <charset val="136"/>
          </rPr>
          <t>英文</t>
        </r>
        <r>
          <rPr>
            <sz val="9"/>
            <color indexed="81"/>
            <rFont val="Tahoma"/>
            <family val="2"/>
          </rPr>
          <t xml:space="preserve">
</t>
        </r>
      </text>
    </comment>
    <comment ref="C202" authorId="1" shapeId="0" xr:uid="{00000000-0006-0000-0200-000083000000}">
      <text>
        <r>
          <rPr>
            <sz val="9"/>
            <color indexed="81"/>
            <rFont val="Tahoma"/>
            <family val="2"/>
          </rPr>
          <t xml:space="preserve">x1.5: </t>
        </r>
        <r>
          <rPr>
            <sz val="9"/>
            <color indexed="81"/>
            <rFont val="細明體"/>
            <family val="3"/>
            <charset val="136"/>
          </rPr>
          <t>英文、數學</t>
        </r>
      </text>
    </comment>
    <comment ref="C204" authorId="1" shapeId="0" xr:uid="{00000000-0006-0000-0200-000084000000}">
      <text>
        <r>
          <rPr>
            <sz val="9"/>
            <color indexed="81"/>
            <rFont val="Tahoma"/>
            <family val="2"/>
          </rPr>
          <t xml:space="preserve">x1.5: </t>
        </r>
        <r>
          <rPr>
            <sz val="9"/>
            <color indexed="81"/>
            <rFont val="細明體"/>
            <family val="3"/>
            <charset val="136"/>
          </rPr>
          <t>英文、通識</t>
        </r>
      </text>
    </comment>
    <comment ref="C205" authorId="1" shapeId="0" xr:uid="{00000000-0006-0000-0200-000085000000}">
      <text>
        <r>
          <rPr>
            <sz val="9"/>
            <color indexed="81"/>
            <rFont val="Tahoma"/>
            <family val="2"/>
          </rPr>
          <t xml:space="preserve">x1.5: </t>
        </r>
        <r>
          <rPr>
            <sz val="9"/>
            <color indexed="81"/>
            <rFont val="細明體"/>
            <family val="3"/>
            <charset val="136"/>
          </rPr>
          <t>英文</t>
        </r>
      </text>
    </comment>
    <comment ref="C207" authorId="1" shapeId="0" xr:uid="{00000000-0006-0000-0200-000086000000}">
      <text>
        <r>
          <rPr>
            <sz val="9"/>
            <color indexed="81"/>
            <rFont val="Tahoma"/>
            <family val="2"/>
          </rPr>
          <t xml:space="preserve">x2: </t>
        </r>
        <r>
          <rPr>
            <sz val="9"/>
            <color indexed="81"/>
            <rFont val="細明體"/>
            <family val="3"/>
            <charset val="136"/>
          </rPr>
          <t>英文、通識</t>
        </r>
        <r>
          <rPr>
            <sz val="9"/>
            <color indexed="81"/>
            <rFont val="Tahoma"/>
            <family val="2"/>
          </rPr>
          <t xml:space="preserve">
x 1.5: </t>
        </r>
        <r>
          <rPr>
            <sz val="9"/>
            <color indexed="81"/>
            <rFont val="細明體"/>
            <family val="3"/>
            <charset val="136"/>
          </rPr>
          <t>中文</t>
        </r>
        <r>
          <rPr>
            <sz val="9"/>
            <color indexed="81"/>
            <rFont val="Tahoma"/>
            <family val="2"/>
          </rPr>
          <t xml:space="preserve">
</t>
        </r>
      </text>
    </comment>
    <comment ref="E210" authorId="0" shapeId="0" xr:uid="{00000000-0006-0000-0200-000087000000}">
      <text>
        <r>
          <rPr>
            <b/>
            <sz val="9"/>
            <color indexed="81"/>
            <rFont val="細明體"/>
            <family val="3"/>
            <charset val="136"/>
          </rPr>
          <t>入學要求</t>
        </r>
      </text>
    </comment>
    <comment ref="L210" authorId="0" shapeId="0" xr:uid="{00000000-0006-0000-0200-000088000000}">
      <text>
        <r>
          <rPr>
            <b/>
            <sz val="9"/>
            <color indexed="81"/>
            <rFont val="細明體"/>
            <family val="3"/>
            <charset val="136"/>
          </rPr>
          <t>入學要求</t>
        </r>
      </text>
    </comment>
    <comment ref="C211" authorId="1" shapeId="0" xr:uid="{00000000-0006-0000-0200-000089000000}">
      <text>
        <r>
          <rPr>
            <b/>
            <sz val="9"/>
            <color indexed="81"/>
            <rFont val="細明體"/>
            <family val="3"/>
            <charset val="136"/>
          </rPr>
          <t>英文</t>
        </r>
        <r>
          <rPr>
            <b/>
            <sz val="9"/>
            <color indexed="81"/>
            <rFont val="Tahoma"/>
            <family val="2"/>
          </rPr>
          <t xml:space="preserve"> x1 </t>
        </r>
        <r>
          <rPr>
            <b/>
            <sz val="9"/>
            <color indexed="81"/>
            <rFont val="細明體"/>
            <family val="3"/>
            <charset val="136"/>
          </rPr>
          <t>數學</t>
        </r>
        <r>
          <rPr>
            <b/>
            <sz val="9"/>
            <color indexed="81"/>
            <rFont val="Tahoma"/>
            <family val="2"/>
          </rPr>
          <t xml:space="preserve"> x1
+</t>
        </r>
        <r>
          <rPr>
            <b/>
            <sz val="9"/>
            <color indexed="81"/>
            <rFont val="細明體"/>
            <family val="3"/>
            <charset val="136"/>
          </rPr>
          <t xml:space="preserve">
最佳兩科</t>
        </r>
        <r>
          <rPr>
            <b/>
            <sz val="9"/>
            <color indexed="81"/>
            <rFont val="Tahoma"/>
            <family val="2"/>
          </rPr>
          <t xml:space="preserve"> x1
(</t>
        </r>
        <r>
          <rPr>
            <sz val="9"/>
            <color indexed="81"/>
            <rFont val="Tahoma"/>
            <family val="2"/>
          </rPr>
          <t xml:space="preserve">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b/>
            <sz val="9"/>
            <color indexed="81"/>
            <rFont val="細明體"/>
            <family val="3"/>
            <charset val="136"/>
          </rPr>
          <t>最佳一科</t>
        </r>
        <r>
          <rPr>
            <b/>
            <sz val="9"/>
            <color indexed="81"/>
            <rFont val="Tahoma"/>
            <family val="2"/>
          </rPr>
          <t xml:space="preserve"> x1</t>
        </r>
        <r>
          <rPr>
            <sz val="9"/>
            <color indexed="81"/>
            <rFont val="Tahoma"/>
            <family val="2"/>
          </rPr>
          <t xml:space="preserve">
</t>
        </r>
      </text>
    </comment>
    <comment ref="I211" authorId="1" shapeId="0" xr:uid="{00000000-0006-0000-0200-00008A000000}">
      <text>
        <r>
          <rPr>
            <b/>
            <sz val="9"/>
            <color indexed="81"/>
            <rFont val="細明體"/>
            <family val="3"/>
            <charset val="136"/>
          </rPr>
          <t>以下兩科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text>
    </comment>
    <comment ref="J211" authorId="1" shapeId="0" xr:uid="{00000000-0006-0000-0200-00008B000000}">
      <text>
        <r>
          <rPr>
            <b/>
            <sz val="9"/>
            <color indexed="81"/>
            <rFont val="細明體"/>
            <family val="3"/>
            <charset val="136"/>
          </rPr>
          <t>以下兩科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C212" authorId="1" shapeId="0" xr:uid="{00000000-0006-0000-0200-00008C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I212" authorId="1" shapeId="0" xr:uid="{00000000-0006-0000-0200-00008D000000}">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C213" authorId="1" shapeId="0" xr:uid="{00000000-0006-0000-0200-00008E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x2
(M1/2 /</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 x1</t>
        </r>
      </text>
    </comment>
    <comment ref="I213" authorId="1" shapeId="0" xr:uid="{00000000-0006-0000-0200-00008F000000}">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C214" authorId="1" shapeId="0" xr:uid="{00000000-0006-0000-0200-000090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(M1/2/ </t>
        </r>
        <r>
          <rPr>
            <sz val="9"/>
            <color indexed="81"/>
            <rFont val="細明體"/>
            <family val="3"/>
            <charset val="136"/>
          </rPr>
          <t>物理</t>
        </r>
        <r>
          <rPr>
            <sz val="9"/>
            <color indexed="81"/>
            <rFont val="Tahoma"/>
            <family val="2"/>
          </rPr>
          <t>) x2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x1.5</t>
        </r>
      </text>
    </comment>
    <comment ref="I214" authorId="1" shapeId="0" xr:uid="{00000000-0006-0000-0200-000091000000}">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C215" authorId="1" shapeId="0" xr:uid="{00000000-0006-0000-0200-000092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I215" authorId="1" shapeId="0" xr:uid="{00000000-0006-0000-0200-000093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 ref="C216" authorId="1" shapeId="0" xr:uid="{00000000-0006-0000-0200-000094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/DAT)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t>
        </r>
      </text>
    </comment>
    <comment ref="I216" authorId="1" shapeId="0" xr:uid="{00000000-0006-0000-0200-000095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 / DAT</t>
        </r>
      </text>
    </comment>
    <comment ref="C217" authorId="1" shapeId="0" xr:uid="{00000000-0006-0000-0200-000096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I217" authorId="1" shapeId="0" xr:uid="{00000000-0006-0000-0200-000097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 ref="C218" authorId="1" shapeId="0" xr:uid="{00000000-0006-0000-0200-000098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19" authorId="1" shapeId="0" xr:uid="{00000000-0006-0000-0200-000099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20" authorId="1" shapeId="0" xr:uid="{00000000-0006-0000-0200-00009A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221" authorId="1" shapeId="0" xr:uid="{00000000-0006-0000-0200-00009B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22" authorId="1" shapeId="0" xr:uid="{00000000-0006-0000-0200-00009C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23" authorId="1" shapeId="0" xr:uid="{00000000-0006-0000-0200-00009D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24" authorId="1" shapeId="0" xr:uid="{00000000-0006-0000-0200-00009E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25" authorId="1" shapeId="0" xr:uid="{00000000-0006-0000-0200-00009F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26" authorId="1" shapeId="0" xr:uid="{00000000-0006-0000-0200-0000A0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C227" authorId="1" shapeId="0" xr:uid="{00000000-0006-0000-0200-0000A1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228" authorId="1" shapeId="0" xr:uid="{00000000-0006-0000-0200-0000A2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C229" authorId="1" shapeId="0" xr:uid="{00000000-0006-0000-0200-0000A3000000}">
      <text>
        <r>
          <rPr>
            <sz val="9"/>
            <color indexed="81"/>
            <rFont val="細明體"/>
            <family val="3"/>
            <charset val="136"/>
          </rPr>
          <t>英文</t>
        </r>
        <r>
          <rPr>
            <sz val="9"/>
            <color indexed="81"/>
            <rFont val="Tahoma"/>
            <family val="2"/>
          </rPr>
          <t xml:space="preserve"> x2 </t>
        </r>
        <r>
          <rPr>
            <sz val="9"/>
            <color indexed="81"/>
            <rFont val="細明體"/>
            <family val="3"/>
            <charset val="136"/>
          </rPr>
          <t>中文</t>
        </r>
        <r>
          <rPr>
            <sz val="9"/>
            <color indexed="81"/>
            <rFont val="Tahoma"/>
            <family val="2"/>
          </rPr>
          <t xml:space="preserve"> x1.5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C230" authorId="1" shapeId="0" xr:uid="{00000000-0006-0000-0200-0000A4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C231" authorId="1" shapeId="0" xr:uid="{00000000-0006-0000-0200-0000A5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最佳下列理科</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I231" authorId="0" shapeId="0" xr:uid="{00000000-0006-0000-0200-0000A6000000}">
      <text>
        <r>
          <rPr>
            <b/>
            <sz val="9"/>
            <color indexed="81"/>
            <rFont val="細明體"/>
            <family val="3"/>
            <charset val="136"/>
          </rPr>
          <t>以下一科</t>
        </r>
        <r>
          <rPr>
            <b/>
            <sz val="9"/>
            <color indexed="81"/>
            <rFont val="Tahoma"/>
            <family val="2"/>
          </rPr>
          <t>:</t>
        </r>
        <r>
          <rPr>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text>
    </comment>
    <comment ref="C232" authorId="1" shapeId="0" xr:uid="{00000000-0006-0000-0200-0000A7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C233" authorId="1" shapeId="0" xr:uid="{00000000-0006-0000-0200-0000A8000000}">
      <text>
        <r>
          <rPr>
            <b/>
            <sz val="9"/>
            <color indexed="81"/>
            <rFont val="細明體"/>
            <family val="3"/>
            <charset val="136"/>
          </rPr>
          <t>英文</t>
        </r>
        <r>
          <rPr>
            <b/>
            <sz val="9"/>
            <color indexed="81"/>
            <rFont val="Tahoma"/>
            <family val="2"/>
          </rPr>
          <t xml:space="preserve"> x2 </t>
        </r>
        <r>
          <rPr>
            <b/>
            <sz val="9"/>
            <color indexed="81"/>
            <rFont val="細明體"/>
            <family val="3"/>
            <charset val="136"/>
          </rPr>
          <t>數學</t>
        </r>
        <r>
          <rPr>
            <b/>
            <sz val="9"/>
            <color indexed="81"/>
            <rFont val="Tahoma"/>
            <family val="2"/>
          </rPr>
          <t xml:space="preserve"> x2</t>
        </r>
        <r>
          <rPr>
            <sz val="9"/>
            <color indexed="81"/>
            <rFont val="Tahoma"/>
            <family val="2"/>
          </rPr>
          <t xml:space="preserve">
+
</t>
        </r>
        <r>
          <rPr>
            <b/>
            <sz val="9"/>
            <color indexed="81"/>
            <rFont val="Tahoma"/>
            <family val="2"/>
          </rPr>
          <t>M1/2 x 2</t>
        </r>
        <r>
          <rPr>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最佳下列科目</t>
        </r>
        <r>
          <rPr>
            <b/>
            <sz val="9"/>
            <color indexed="81"/>
            <rFont val="Tahoma"/>
            <family val="2"/>
          </rPr>
          <t xml:space="preserve"> x1.5</t>
        </r>
        <r>
          <rPr>
            <sz val="9"/>
            <color indexed="81"/>
            <rFont val="Tahoma"/>
            <family val="2"/>
          </rPr>
          <t xml:space="preserve">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綜合科學</t>
        </r>
        <r>
          <rPr>
            <sz val="9"/>
            <color indexed="81"/>
            <rFont val="Tahoma"/>
            <family val="2"/>
          </rPr>
          <t>/</t>
        </r>
        <r>
          <rPr>
            <sz val="9"/>
            <color indexed="81"/>
            <rFont val="細明體"/>
            <family val="3"/>
            <charset val="136"/>
          </rPr>
          <t>經濟</t>
        </r>
        <r>
          <rPr>
            <sz val="9"/>
            <color indexed="81"/>
            <rFont val="Tahoma"/>
            <family val="2"/>
          </rPr>
          <t xml:space="preserve">)
+
</t>
        </r>
        <r>
          <rPr>
            <b/>
            <sz val="9"/>
            <color indexed="81"/>
            <rFont val="細明體"/>
            <family val="3"/>
            <charset val="136"/>
          </rPr>
          <t>最佳</t>
        </r>
        <r>
          <rPr>
            <b/>
            <sz val="9"/>
            <color indexed="81"/>
            <rFont val="Tahoma"/>
            <family val="2"/>
          </rPr>
          <t>3</t>
        </r>
        <r>
          <rPr>
            <b/>
            <sz val="9"/>
            <color indexed="81"/>
            <rFont val="細明體"/>
            <family val="3"/>
            <charset val="136"/>
          </rPr>
          <t>科</t>
        </r>
        <r>
          <rPr>
            <b/>
            <sz val="9"/>
            <color indexed="81"/>
            <rFont val="Tahoma"/>
            <family val="2"/>
          </rPr>
          <t xml:space="preserve"> x1</t>
        </r>
        <r>
          <rPr>
            <sz val="9"/>
            <color indexed="81"/>
            <rFont val="Tahoma"/>
            <family val="2"/>
          </rPr>
          <t xml:space="preserve">
</t>
        </r>
      </text>
    </comment>
    <comment ref="I233" authorId="1" shapeId="0" xr:uid="{00000000-0006-0000-0200-0000A9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綜合科學</t>
        </r>
        <r>
          <rPr>
            <sz val="9"/>
            <color indexed="81"/>
            <rFont val="Tahoma"/>
            <family val="2"/>
          </rPr>
          <t xml:space="preserve">/
</t>
        </r>
        <r>
          <rPr>
            <sz val="9"/>
            <color indexed="81"/>
            <rFont val="細明體"/>
            <family val="3"/>
            <charset val="136"/>
          </rPr>
          <t>經濟</t>
        </r>
        <r>
          <rPr>
            <sz val="9"/>
            <color indexed="81"/>
            <rFont val="Tahoma"/>
            <family val="2"/>
          </rPr>
          <t>/ M1/2</t>
        </r>
      </text>
    </comment>
    <comment ref="C234" authorId="1" shapeId="0" xr:uid="{00000000-0006-0000-0200-0000AA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C235" authorId="1" shapeId="0" xr:uid="{00000000-0006-0000-0200-0000AB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(M1/2 x1.5)
</t>
        </r>
      </text>
    </comment>
    <comment ref="I235" authorId="1" shapeId="0" xr:uid="{00000000-0006-0000-0200-0000AC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 ref="C239" authorId="1" shapeId="0" xr:uid="{00000000-0006-0000-0200-0000AD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text>
    </comment>
    <comment ref="C240" authorId="0" shapeId="0" xr:uid="{00000000-0006-0000-0200-0000AE000000}">
      <text>
        <r>
          <rPr>
            <sz val="9"/>
            <color indexed="81"/>
            <rFont val="Tahoma"/>
            <family val="2"/>
          </rPr>
          <t xml:space="preserve">Consideration of both Category A and C subjects, </t>
        </r>
        <r>
          <rPr>
            <b/>
            <sz val="9"/>
            <color indexed="81"/>
            <rFont val="Tahoma"/>
            <family val="2"/>
          </rPr>
          <t>excluding M1/M2.</t>
        </r>
      </text>
    </comment>
    <comment ref="C241" authorId="0" shapeId="0" xr:uid="{00000000-0006-0000-0200-0000AF000000}">
      <text>
        <r>
          <rPr>
            <sz val="9"/>
            <color indexed="81"/>
            <rFont val="Tahoma"/>
            <family val="2"/>
          </rPr>
          <t>Consideration of both Category A and C subjects,</t>
        </r>
        <r>
          <rPr>
            <b/>
            <sz val="9"/>
            <color indexed="81"/>
            <rFont val="Tahoma"/>
            <family val="2"/>
          </rPr>
          <t xml:space="preserve"> excluding M1/M2.</t>
        </r>
      </text>
    </comment>
    <comment ref="C242" authorId="0" shapeId="0" xr:uid="{00000000-0006-0000-0200-0000B0000000}">
      <text>
        <r>
          <rPr>
            <sz val="9"/>
            <color indexed="81"/>
            <rFont val="Tahoma"/>
            <family val="2"/>
          </rPr>
          <t xml:space="preserve">Consideration of both Category A and C subjects, </t>
        </r>
        <r>
          <rPr>
            <b/>
            <sz val="9"/>
            <color indexed="81"/>
            <rFont val="Tahoma"/>
            <family val="2"/>
          </rPr>
          <t xml:space="preserve">excluding M1/M2.
</t>
        </r>
      </text>
    </comment>
    <comment ref="C243" authorId="0" shapeId="0" xr:uid="{00000000-0006-0000-0200-0000B1000000}">
      <text>
        <r>
          <rPr>
            <sz val="9"/>
            <color indexed="81"/>
            <rFont val="Tahoma"/>
            <family val="2"/>
          </rPr>
          <t xml:space="preserve">Consideration of both Category A and C subjects, </t>
        </r>
        <r>
          <rPr>
            <b/>
            <sz val="9"/>
            <color indexed="81"/>
            <rFont val="Tahoma"/>
            <family val="2"/>
          </rPr>
          <t xml:space="preserve">excluding M1/M2.
</t>
        </r>
        <r>
          <rPr>
            <sz val="9"/>
            <color indexed="81"/>
            <rFont val="Tahoma"/>
            <family val="2"/>
          </rPr>
          <t xml:space="preserve">
The best 5 subjects must </t>
        </r>
        <r>
          <rPr>
            <b/>
            <sz val="9"/>
            <color indexed="81"/>
            <rFont val="Tahoma"/>
            <family val="2"/>
          </rPr>
          <t>include English Language</t>
        </r>
        <r>
          <rPr>
            <sz val="9"/>
            <color indexed="81"/>
            <rFont val="Tahoma"/>
            <family val="2"/>
          </rPr>
          <t xml:space="preserve">
</t>
        </r>
      </text>
    </comment>
    <comment ref="C244" authorId="1" shapeId="0" xr:uid="{00000000-0006-0000-0200-0000B2000000}">
      <text>
        <r>
          <rPr>
            <sz val="9"/>
            <color indexed="81"/>
            <rFont val="Tahoma"/>
            <family val="2"/>
          </rPr>
          <t xml:space="preserve">The best 6 subjects must include English Language, Mathematics.
M1/M2 can be included.
Weighting: English Language, Mathematics
</t>
        </r>
      </text>
    </comment>
    <comment ref="C245" authorId="1" shapeId="0" xr:uid="{00000000-0006-0000-0200-0000B3000000}">
      <text>
        <r>
          <rPr>
            <sz val="9"/>
            <color indexed="81"/>
            <rFont val="Tahoma"/>
            <family val="2"/>
          </rPr>
          <t xml:space="preserve">The best 6 subjects must include English Language, Mathematics.
M1/M2 can be included in lieu of Mathematics.
Weighting: English Language, Mathematics, M1/M2
</t>
        </r>
      </text>
    </comment>
    <comment ref="C246" authorId="1" shapeId="0" xr:uid="{00000000-0006-0000-0200-0000B4000000}">
      <text>
        <r>
          <rPr>
            <sz val="9"/>
            <color indexed="81"/>
            <rFont val="Tahoma"/>
            <family val="2"/>
          </rPr>
          <t xml:space="preserve">The best 6 subjects must include English Language, Mathematics.
M1/M2 can be included in lieu of Mathematics.
Weighting: English Language, Mathematics, M1/M2
</t>
        </r>
      </text>
    </comment>
    <comment ref="C247" authorId="1" shapeId="0" xr:uid="{00000000-0006-0000-0200-0000B5000000}">
      <text>
        <r>
          <rPr>
            <sz val="9"/>
            <color indexed="81"/>
            <rFont val="Tahoma"/>
            <family val="2"/>
          </rPr>
          <t xml:space="preserve">The best 6 subjects must include English Language, Mathematics.
M1/M2 can be included.
Weighting: English Language, Mathematics
</t>
        </r>
      </text>
    </comment>
    <comment ref="I247" authorId="0" shapeId="0" xr:uid="{00000000-0006-0000-0200-0000B6000000}">
      <text>
        <r>
          <rPr>
            <b/>
            <sz val="9"/>
            <color indexed="81"/>
            <rFont val="Tahoma"/>
            <family val="2"/>
          </rPr>
          <t>One of the following at Level 3 or above:</t>
        </r>
        <r>
          <rPr>
            <sz val="9"/>
            <color indexed="81"/>
            <rFont val="Tahoma"/>
            <family val="2"/>
          </rPr>
          <t xml:space="preserve">
- Biology
- Chemistry
- Physics
- Combined Science
- ICT
- Integrated Science.
</t>
        </r>
      </text>
    </comment>
    <comment ref="J247" authorId="0" shapeId="0" xr:uid="{00000000-0006-0000-0200-0000B7000000}">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C248" authorId="1" shapeId="0" xr:uid="{00000000-0006-0000-0200-0000B8000000}">
      <text>
        <r>
          <rPr>
            <sz val="9"/>
            <color indexed="81"/>
            <rFont val="Tahoma"/>
            <family val="2"/>
          </rPr>
          <t xml:space="preserve">The best 6 subjects must include English Language, Mathematics.
M1/M2 can be included in lieu of Mathematics.
Weighting: English Language, Mathematics, M1/M2
</t>
        </r>
      </text>
    </comment>
    <comment ref="C249" authorId="0" shapeId="0" xr:uid="{00000000-0006-0000-0200-0000B9000000}">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plus the best three among the remaining subjects.
</t>
        </r>
        <r>
          <rPr>
            <sz val="9"/>
            <color indexed="81"/>
            <rFont val="細明體"/>
            <family val="3"/>
            <charset val="136"/>
          </rPr>
          <t>最高比重</t>
        </r>
        <r>
          <rPr>
            <sz val="9"/>
            <color indexed="81"/>
            <rFont val="Tahoma"/>
            <family val="2"/>
          </rPr>
          <t xml:space="preserve">: English Language
</t>
        </r>
        <r>
          <rPr>
            <sz val="9"/>
            <color indexed="81"/>
            <rFont val="細明體"/>
            <family val="3"/>
            <charset val="136"/>
          </rPr>
          <t>較高比重</t>
        </r>
        <r>
          <rPr>
            <sz val="9"/>
            <color indexed="81"/>
            <rFont val="Tahoma"/>
            <family val="2"/>
          </rPr>
          <t>: Mathematics, M1/M2</t>
        </r>
      </text>
    </comment>
    <comment ref="J249" authorId="0" shapeId="0" xr:uid="{00000000-0006-0000-0200-0000BA000000}">
      <text>
        <r>
          <rPr>
            <b/>
            <sz val="9"/>
            <color indexed="81"/>
            <rFont val="Tahoma"/>
            <family val="2"/>
          </rPr>
          <t>M1/2 is required.</t>
        </r>
        <r>
          <rPr>
            <sz val="9"/>
            <color indexed="81"/>
            <rFont val="Tahoma"/>
            <family val="2"/>
          </rPr>
          <t xml:space="preserve">
</t>
        </r>
      </text>
    </comment>
    <comment ref="C250" authorId="1" shapeId="0" xr:uid="{00000000-0006-0000-0200-0000BB000000}">
      <text>
        <r>
          <rPr>
            <sz val="9"/>
            <color indexed="81"/>
            <rFont val="Tahoma"/>
            <family val="2"/>
          </rPr>
          <t xml:space="preserve">The best 6 subjects must include English Language, Mathematics.
M1/M2 can be included in lieu of Mathematics.
Weighting: English Language, Mathematics, M1/M2
</t>
        </r>
      </text>
    </comment>
    <comment ref="C251" authorId="0" shapeId="0" xr:uid="{00000000-0006-0000-0200-0000BC000000}">
      <text>
        <r>
          <rPr>
            <sz val="9"/>
            <color indexed="81"/>
            <rFont val="Tahoma"/>
            <family val="2"/>
          </rPr>
          <t xml:space="preserve">The bes t 6 subjects must include a </t>
        </r>
        <r>
          <rPr>
            <b/>
            <sz val="9"/>
            <color indexed="81"/>
            <rFont val="Tahoma"/>
            <family val="2"/>
          </rPr>
          <t>Science elective</t>
        </r>
        <r>
          <rPr>
            <sz val="9"/>
            <color indexed="81"/>
            <rFont val="Tahoma"/>
            <family val="2"/>
          </rPr>
          <t xml:space="preserve"> subject*
Weighting: Science electives*, </t>
        </r>
        <r>
          <rPr>
            <b/>
            <sz val="9"/>
            <color indexed="81"/>
            <rFont val="Tahoma"/>
            <family val="2"/>
          </rPr>
          <t>excluding Integrated Science</t>
        </r>
        <r>
          <rPr>
            <sz val="9"/>
            <color indexed="81"/>
            <rFont val="Tahoma"/>
            <family val="2"/>
          </rPr>
          <t xml:space="preserve">
*:Biology, Chemistry, Physics, Combined Science, Integrated Science.</t>
        </r>
      </text>
    </comment>
    <comment ref="I251" authorId="0" shapeId="0" xr:uid="{00000000-0006-0000-0200-0000BD000000}">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C252" authorId="0" shapeId="0" xr:uid="{00000000-0006-0000-0200-0000BE000000}">
      <text>
        <r>
          <rPr>
            <sz val="9"/>
            <color indexed="81"/>
            <rFont val="Tahoma"/>
            <family val="2"/>
          </rPr>
          <t>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sz val="9"/>
            <color indexed="81"/>
            <rFont val="Tahoma"/>
            <family val="2"/>
          </rPr>
          <t xml:space="preserve">: English Language
</t>
        </r>
        <r>
          <rPr>
            <b/>
            <sz val="9"/>
            <color indexed="81"/>
            <rFont val="細明體"/>
            <family val="3"/>
            <charset val="136"/>
          </rPr>
          <t>較高比重</t>
        </r>
        <r>
          <rPr>
            <sz val="9"/>
            <color indexed="81"/>
            <rFont val="Tahoma"/>
            <family val="2"/>
          </rPr>
          <t xml:space="preserve">: Liberal Studies
</t>
        </r>
      </text>
    </comment>
    <comment ref="C253" authorId="0" shapeId="0" xr:uid="{00000000-0006-0000-0200-0000BF000000}">
      <text>
        <r>
          <rPr>
            <sz val="9"/>
            <color indexed="81"/>
            <rFont val="Tahoma"/>
            <family val="2"/>
          </rPr>
          <t xml:space="preserve">The best 5 subjects must include </t>
        </r>
        <r>
          <rPr>
            <b/>
            <sz val="9"/>
            <color indexed="81"/>
            <rFont val="Tahoma"/>
            <family val="2"/>
          </rPr>
          <t>Chinese Language</t>
        </r>
        <r>
          <rPr>
            <sz val="9"/>
            <color indexed="81"/>
            <rFont val="Tahoma"/>
            <family val="2"/>
          </rPr>
          <t xml:space="preserve"> and </t>
        </r>
        <r>
          <rPr>
            <b/>
            <sz val="9"/>
            <color indexed="81"/>
            <rFont val="Tahoma"/>
            <family val="2"/>
          </rPr>
          <t>Liberal Studies</t>
        </r>
        <r>
          <rPr>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Tahoma"/>
            <family val="2"/>
          </rPr>
          <t xml:space="preserve">Chinese Language
</t>
        </r>
        <r>
          <rPr>
            <b/>
            <sz val="9"/>
            <color indexed="81"/>
            <rFont val="細明體"/>
            <family val="3"/>
            <charset val="136"/>
          </rPr>
          <t>較高比重</t>
        </r>
        <r>
          <rPr>
            <b/>
            <sz val="9"/>
            <color indexed="81"/>
            <rFont val="Tahoma"/>
            <family val="2"/>
          </rPr>
          <t>:</t>
        </r>
        <r>
          <rPr>
            <sz val="9"/>
            <color indexed="81"/>
            <rFont val="Tahoma"/>
            <family val="2"/>
          </rPr>
          <t xml:space="preserve"> Liberal Studies
</t>
        </r>
      </text>
    </comment>
    <comment ref="C254" authorId="0" shapeId="0" xr:uid="{00000000-0006-0000-0200-0000C0000000}">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and </t>
        </r>
        <r>
          <rPr>
            <b/>
            <sz val="9"/>
            <color indexed="81"/>
            <rFont val="Tahoma"/>
            <family val="2"/>
          </rPr>
          <t>Chinese Language</t>
        </r>
        <r>
          <rPr>
            <sz val="9"/>
            <color indexed="81"/>
            <rFont val="Tahoma"/>
            <family val="2"/>
          </rPr>
          <t xml:space="preserve">.
</t>
        </r>
        <r>
          <rPr>
            <sz val="9"/>
            <color indexed="81"/>
            <rFont val="細明體"/>
            <family val="3"/>
            <charset val="136"/>
          </rPr>
          <t>最高比重</t>
        </r>
        <r>
          <rPr>
            <sz val="9"/>
            <color indexed="81"/>
            <rFont val="Tahoma"/>
            <family val="2"/>
          </rPr>
          <t xml:space="preserve">: </t>
        </r>
        <r>
          <rPr>
            <b/>
            <sz val="9"/>
            <color indexed="81"/>
            <rFont val="Tahoma"/>
            <family val="2"/>
          </rPr>
          <t>English Language</t>
        </r>
        <r>
          <rPr>
            <sz val="9"/>
            <color indexed="81"/>
            <rFont val="Tahoma"/>
            <family val="2"/>
          </rPr>
          <t xml:space="preserve">
</t>
        </r>
        <r>
          <rPr>
            <sz val="9"/>
            <color indexed="81"/>
            <rFont val="細明體"/>
            <family val="3"/>
            <charset val="136"/>
          </rPr>
          <t>較高比重</t>
        </r>
        <r>
          <rPr>
            <sz val="9"/>
            <color indexed="81"/>
            <rFont val="Tahoma"/>
            <family val="2"/>
          </rPr>
          <t xml:space="preserve">: </t>
        </r>
        <r>
          <rPr>
            <b/>
            <sz val="9"/>
            <color indexed="81"/>
            <rFont val="Tahoma"/>
            <family val="2"/>
          </rPr>
          <t>Chinese Language</t>
        </r>
        <r>
          <rPr>
            <sz val="9"/>
            <color indexed="81"/>
            <rFont val="Tahoma"/>
            <family val="2"/>
          </rPr>
          <t xml:space="preserve">
</t>
        </r>
      </text>
    </comment>
    <comment ref="C255" authorId="0" shapeId="0" xr:uid="{00000000-0006-0000-0200-0000C1000000}">
      <text>
        <r>
          <rPr>
            <sz val="9"/>
            <color indexed="81"/>
            <rFont val="Tahoma"/>
            <family val="2"/>
          </rPr>
          <t xml:space="preserve">The best 5 subjects must include </t>
        </r>
        <r>
          <rPr>
            <b/>
            <sz val="9"/>
            <color indexed="81"/>
            <rFont val="Tahoma"/>
            <family val="2"/>
          </rPr>
          <t>English Language</t>
        </r>
        <r>
          <rPr>
            <sz val="9"/>
            <color indexed="81"/>
            <rFont val="Tahoma"/>
            <family val="2"/>
          </rPr>
          <t xml:space="preserve">, </t>
        </r>
        <r>
          <rPr>
            <b/>
            <sz val="9"/>
            <color indexed="81"/>
            <rFont val="Tahoma"/>
            <family val="2"/>
          </rPr>
          <t>Mathematics</t>
        </r>
        <r>
          <rPr>
            <sz val="9"/>
            <color indexed="81"/>
            <rFont val="Tahoma"/>
            <family val="2"/>
          </rPr>
          <t xml:space="preserve"> and
the </t>
        </r>
        <r>
          <rPr>
            <b/>
            <sz val="9"/>
            <color indexed="81"/>
            <rFont val="Tahoma"/>
            <family val="2"/>
          </rPr>
          <t>best Science elective subject</t>
        </r>
        <r>
          <rPr>
            <sz val="9"/>
            <color indexed="81"/>
            <rFont val="Tahoma"/>
            <family val="2"/>
          </rPr>
          <t xml:space="preserve">*
M1/M2 can be included.
</t>
        </r>
        <r>
          <rPr>
            <b/>
            <sz val="9"/>
            <color indexed="81"/>
            <rFont val="細明體"/>
            <family val="3"/>
            <charset val="136"/>
          </rPr>
          <t>最高比重</t>
        </r>
        <r>
          <rPr>
            <b/>
            <sz val="9"/>
            <color indexed="81"/>
            <rFont val="Tahoma"/>
            <family val="2"/>
          </rPr>
          <t>:</t>
        </r>
        <r>
          <rPr>
            <sz val="9"/>
            <color indexed="81"/>
            <rFont val="Tahoma"/>
            <family val="2"/>
          </rPr>
          <t xml:space="preserve"> 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 Biology, Chemistry, Physics, Combined Science, Integrated Science.
</t>
        </r>
      </text>
    </comment>
    <comment ref="I255" authorId="0" shapeId="0" xr:uid="{00000000-0006-0000-0200-0000C2000000}">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I256" authorId="0" shapeId="0" xr:uid="{00000000-0006-0000-0200-0000C3000000}">
      <text>
        <r>
          <rPr>
            <b/>
            <sz val="9"/>
            <color indexed="81"/>
            <rFont val="Tahoma"/>
            <family val="2"/>
          </rPr>
          <t>One of the following at Level 3 or above:</t>
        </r>
        <r>
          <rPr>
            <sz val="9"/>
            <color indexed="81"/>
            <rFont val="Tahoma"/>
            <family val="2"/>
          </rPr>
          <t xml:space="preserve">
- Biology
- Combined Science (Biology)</t>
        </r>
      </text>
    </comment>
    <comment ref="C257" authorId="0" shapeId="0" xr:uid="{00000000-0006-0000-0200-0000C4000000}">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C258" authorId="0" shapeId="0" xr:uid="{00000000-0006-0000-0200-0000C5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r>
          <rPr>
            <b/>
            <sz val="9"/>
            <color indexed="81"/>
            <rFont val="Tahoma"/>
            <family val="2"/>
          </rPr>
          <t xml:space="preserve">
</t>
        </r>
        <r>
          <rPr>
            <sz val="9"/>
            <color indexed="81"/>
            <rFont val="Tahoma"/>
            <family val="2"/>
          </rPr>
          <t xml:space="preserve">
The best 5 subjects must include </t>
        </r>
        <r>
          <rPr>
            <b/>
            <sz val="9"/>
            <color indexed="81"/>
            <rFont val="Tahoma"/>
            <family val="2"/>
          </rPr>
          <t xml:space="preserve">English Language and Mathematics.
</t>
        </r>
      </text>
    </comment>
    <comment ref="I258" authorId="0" shapeId="0" xr:uid="{00000000-0006-0000-0200-0000C6000000}">
      <text>
        <r>
          <rPr>
            <b/>
            <sz val="9"/>
            <color indexed="81"/>
            <rFont val="Tahoma"/>
            <family val="2"/>
          </rPr>
          <t>One of the following at Level 3 or above:</t>
        </r>
        <r>
          <rPr>
            <sz val="9"/>
            <color indexed="81"/>
            <rFont val="Tahoma"/>
            <family val="2"/>
          </rPr>
          <t xml:space="preserve">
- Physics
- Combined Science (With Physics)
</t>
        </r>
      </text>
    </comment>
    <comment ref="J258" authorId="0" shapeId="0" xr:uid="{00000000-0006-0000-0200-0000C7000000}">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C259" authorId="0" shapeId="0" xr:uid="{00000000-0006-0000-0200-0000C8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 xml:space="preserve">English Language </t>
        </r>
        <r>
          <rPr>
            <sz val="9"/>
            <color indexed="81"/>
            <rFont val="Tahoma"/>
            <family val="2"/>
          </rPr>
          <t>and</t>
        </r>
        <r>
          <rPr>
            <b/>
            <sz val="9"/>
            <color indexed="81"/>
            <rFont val="Tahoma"/>
            <family val="2"/>
          </rPr>
          <t xml:space="preserve"> Mathematics</t>
        </r>
        <r>
          <rPr>
            <sz val="9"/>
            <color indexed="81"/>
            <rFont val="Tahoma"/>
            <family val="2"/>
          </rPr>
          <t xml:space="preserve">.
</t>
        </r>
      </text>
    </comment>
    <comment ref="I259" authorId="0" shapeId="0" xr:uid="{00000000-0006-0000-0200-0000C9000000}">
      <text>
        <r>
          <rPr>
            <b/>
            <sz val="9"/>
            <color indexed="81"/>
            <rFont val="Tahoma"/>
            <family val="2"/>
          </rPr>
          <t>One of the following at Level 3 or above:</t>
        </r>
        <r>
          <rPr>
            <sz val="9"/>
            <color indexed="81"/>
            <rFont val="Tahoma"/>
            <family val="2"/>
          </rPr>
          <t xml:space="preserve">
- Physics
- Combined Science (With Physics)
</t>
        </r>
      </text>
    </comment>
    <comment ref="J259" authorId="0" shapeId="0" xr:uid="{00000000-0006-0000-0200-0000CA000000}">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C260" authorId="0" shapeId="0" xr:uid="{00000000-0006-0000-0200-0000CB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t>
        </r>
        <r>
          <rPr>
            <b/>
            <sz val="9"/>
            <color indexed="81"/>
            <rFont val="Tahoma"/>
            <family val="2"/>
          </rPr>
          <t xml:space="preserve"> English Language</t>
        </r>
        <r>
          <rPr>
            <sz val="9"/>
            <color indexed="81"/>
            <rFont val="Tahoma"/>
            <family val="2"/>
          </rPr>
          <t xml:space="preserve"> and </t>
        </r>
        <r>
          <rPr>
            <b/>
            <sz val="9"/>
            <color indexed="81"/>
            <rFont val="Tahoma"/>
            <family val="2"/>
          </rPr>
          <t>Mathematics.</t>
        </r>
        <r>
          <rPr>
            <sz val="9"/>
            <color indexed="81"/>
            <rFont val="Tahoma"/>
            <family val="2"/>
          </rPr>
          <t xml:space="preserve">
</t>
        </r>
      </text>
    </comment>
    <comment ref="I260" authorId="0" shapeId="0" xr:uid="{00000000-0006-0000-0200-0000CC000000}">
      <text>
        <r>
          <rPr>
            <b/>
            <sz val="9"/>
            <color indexed="81"/>
            <rFont val="Tahoma"/>
            <family val="2"/>
          </rPr>
          <t>One of the following at Level 3 or above:</t>
        </r>
        <r>
          <rPr>
            <sz val="9"/>
            <color indexed="81"/>
            <rFont val="Tahoma"/>
            <family val="2"/>
          </rPr>
          <t xml:space="preserve">
- Physics
- Combined Science (With Physics)
</t>
        </r>
      </text>
    </comment>
    <comment ref="J260" authorId="0" shapeId="0" xr:uid="{00000000-0006-0000-0200-0000CD000000}">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C261" authorId="0" shapeId="0" xr:uid="{00000000-0006-0000-0200-0000CE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5 subjects must include </t>
        </r>
        <r>
          <rPr>
            <b/>
            <sz val="9"/>
            <color indexed="81"/>
            <rFont val="Tahoma"/>
            <family val="2"/>
          </rPr>
          <t>English Language</t>
        </r>
        <r>
          <rPr>
            <sz val="9"/>
            <color indexed="81"/>
            <rFont val="Tahoma"/>
            <family val="2"/>
          </rPr>
          <t xml:space="preserve"> and </t>
        </r>
        <r>
          <rPr>
            <b/>
            <sz val="9"/>
            <color indexed="81"/>
            <rFont val="Tahoma"/>
            <family val="2"/>
          </rPr>
          <t>Mathematics</t>
        </r>
        <r>
          <rPr>
            <sz val="9"/>
            <color indexed="81"/>
            <rFont val="Tahoma"/>
            <family val="2"/>
          </rPr>
          <t>.</t>
        </r>
      </text>
    </comment>
    <comment ref="I261" authorId="0" shapeId="0" xr:uid="{00000000-0006-0000-0200-0000CF000000}">
      <text>
        <r>
          <rPr>
            <b/>
            <sz val="9"/>
            <color indexed="81"/>
            <rFont val="Tahoma"/>
            <family val="2"/>
          </rPr>
          <t>One of the following at Level 3 or above:</t>
        </r>
        <r>
          <rPr>
            <sz val="9"/>
            <color indexed="81"/>
            <rFont val="Tahoma"/>
            <family val="2"/>
          </rPr>
          <t xml:space="preserve">
- Physics
- Combined Science (With Physics)
</t>
        </r>
      </text>
    </comment>
    <comment ref="J261" authorId="0" shapeId="0" xr:uid="{00000000-0006-0000-0200-0000D0000000}">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C262" authorId="0" shapeId="0" xr:uid="{00000000-0006-0000-0200-0000D1000000}">
      <text>
        <r>
          <rPr>
            <sz val="9"/>
            <color indexed="81"/>
            <rFont val="Tahoma"/>
            <family val="2"/>
          </rPr>
          <t xml:space="preserve">The best 6 subjects must include </t>
        </r>
        <r>
          <rPr>
            <b/>
            <sz val="9"/>
            <color indexed="81"/>
            <rFont val="Tahoma"/>
            <family val="2"/>
          </rPr>
          <t>English Language</t>
        </r>
        <r>
          <rPr>
            <sz val="9"/>
            <color indexed="81"/>
            <rFont val="Tahoma"/>
            <family val="2"/>
          </rPr>
          <t xml:space="preserve">
</t>
        </r>
      </text>
    </comment>
    <comment ref="C263" authorId="0" shapeId="0" xr:uid="{00000000-0006-0000-0200-0000D2000000}">
      <text>
        <r>
          <rPr>
            <sz val="9"/>
            <color indexed="81"/>
            <rFont val="Tahoma"/>
            <family val="2"/>
          </rPr>
          <t xml:space="preserve">The best 6 subjects must include </t>
        </r>
        <r>
          <rPr>
            <b/>
            <sz val="9"/>
            <color indexed="81"/>
            <rFont val="Tahoma"/>
            <family val="2"/>
          </rPr>
          <t>English Language</t>
        </r>
      </text>
    </comment>
    <comment ref="C264" authorId="0" shapeId="0" xr:uid="{00000000-0006-0000-0200-0000D3000000}">
      <text>
        <r>
          <rPr>
            <sz val="9"/>
            <color indexed="81"/>
            <rFont val="Tahoma"/>
            <family val="2"/>
          </rPr>
          <t xml:space="preserve">Consideration of both Category A and C subjects, </t>
        </r>
        <r>
          <rPr>
            <b/>
            <sz val="9"/>
            <color indexed="81"/>
            <rFont val="Tahoma"/>
            <family val="2"/>
          </rPr>
          <t xml:space="preserve">excluding M1/M2.
</t>
        </r>
      </text>
    </comment>
    <comment ref="C265" authorId="0" shapeId="0" xr:uid="{00000000-0006-0000-0200-0000D4000000}">
      <text>
        <r>
          <rPr>
            <sz val="9"/>
            <color indexed="81"/>
            <rFont val="Tahoma"/>
            <family val="2"/>
          </rPr>
          <t xml:space="preserve">The score of </t>
        </r>
        <r>
          <rPr>
            <b/>
            <sz val="9"/>
            <color indexed="81"/>
            <rFont val="Tahoma"/>
            <family val="2"/>
          </rPr>
          <t xml:space="preserve">Mathematics compulsory </t>
        </r>
        <r>
          <rPr>
            <sz val="9"/>
            <color indexed="81"/>
            <rFont val="Tahoma"/>
            <family val="2"/>
          </rPr>
          <t xml:space="preserve">part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[MA+(M1/M2*0.5)]/1.5</t>
        </r>
      </text>
    </comment>
    <comment ref="I265" authorId="1" shapeId="0" xr:uid="{00000000-0006-0000-0200-0000D5000000}">
      <text>
        <r>
          <rPr>
            <b/>
            <sz val="9"/>
            <color indexed="81"/>
            <rFont val="Tahoma"/>
            <family val="2"/>
          </rPr>
          <t xml:space="preserve">One of the following at Level 3 or above: 
- </t>
        </r>
        <r>
          <rPr>
            <sz val="9"/>
            <color indexed="81"/>
            <rFont val="Tahoma"/>
            <family val="2"/>
          </rPr>
          <t>Chemistry
- Combined Science (With Chemistry)</t>
        </r>
      </text>
    </comment>
    <comment ref="C266" authorId="0" shapeId="0" xr:uid="{00000000-0006-0000-0200-0000D6000000}">
      <text>
        <r>
          <rPr>
            <sz val="9"/>
            <color indexed="81"/>
            <rFont val="Tahoma"/>
            <family val="2"/>
          </rPr>
          <t xml:space="preserve">Consideration of both Category A and C subjects, </t>
        </r>
        <r>
          <rPr>
            <b/>
            <sz val="9"/>
            <color indexed="81"/>
            <rFont val="Tahoma"/>
            <family val="2"/>
          </rPr>
          <t xml:space="preserve">excluding M1/M2.
</t>
        </r>
      </text>
    </comment>
    <comment ref="C267" authorId="0" shapeId="0" xr:uid="{00000000-0006-0000-0200-0000D7000000}">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I267" authorId="0" shapeId="0" xr:uid="{00000000-0006-0000-0200-0000D8000000}">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C268" authorId="0" shapeId="0" xr:uid="{00000000-0006-0000-0200-0000D9000000}">
      <text>
        <r>
          <rPr>
            <sz val="9"/>
            <color indexed="81"/>
            <rFont val="Tahoma"/>
            <family val="2"/>
          </rPr>
          <t xml:space="preserve">The score of </t>
        </r>
        <r>
          <rPr>
            <b/>
            <sz val="9"/>
            <color indexed="81"/>
            <rFont val="Tahoma"/>
            <family val="2"/>
          </rPr>
          <t>Mathematics compulsory part</t>
        </r>
        <r>
          <rPr>
            <sz val="9"/>
            <color indexed="81"/>
            <rFont val="Tahoma"/>
            <family val="2"/>
          </rPr>
          <t xml:space="preserve"> (MA) or the </t>
        </r>
        <r>
          <rPr>
            <b/>
            <sz val="9"/>
            <color indexed="81"/>
            <rFont val="Tahoma"/>
            <family val="2"/>
          </rPr>
          <t>combined score of
MA and M1/M2</t>
        </r>
        <r>
          <rPr>
            <sz val="9"/>
            <color indexed="81"/>
            <rFont val="Tahoma"/>
            <family val="2"/>
          </rPr>
          <t xml:space="preserve"> calculated as below, whichever is higher, will be taken into
consideration.
</t>
        </r>
        <r>
          <rPr>
            <b/>
            <sz val="9"/>
            <color indexed="81"/>
            <rFont val="Tahoma"/>
            <family val="2"/>
          </rPr>
          <t xml:space="preserve">
[MA+(M1/M2*0.5)]/1.5</t>
        </r>
        <r>
          <rPr>
            <sz val="9"/>
            <color indexed="81"/>
            <rFont val="Tahoma"/>
            <family val="2"/>
          </rPr>
          <t xml:space="preserve">
</t>
        </r>
      </text>
    </comment>
    <comment ref="I268" authorId="1" shapeId="0" xr:uid="{00000000-0006-0000-0200-0000DA000000}">
      <text>
        <r>
          <rPr>
            <b/>
            <sz val="9"/>
            <color indexed="81"/>
            <rFont val="Tahoma"/>
            <family val="2"/>
          </rPr>
          <t xml:space="preserve">One of the following at Level 3 or above: 
- </t>
        </r>
        <r>
          <rPr>
            <sz val="9"/>
            <color indexed="81"/>
            <rFont val="Tahoma"/>
            <family val="2"/>
          </rPr>
          <t>Chemistry
- Combined Science (With Chemistry)</t>
        </r>
      </text>
    </comment>
    <comment ref="C269" authorId="0" shapeId="0" xr:uid="{00000000-0006-0000-0200-0000DB000000}">
      <text>
        <r>
          <rPr>
            <sz val="9"/>
            <color indexed="81"/>
            <rFont val="Tahoma"/>
            <family val="2"/>
          </rPr>
          <t xml:space="preserve">The score of </t>
        </r>
        <r>
          <rPr>
            <b/>
            <sz val="9"/>
            <color indexed="81"/>
            <rFont val="Tahoma"/>
            <family val="2"/>
          </rPr>
          <t xml:space="preserve">Mathematics compulsory part </t>
        </r>
        <r>
          <rPr>
            <sz val="9"/>
            <color indexed="81"/>
            <rFont val="Tahoma"/>
            <family val="2"/>
          </rPr>
          <t>(MA) or the</t>
        </r>
        <r>
          <rPr>
            <b/>
            <sz val="9"/>
            <color indexed="81"/>
            <rFont val="Tahoma"/>
            <family val="2"/>
          </rPr>
          <t xml:space="preserve"> combined score of
MA and M1/M2</t>
        </r>
        <r>
          <rPr>
            <sz val="9"/>
            <color indexed="81"/>
            <rFont val="Tahoma"/>
            <family val="2"/>
          </rPr>
          <t xml:space="preserve"> calculated as below, whichever is higher, will be taken into
consideration.
</t>
        </r>
        <r>
          <rPr>
            <b/>
            <sz val="9"/>
            <color indexed="81"/>
            <rFont val="Tahoma"/>
            <family val="2"/>
          </rPr>
          <t>[MA+(M1/M2*0.5)]/1.5</t>
        </r>
        <r>
          <rPr>
            <sz val="9"/>
            <color indexed="81"/>
            <rFont val="Tahoma"/>
            <family val="2"/>
          </rPr>
          <t xml:space="preserve">
</t>
        </r>
      </text>
    </comment>
    <comment ref="I269" authorId="1" shapeId="0" xr:uid="{00000000-0006-0000-0200-0000DC000000}">
      <text>
        <r>
          <rPr>
            <b/>
            <sz val="9"/>
            <color indexed="81"/>
            <rFont val="Tahoma"/>
            <family val="2"/>
          </rPr>
          <t xml:space="preserve">One of the following at Level 3 or above: 
- </t>
        </r>
        <r>
          <rPr>
            <sz val="9"/>
            <color indexed="81"/>
            <rFont val="Tahoma"/>
            <family val="2"/>
          </rPr>
          <t xml:space="preserve">Chemistry
- Biology
- Combined Science
</t>
        </r>
      </text>
    </comment>
    <comment ref="C270" authorId="1" shapeId="0" xr:uid="{00000000-0006-0000-0200-0000DD000000}">
      <text>
        <r>
          <rPr>
            <b/>
            <sz val="9"/>
            <color indexed="81"/>
            <rFont val="Tahoma"/>
            <family val="2"/>
          </rPr>
          <t>2021</t>
        </r>
        <r>
          <rPr>
            <b/>
            <sz val="9"/>
            <color indexed="81"/>
            <rFont val="細明體"/>
            <family val="3"/>
            <charset val="136"/>
          </rPr>
          <t>年新科目</t>
        </r>
        <r>
          <rPr>
            <sz val="9"/>
            <color indexed="81"/>
            <rFont val="Tahoma"/>
            <family val="2"/>
          </rPr>
          <t xml:space="preserve">
The best 6 subjects must include </t>
        </r>
        <r>
          <rPr>
            <b/>
            <sz val="9"/>
            <color indexed="81"/>
            <rFont val="Tahoma"/>
            <family val="2"/>
          </rPr>
          <t>English Language</t>
        </r>
        <r>
          <rPr>
            <sz val="9"/>
            <color indexed="81"/>
            <rFont val="Tahoma"/>
            <family val="2"/>
          </rPr>
          <t xml:space="preserve">, </t>
        </r>
        <r>
          <rPr>
            <b/>
            <sz val="9"/>
            <color indexed="81"/>
            <rFont val="Tahoma"/>
            <family val="2"/>
          </rPr>
          <t>Mathematics</t>
        </r>
        <r>
          <rPr>
            <sz val="9"/>
            <color indexed="81"/>
            <rFont val="Tahoma"/>
            <family val="2"/>
          </rPr>
          <t xml:space="preserve">, </t>
        </r>
        <r>
          <rPr>
            <b/>
            <sz val="9"/>
            <color indexed="81"/>
            <rFont val="Tahoma"/>
            <family val="2"/>
          </rPr>
          <t>M1/M2</t>
        </r>
        <r>
          <rPr>
            <sz val="9"/>
            <color indexed="81"/>
            <rFont val="Tahoma"/>
            <family val="2"/>
          </rPr>
          <t xml:space="preserve">, </t>
        </r>
        <r>
          <rPr>
            <b/>
            <sz val="9"/>
            <color indexed="81"/>
            <rFont val="Tahoma"/>
            <family val="2"/>
          </rPr>
          <t>best two Science elective</t>
        </r>
        <r>
          <rPr>
            <sz val="9"/>
            <color indexed="81"/>
            <rFont val="Tahoma"/>
            <family val="2"/>
          </rPr>
          <t xml:space="preserve"> subjects*, plus the best one among the remaining subjects, </t>
        </r>
        <r>
          <rPr>
            <b/>
            <sz val="9"/>
            <color indexed="81"/>
            <rFont val="Tahoma"/>
            <family val="2"/>
          </rPr>
          <t xml:space="preserve">excluding Integrated Science.
</t>
        </r>
        <r>
          <rPr>
            <b/>
            <sz val="9"/>
            <color indexed="81"/>
            <rFont val="細明體"/>
            <family val="3"/>
            <charset val="136"/>
          </rPr>
          <t>未公佈詳細科目比重</t>
        </r>
        <r>
          <rPr>
            <b/>
            <sz val="9"/>
            <color indexed="81"/>
            <rFont val="Tahoma"/>
            <family val="2"/>
          </rPr>
          <t xml:space="preserve">
</t>
        </r>
        <r>
          <rPr>
            <sz val="9"/>
            <color indexed="81"/>
            <rFont val="Tahoma"/>
            <family val="2"/>
          </rPr>
          <t>*: Biology, Chemistry, Physics, Combined Science.</t>
        </r>
      </text>
    </comment>
    <comment ref="F270" authorId="1" shapeId="0" xr:uid="{00000000-0006-0000-0200-0000DE000000}">
      <text>
        <r>
          <rPr>
            <sz val="9"/>
            <color indexed="81"/>
            <rFont val="Tahoma"/>
            <family val="2"/>
          </rPr>
          <t>Candidates with</t>
        </r>
        <r>
          <rPr>
            <b/>
            <sz val="9"/>
            <color indexed="81"/>
            <rFont val="Tahoma"/>
            <family val="2"/>
          </rPr>
          <t xml:space="preserve"> 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t>
        </r>
      </text>
    </comment>
    <comment ref="I270" authorId="1" shapeId="0" xr:uid="{00000000-0006-0000-0200-0000DF000000}">
      <text>
        <r>
          <rPr>
            <b/>
            <sz val="9"/>
            <color indexed="81"/>
            <rFont val="Tahoma"/>
            <family val="2"/>
          </rPr>
          <t>Two of te followings at Level 3 or above</t>
        </r>
        <r>
          <rPr>
            <sz val="9"/>
            <color indexed="81"/>
            <rFont val="Tahoma"/>
            <family val="2"/>
          </rPr>
          <t>: 
- Biology
- Chemistry
- Physics
- Combined Science</t>
        </r>
      </text>
    </comment>
    <comment ref="J270" authorId="1" shapeId="0" xr:uid="{00000000-0006-0000-0200-0000E0000000}">
      <text>
        <r>
          <rPr>
            <b/>
            <sz val="9"/>
            <color indexed="81"/>
            <rFont val="Tahoma"/>
            <family val="2"/>
          </rPr>
          <t>Level 4 or above in M1/2 is required.</t>
        </r>
        <r>
          <rPr>
            <sz val="9"/>
            <color indexed="81"/>
            <rFont val="Tahoma"/>
            <family val="2"/>
          </rPr>
          <t xml:space="preserve">
</t>
        </r>
      </text>
    </comment>
    <comment ref="C271" authorId="0" shapeId="0" xr:uid="{00000000-0006-0000-0200-0000E1000000}">
      <text>
        <r>
          <rPr>
            <sz val="9"/>
            <color indexed="81"/>
            <rFont val="Tahoma"/>
            <family val="2"/>
          </rPr>
          <t xml:space="preserve">The best 6 subjects must include </t>
        </r>
        <r>
          <rPr>
            <b/>
            <sz val="9"/>
            <color indexed="81"/>
            <rFont val="Tahoma"/>
            <family val="2"/>
          </rPr>
          <t xml:space="preserve">English Language, Mathematics, M1/M2.
</t>
        </r>
        <r>
          <rPr>
            <sz val="9"/>
            <color indexed="81"/>
            <rFont val="Tahoma"/>
            <family val="2"/>
          </rPr>
          <t xml:space="preserve">
</t>
        </r>
        <r>
          <rPr>
            <b/>
            <sz val="9"/>
            <color indexed="81"/>
            <rFont val="細明體"/>
            <family val="3"/>
            <charset val="136"/>
          </rPr>
          <t>較高比重</t>
        </r>
        <r>
          <rPr>
            <b/>
            <sz val="9"/>
            <color indexed="81"/>
            <rFont val="Tahoma"/>
            <family val="2"/>
          </rPr>
          <t>:</t>
        </r>
        <r>
          <rPr>
            <sz val="9"/>
            <color indexed="81"/>
            <rFont val="Tahoma"/>
            <family val="2"/>
          </rPr>
          <t xml:space="preserve"> English Language, Mathematics, M1/M2
</t>
        </r>
      </text>
    </comment>
    <comment ref="J271" authorId="0" shapeId="0" xr:uid="{00000000-0006-0000-0200-0000E2000000}">
      <text>
        <r>
          <rPr>
            <b/>
            <sz val="9"/>
            <color indexed="81"/>
            <rFont val="Tahoma"/>
            <family val="2"/>
          </rPr>
          <t>M1/2 is required.</t>
        </r>
        <r>
          <rPr>
            <sz val="9"/>
            <color indexed="81"/>
            <rFont val="Tahoma"/>
            <family val="2"/>
          </rPr>
          <t xml:space="preserve">
</t>
        </r>
      </text>
    </comment>
    <comment ref="C272" authorId="0" shapeId="0" xr:uid="{00000000-0006-0000-0200-0000E3000000}">
      <text>
        <r>
          <rPr>
            <sz val="9"/>
            <color indexed="81"/>
            <rFont val="Tahoma"/>
            <family val="2"/>
          </rPr>
          <t xml:space="preserve">The best 5 subjects must include </t>
        </r>
        <r>
          <rPr>
            <b/>
            <sz val="9"/>
            <color indexed="81"/>
            <rFont val="Tahoma"/>
            <family val="2"/>
          </rPr>
          <t>English Language, Mathematics</t>
        </r>
        <r>
          <rPr>
            <sz val="9"/>
            <color indexed="81"/>
            <rFont val="Tahoma"/>
            <family val="2"/>
          </rPr>
          <t xml:space="preserve"> and the
</t>
        </r>
        <r>
          <rPr>
            <b/>
            <sz val="9"/>
            <color indexed="81"/>
            <rFont val="Tahoma"/>
            <family val="2"/>
          </rPr>
          <t>best Science elective</t>
        </r>
        <r>
          <rPr>
            <sz val="9"/>
            <color indexed="81"/>
            <rFont val="Tahoma"/>
            <family val="2"/>
          </rPr>
          <t xml:space="preserve"> subject*.
M1/M2 can be included.
</t>
        </r>
        <r>
          <rPr>
            <b/>
            <sz val="9"/>
            <color indexed="81"/>
            <rFont val="細明體"/>
            <family val="3"/>
            <charset val="136"/>
          </rPr>
          <t>最高比重</t>
        </r>
        <r>
          <rPr>
            <b/>
            <sz val="9"/>
            <color indexed="81"/>
            <rFont val="Tahoma"/>
            <family val="2"/>
          </rPr>
          <t xml:space="preserve">: </t>
        </r>
        <r>
          <rPr>
            <sz val="9"/>
            <color indexed="81"/>
            <rFont val="Tahoma"/>
            <family val="2"/>
          </rPr>
          <t xml:space="preserve">Mathematics, M1/M2, Science* Electives
</t>
        </r>
        <r>
          <rPr>
            <b/>
            <sz val="9"/>
            <color indexed="81"/>
            <rFont val="細明體"/>
            <family val="3"/>
            <charset val="136"/>
          </rPr>
          <t>較高比重</t>
        </r>
        <r>
          <rPr>
            <b/>
            <sz val="9"/>
            <color indexed="81"/>
            <rFont val="Tahoma"/>
            <family val="2"/>
          </rPr>
          <t>:</t>
        </r>
        <r>
          <rPr>
            <sz val="9"/>
            <color indexed="81"/>
            <rFont val="Tahoma"/>
            <family val="2"/>
          </rPr>
          <t xml:space="preserve"> English Language, Non-Science* Electives
*: Biology, Chemistry, Physics, Combined Science, Integrated Science.
</t>
        </r>
      </text>
    </comment>
    <comment ref="I272" authorId="0" shapeId="0" xr:uid="{00000000-0006-0000-0200-0000E4000000}">
      <text>
        <r>
          <rPr>
            <b/>
            <sz val="9"/>
            <color indexed="81"/>
            <rFont val="Tahoma"/>
            <family val="2"/>
          </rPr>
          <t>One of the following at Level 3 or above:</t>
        </r>
        <r>
          <rPr>
            <sz val="9"/>
            <color indexed="81"/>
            <rFont val="Tahoma"/>
            <family val="2"/>
          </rPr>
          <t xml:space="preserve">
- Biology
- Chemistry
- Physics
- Combined Science
- Integrated Science</t>
        </r>
      </text>
    </comment>
    <comment ref="C273" authorId="0" shapeId="0" xr:uid="{00000000-0006-0000-0200-0000E5000000}">
      <text>
        <r>
          <rPr>
            <sz val="9"/>
            <color indexed="81"/>
            <rFont val="Tahoma"/>
            <family val="2"/>
          </rPr>
          <t xml:space="preserve">Consideration of both Category A and C subjects, </t>
        </r>
        <r>
          <rPr>
            <b/>
            <sz val="9"/>
            <color indexed="81"/>
            <rFont val="Tahoma"/>
            <family val="2"/>
          </rPr>
          <t>excluding M1/M2</t>
        </r>
      </text>
    </comment>
    <comment ref="C274" authorId="0" shapeId="0" xr:uid="{00000000-0006-0000-0200-0000E6000000}">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C276" authorId="0" shapeId="0" xr:uid="{00000000-0006-0000-0200-0000E7000000}">
      <text>
        <r>
          <rPr>
            <sz val="9"/>
            <color indexed="81"/>
            <rFont val="Tahoma"/>
            <family val="2"/>
          </rPr>
          <t xml:space="preserve">Consideration of both Category A and C subjects, </t>
        </r>
        <r>
          <rPr>
            <b/>
            <sz val="9"/>
            <color indexed="81"/>
            <rFont val="Tahoma"/>
            <family val="2"/>
          </rPr>
          <t>excluding M1/M2</t>
        </r>
        <r>
          <rPr>
            <sz val="9"/>
            <color indexed="81"/>
            <rFont val="Tahoma"/>
            <family val="2"/>
          </rPr>
          <t xml:space="preserve">
</t>
        </r>
      </text>
    </comment>
    <comment ref="C277" authorId="0" shapeId="0" xr:uid="{00000000-0006-0000-0200-0000E8000000}">
      <text>
        <r>
          <rPr>
            <sz val="9"/>
            <color indexed="81"/>
            <rFont val="Tahoma"/>
            <family val="2"/>
          </rPr>
          <t xml:space="preserve">Consideration of both Category A and C subjects, </t>
        </r>
        <r>
          <rPr>
            <b/>
            <sz val="9"/>
            <color indexed="81"/>
            <rFont val="Tahoma"/>
            <family val="2"/>
          </rPr>
          <t>excluding M1/M2</t>
        </r>
      </text>
    </comment>
    <comment ref="F277" authorId="1" shapeId="0" xr:uid="{00000000-0006-0000-0200-0000E9000000}">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J277" authorId="0" shapeId="0" xr:uid="{00000000-0006-0000-0200-0000EA000000}">
      <text>
        <r>
          <rPr>
            <sz val="9"/>
            <color indexed="81"/>
            <rFont val="Tahoma"/>
            <family val="2"/>
          </rPr>
          <t xml:space="preserve">Level 3 or above in </t>
        </r>
        <r>
          <rPr>
            <b/>
            <sz val="9"/>
            <color indexed="81"/>
            <rFont val="Tahoma"/>
            <family val="2"/>
          </rPr>
          <t xml:space="preserve">M1/2 is preferred </t>
        </r>
        <r>
          <rPr>
            <sz val="9"/>
            <color indexed="81"/>
            <rFont val="Tahoma"/>
            <family val="2"/>
          </rPr>
          <t xml:space="preserve">(but not required).
</t>
        </r>
      </text>
    </comment>
    <comment ref="C278" authorId="0" shapeId="0" xr:uid="{00000000-0006-0000-0200-0000EB000000}">
      <text>
        <r>
          <rPr>
            <sz val="9"/>
            <color indexed="81"/>
            <rFont val="Tahoma"/>
            <family val="2"/>
          </rPr>
          <t xml:space="preserve">The best 6 subjects must include </t>
        </r>
        <r>
          <rPr>
            <b/>
            <sz val="9"/>
            <color indexed="81"/>
            <rFont val="Tahoma"/>
            <family val="2"/>
          </rPr>
          <t>English Language, Mathematics, M1/M2.</t>
        </r>
        <r>
          <rPr>
            <sz val="9"/>
            <color indexed="81"/>
            <rFont val="Tahoma"/>
            <family val="2"/>
          </rPr>
          <t xml:space="preserve">
</t>
        </r>
        <r>
          <rPr>
            <b/>
            <sz val="9"/>
            <color indexed="81"/>
            <rFont val="細明體"/>
            <family val="3"/>
            <charset val="136"/>
          </rPr>
          <t>最高比重</t>
        </r>
        <r>
          <rPr>
            <b/>
            <sz val="9"/>
            <color indexed="81"/>
            <rFont val="Tahoma"/>
            <family val="2"/>
          </rPr>
          <t>:</t>
        </r>
        <r>
          <rPr>
            <sz val="9"/>
            <color indexed="81"/>
            <rFont val="Tahoma"/>
            <family val="2"/>
          </rPr>
          <t xml:space="preserve"> English Language, Mathematics, M1/M2
</t>
        </r>
        <r>
          <rPr>
            <b/>
            <sz val="9"/>
            <color indexed="81"/>
            <rFont val="細明體"/>
            <family val="3"/>
            <charset val="136"/>
          </rPr>
          <t>較高比重</t>
        </r>
        <r>
          <rPr>
            <b/>
            <sz val="9"/>
            <color indexed="81"/>
            <rFont val="Tahoma"/>
            <family val="2"/>
          </rPr>
          <t>:</t>
        </r>
        <r>
          <rPr>
            <sz val="9"/>
            <color indexed="81"/>
            <rFont val="Tahoma"/>
            <family val="2"/>
          </rPr>
          <t xml:space="preserve"> Science Electives
</t>
        </r>
      </text>
    </comment>
    <comment ref="F278" authorId="1" shapeId="0" xr:uid="{00000000-0006-0000-0200-0000EC000000}">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J278" authorId="0" shapeId="0" xr:uid="{00000000-0006-0000-0200-0000ED000000}">
      <text>
        <r>
          <rPr>
            <b/>
            <sz val="9"/>
            <color indexed="81"/>
            <rFont val="Tahoma"/>
            <family val="2"/>
          </rPr>
          <t>M1/2 is required.</t>
        </r>
        <r>
          <rPr>
            <sz val="9"/>
            <color indexed="81"/>
            <rFont val="Tahoma"/>
            <family val="2"/>
          </rPr>
          <t xml:space="preserve">
</t>
        </r>
      </text>
    </comment>
    <comment ref="C279" authorId="1" shapeId="0" xr:uid="{00000000-0006-0000-0200-0000EE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t>
        </r>
      </text>
    </comment>
    <comment ref="F279" authorId="1" shapeId="0" xr:uid="{00000000-0006-0000-0200-0000EF000000}">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C280" authorId="0" shapeId="0" xr:uid="{00000000-0006-0000-0200-0000F0000000}">
      <text>
        <r>
          <rPr>
            <sz val="9"/>
            <color indexed="81"/>
            <rFont val="Tahoma"/>
            <family val="2"/>
          </rPr>
          <t xml:space="preserve">Consideration of both Category A and C subjects, in which </t>
        </r>
        <r>
          <rPr>
            <b/>
            <sz val="9"/>
            <color indexed="81"/>
            <rFont val="Tahoma"/>
            <family val="2"/>
          </rPr>
          <t>M1/M2 can be
included</t>
        </r>
        <r>
          <rPr>
            <sz val="9"/>
            <color indexed="81"/>
            <rFont val="Tahoma"/>
            <family val="2"/>
          </rPr>
          <t xml:space="preserve"> as an elective.
The best 6 subjects must include </t>
        </r>
        <r>
          <rPr>
            <b/>
            <sz val="9"/>
            <color indexed="81"/>
            <rFont val="Tahoma"/>
            <family val="2"/>
          </rPr>
          <t>English Language, Mathematics.</t>
        </r>
        <r>
          <rPr>
            <sz val="9"/>
            <color indexed="81"/>
            <rFont val="Tahoma"/>
            <family val="2"/>
          </rPr>
          <t xml:space="preserve">
</t>
        </r>
      </text>
    </comment>
    <comment ref="F280" authorId="1" shapeId="0" xr:uid="{00000000-0006-0000-0200-0000F1000000}">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C281" authorId="0" shapeId="0" xr:uid="{00000000-0006-0000-0200-0000F2000000}">
      <text>
        <r>
          <rPr>
            <sz val="9"/>
            <color indexed="81"/>
            <rFont val="Tahoma"/>
            <family val="2"/>
          </rPr>
          <t xml:space="preserve">Consideration of both Category A and C subjects, </t>
        </r>
        <r>
          <rPr>
            <b/>
            <sz val="9"/>
            <color indexed="81"/>
            <rFont val="Tahoma"/>
            <family val="2"/>
          </rPr>
          <t>excluding M1/M2.</t>
        </r>
      </text>
    </comment>
    <comment ref="F281" authorId="1" shapeId="0" xr:uid="{00000000-0006-0000-0200-0000F3000000}">
      <text>
        <r>
          <rPr>
            <sz val="9"/>
            <color indexed="81"/>
            <rFont val="Tahoma"/>
            <family val="2"/>
          </rPr>
          <t xml:space="preserve">Candidates with </t>
        </r>
        <r>
          <rPr>
            <b/>
            <sz val="9"/>
            <color indexed="81"/>
            <rFont val="Tahoma"/>
            <family val="2"/>
          </rPr>
          <t>level 4 in English Language</t>
        </r>
        <r>
          <rPr>
            <sz val="9"/>
            <color indexed="81"/>
            <rFont val="Tahoma"/>
            <family val="2"/>
          </rPr>
          <t xml:space="preserve"> and good results in other HKDSE subjects will be exceptionally considered on a case by case basis. If these candidates are admitted, they will be required to take 6 additional credits in Core University English to complete their degree studies.
</t>
        </r>
      </text>
    </comment>
    <comment ref="E300" authorId="1" shapeId="0" xr:uid="{00000000-0006-0000-0200-0000F4000000}">
      <text>
        <r>
          <rPr>
            <b/>
            <sz val="9"/>
            <color indexed="81"/>
            <rFont val="Tahoma"/>
            <family val="2"/>
          </rPr>
          <t>2020</t>
        </r>
        <r>
          <rPr>
            <b/>
            <sz val="9"/>
            <color indexed="81"/>
            <rFont val="細明體"/>
            <family val="3"/>
            <charset val="136"/>
          </rPr>
          <t>年收生平均為</t>
        </r>
        <r>
          <rPr>
            <b/>
            <sz val="9"/>
            <color indexed="81"/>
            <rFont val="Tahoma"/>
            <family val="2"/>
          </rPr>
          <t>: 5</t>
        </r>
        <r>
          <rPr>
            <sz val="9"/>
            <color indexed="81"/>
            <rFont val="Tahoma"/>
            <family val="2"/>
          </rPr>
          <t xml:space="preserve">
</t>
        </r>
      </text>
    </comment>
    <comment ref="F301" authorId="1" shapeId="0" xr:uid="{00000000-0006-0000-0200-0000F5000000}">
      <text>
        <r>
          <rPr>
            <b/>
            <sz val="9"/>
            <color indexed="81"/>
            <rFont val="Tahoma"/>
            <family val="2"/>
          </rPr>
          <t>2020</t>
        </r>
        <r>
          <rPr>
            <b/>
            <sz val="9"/>
            <color indexed="81"/>
            <rFont val="細明體"/>
            <family val="3"/>
            <charset val="136"/>
          </rPr>
          <t>年收生平均為</t>
        </r>
        <r>
          <rPr>
            <b/>
            <sz val="9"/>
            <color indexed="81"/>
            <rFont val="Tahoma"/>
            <family val="2"/>
          </rPr>
          <t>: 5</t>
        </r>
      </text>
    </comment>
    <comment ref="E312" authorId="1" shapeId="0" xr:uid="{00000000-0006-0000-0200-0000F6000000}">
      <text>
        <r>
          <rPr>
            <b/>
            <sz val="9"/>
            <color indexed="81"/>
            <rFont val="Tahoma"/>
            <family val="2"/>
          </rPr>
          <t>2020</t>
        </r>
        <r>
          <rPr>
            <b/>
            <sz val="9"/>
            <color indexed="81"/>
            <rFont val="細明體"/>
            <family val="3"/>
            <charset val="136"/>
          </rPr>
          <t>年收生平均為</t>
        </r>
        <r>
          <rPr>
            <b/>
            <sz val="9"/>
            <color indexed="81"/>
            <rFont val="Tahoma"/>
            <family val="2"/>
          </rPr>
          <t>: 5</t>
        </r>
        <r>
          <rPr>
            <sz val="9"/>
            <color indexed="81"/>
            <rFont val="Tahoma"/>
            <family val="2"/>
          </rPr>
          <t xml:space="preserve">
</t>
        </r>
      </text>
    </comment>
    <comment ref="F313" authorId="1" shapeId="0" xr:uid="{00000000-0006-0000-0200-0000F7000000}">
      <text>
        <r>
          <rPr>
            <b/>
            <sz val="9"/>
            <color indexed="81"/>
            <rFont val="Tahoma"/>
            <family val="2"/>
          </rPr>
          <t>2020</t>
        </r>
        <r>
          <rPr>
            <b/>
            <sz val="9"/>
            <color indexed="81"/>
            <rFont val="細明體"/>
            <family val="3"/>
            <charset val="136"/>
          </rPr>
          <t>年收生平均為</t>
        </r>
        <r>
          <rPr>
            <b/>
            <sz val="9"/>
            <color indexed="81"/>
            <rFont val="Tahoma"/>
            <family val="2"/>
          </rPr>
          <t>: 5</t>
        </r>
      </text>
    </comment>
    <comment ref="F321" authorId="1" shapeId="0" xr:uid="{00000000-0006-0000-0200-0000F8000000}">
      <text>
        <r>
          <rPr>
            <b/>
            <sz val="9"/>
            <color indexed="81"/>
            <rFont val="Tahoma"/>
            <family val="2"/>
          </rPr>
          <t>2020</t>
        </r>
        <r>
          <rPr>
            <b/>
            <sz val="9"/>
            <color indexed="81"/>
            <rFont val="細明體"/>
            <family val="3"/>
            <charset val="136"/>
          </rPr>
          <t>年收生平均為</t>
        </r>
        <r>
          <rPr>
            <b/>
            <sz val="9"/>
            <color indexed="81"/>
            <rFont val="Tahoma"/>
            <family val="2"/>
          </rPr>
          <t>: 5*</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K14" authorId="0" shapeId="0" xr:uid="{00000000-0006-0000-0300-000001000000}">
      <text>
        <r>
          <rPr>
            <b/>
            <sz val="9"/>
            <color indexed="81"/>
            <rFont val="細明體"/>
            <family val="3"/>
            <charset val="136"/>
          </rPr>
          <t>或</t>
        </r>
        <r>
          <rPr>
            <b/>
            <sz val="9"/>
            <color indexed="81"/>
            <rFont val="Tahoma"/>
            <family val="2"/>
          </rPr>
          <t>Mean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Chan</author>
    <author>CHAN, Koon Ho</author>
    <author>Michael</author>
  </authors>
  <commentList>
    <comment ref="R1" authorId="0" shapeId="0" xr:uid="{00000000-0006-0000-0500-000001000000}">
      <text>
        <r>
          <rPr>
            <sz val="9"/>
            <color indexed="81"/>
            <rFont val="Tahoma"/>
            <family val="2"/>
          </rPr>
          <t>Unspecified electives may include Category A elective subjects, Mathematics extended modules (M1/M2) (except for JS1801) and Category C other language subjects (at grade E or above) (except for JS1200, JS1201, JS1801, JS1805, JS1806 and JS1807)</t>
        </r>
      </text>
    </comment>
    <comment ref="M2" authorId="1" shapeId="0" xr:uid="{00000000-0006-0000-0500-000002000000}">
      <text>
        <r>
          <rPr>
            <sz val="9"/>
            <color indexed="81"/>
            <rFont val="Tahoma"/>
            <family val="2"/>
          </rPr>
          <t>Early/Mid-June 2021
(On a selective basis)</t>
        </r>
      </text>
    </comment>
    <comment ref="M3" authorId="1" shapeId="0" xr:uid="{00000000-0006-0000-0500-000003000000}">
      <text>
        <r>
          <rPr>
            <sz val="9"/>
            <color indexed="81"/>
            <rFont val="Tahoma"/>
            <family val="2"/>
          </rPr>
          <t>Early/Mid-June 2021
(On a selective basis)</t>
        </r>
      </text>
    </comment>
    <comment ref="E4" authorId="1" shapeId="0" xr:uid="{00000000-0006-0000-0500-000004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text>
    </comment>
    <comment ref="M4" authorId="1" shapeId="0" xr:uid="{00000000-0006-0000-0500-000005000000}">
      <text>
        <r>
          <rPr>
            <sz val="9"/>
            <color indexed="81"/>
            <rFont val="Tahoma"/>
            <family val="2"/>
          </rPr>
          <t>16-17 June 2021
(On a selective basis)</t>
        </r>
      </text>
    </comment>
    <comment ref="E5" authorId="1" shapeId="0" xr:uid="{00000000-0006-0000-0500-000006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text>
    </comment>
    <comment ref="M5" authorId="1" shapeId="0" xr:uid="{00000000-0006-0000-0500-000007000000}">
      <text>
        <r>
          <rPr>
            <sz val="9"/>
            <color indexed="81"/>
            <rFont val="Tahoma"/>
            <family val="2"/>
          </rPr>
          <t>31 May to 3 June 2021
(On a selective basis)</t>
        </r>
      </text>
    </comment>
    <comment ref="E6" authorId="0" shapeId="0" xr:uid="{00000000-0006-0000-0500-000008000000}">
      <text>
        <r>
          <rPr>
            <b/>
            <sz val="9"/>
            <color indexed="81"/>
            <rFont val="Tahoma"/>
            <family val="2"/>
          </rPr>
          <t>x1.5:</t>
        </r>
        <r>
          <rPr>
            <sz val="9"/>
            <color indexed="81"/>
            <rFont val="Tahoma"/>
            <family val="2"/>
          </rPr>
          <t xml:space="preserve"> </t>
        </r>
        <r>
          <rPr>
            <sz val="9"/>
            <color indexed="81"/>
            <rFont val="細明體"/>
            <family val="3"/>
            <charset val="136"/>
          </rPr>
          <t>英文</t>
        </r>
      </text>
    </comment>
    <comment ref="M6" authorId="1" shapeId="0" xr:uid="{00000000-0006-0000-0500-000009000000}">
      <text>
        <r>
          <rPr>
            <sz val="9"/>
            <color indexed="81"/>
            <rFont val="Tahoma"/>
            <family val="2"/>
          </rPr>
          <t>25-26 June 2021
(On a selective basis)</t>
        </r>
      </text>
    </comment>
    <comment ref="M10" authorId="1" shapeId="0" xr:uid="{00000000-0006-0000-0500-00000A000000}">
      <text>
        <r>
          <rPr>
            <sz val="9"/>
            <color indexed="81"/>
            <rFont val="Tahoma"/>
            <family val="2"/>
          </rPr>
          <t>June 2021
(On a selective basis)</t>
        </r>
      </text>
    </comment>
    <comment ref="M13" authorId="1" shapeId="0" xr:uid="{00000000-0006-0000-0500-00000B000000}">
      <text>
        <r>
          <rPr>
            <sz val="9"/>
            <color indexed="81"/>
            <rFont val="Tahoma"/>
            <family val="2"/>
          </rPr>
          <t>15-16 June 2021
(On a selective basis)</t>
        </r>
      </text>
    </comment>
    <comment ref="E16" authorId="0" shapeId="0" xr:uid="{00000000-0006-0000-0500-00000C000000}">
      <text>
        <r>
          <rPr>
            <b/>
            <sz val="9"/>
            <color indexed="81"/>
            <rFont val="Tahoma"/>
            <family val="2"/>
          </rPr>
          <t>x2:</t>
        </r>
        <r>
          <rPr>
            <sz val="9"/>
            <color indexed="81"/>
            <rFont val="Tahoma"/>
            <family val="2"/>
          </rPr>
          <t xml:space="preserve"> </t>
        </r>
        <r>
          <rPr>
            <sz val="9"/>
            <color indexed="81"/>
            <rFont val="細明體"/>
            <family val="3"/>
            <charset val="136"/>
          </rPr>
          <t>英文</t>
        </r>
      </text>
    </comment>
    <comment ref="E17" authorId="0" shapeId="0" xr:uid="{00000000-0006-0000-0500-00000D000000}">
      <text>
        <r>
          <rPr>
            <b/>
            <sz val="9"/>
            <color indexed="81"/>
            <rFont val="Tahoma"/>
            <family val="2"/>
          </rPr>
          <t xml:space="preserve">x2: </t>
        </r>
        <r>
          <rPr>
            <sz val="9"/>
            <color indexed="81"/>
            <rFont val="細明體"/>
            <family val="3"/>
            <charset val="136"/>
          </rPr>
          <t>英文</t>
        </r>
      </text>
    </comment>
    <comment ref="E18" authorId="0" shapeId="0" xr:uid="{00000000-0006-0000-0500-00000E000000}">
      <text>
        <r>
          <rPr>
            <b/>
            <sz val="9"/>
            <color indexed="81"/>
            <rFont val="Tahoma"/>
            <family val="2"/>
          </rPr>
          <t xml:space="preserve">x2: </t>
        </r>
        <r>
          <rPr>
            <sz val="9"/>
            <color indexed="81"/>
            <rFont val="細明體"/>
            <family val="3"/>
            <charset val="136"/>
          </rPr>
          <t xml:space="preserve">英文
</t>
        </r>
        <r>
          <rPr>
            <b/>
            <sz val="9"/>
            <color indexed="81"/>
            <rFont val="Tahoma"/>
            <family val="2"/>
          </rPr>
          <t xml:space="preserve">x1.5: </t>
        </r>
        <r>
          <rPr>
            <sz val="9"/>
            <color indexed="81"/>
            <rFont val="細明體"/>
            <family val="3"/>
            <charset val="136"/>
          </rPr>
          <t>數學</t>
        </r>
      </text>
    </comment>
    <comment ref="E19" authorId="0" shapeId="0" xr:uid="{00000000-0006-0000-0500-00000F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t>
        </r>
        <r>
          <rPr>
            <b/>
            <sz val="9"/>
            <color indexed="81"/>
            <rFont val="細明體"/>
            <family val="3"/>
            <charset val="136"/>
          </rPr>
          <t>無比重</t>
        </r>
        <r>
          <rPr>
            <b/>
            <sz val="9"/>
            <color indexed="81"/>
            <rFont val="Tahoma"/>
            <family val="2"/>
          </rPr>
          <t>)</t>
        </r>
        <r>
          <rPr>
            <b/>
            <sz val="9"/>
            <color indexed="81"/>
            <rFont val="細明體"/>
            <family val="3"/>
            <charset val="136"/>
          </rPr>
          <t>收生
此處仍以</t>
        </r>
        <r>
          <rPr>
            <b/>
            <sz val="9"/>
            <color indexed="81"/>
            <rFont val="Tahoma"/>
            <family val="2"/>
          </rPr>
          <t>4C2X (</t>
        </r>
        <r>
          <rPr>
            <b/>
            <sz val="9"/>
            <color indexed="81"/>
            <rFont val="細明體"/>
            <family val="3"/>
            <charset val="136"/>
          </rPr>
          <t>原有比重</t>
        </r>
        <r>
          <rPr>
            <b/>
            <sz val="9"/>
            <color indexed="81"/>
            <rFont val="Tahoma"/>
            <family val="2"/>
          </rPr>
          <t xml:space="preserve">) </t>
        </r>
        <r>
          <rPr>
            <b/>
            <sz val="9"/>
            <color indexed="81"/>
            <rFont val="細明體"/>
            <family val="3"/>
            <charset val="136"/>
          </rPr>
          <t>作估算，請注意</t>
        </r>
        <r>
          <rPr>
            <sz val="9"/>
            <color indexed="81"/>
            <rFont val="Tahoma"/>
            <family val="2"/>
          </rPr>
          <t xml:space="preserve">
</t>
        </r>
        <r>
          <rPr>
            <b/>
            <sz val="9"/>
            <color indexed="81"/>
            <rFont val="Tahoma"/>
            <family val="2"/>
          </rPr>
          <t xml:space="preserve">x2: </t>
        </r>
        <r>
          <rPr>
            <sz val="9"/>
            <color indexed="81"/>
            <rFont val="細明體"/>
            <family val="3"/>
            <charset val="136"/>
          </rPr>
          <t>英文</t>
        </r>
      </text>
    </comment>
    <comment ref="E20" authorId="0" shapeId="0" xr:uid="{00000000-0006-0000-0500-000010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包含英文、數學、最佳理科</t>
        </r>
        <r>
          <rPr>
            <b/>
            <sz val="9"/>
            <color indexed="81"/>
            <rFont val="Tahoma"/>
            <family val="2"/>
          </rPr>
          <t>)</t>
        </r>
        <r>
          <rPr>
            <b/>
            <sz val="9"/>
            <color indexed="81"/>
            <rFont val="細明體"/>
            <family val="3"/>
            <charset val="136"/>
          </rPr>
          <t xml:space="preserve">收生
</t>
        </r>
        <r>
          <rPr>
            <sz val="9"/>
            <color indexed="81"/>
            <rFont val="Tahoma"/>
            <family val="2"/>
          </rPr>
          <t>(</t>
        </r>
        <r>
          <rPr>
            <b/>
            <sz val="9"/>
            <color indexed="81"/>
            <rFont val="Tahoma"/>
            <family val="2"/>
          </rPr>
          <t>x2.5:</t>
        </r>
        <r>
          <rPr>
            <sz val="9"/>
            <color indexed="81"/>
            <rFont val="Tahoma"/>
            <family val="2"/>
          </rPr>
          <t xml:space="preserve"> </t>
        </r>
        <r>
          <rPr>
            <sz val="9"/>
            <color indexed="81"/>
            <rFont val="細明體"/>
            <family val="3"/>
            <charset val="136"/>
          </rPr>
          <t>數學、第一理科</t>
        </r>
        <r>
          <rPr>
            <sz val="9"/>
            <color indexed="81"/>
            <rFont val="Tahoma"/>
            <family val="2"/>
          </rPr>
          <t xml:space="preserve"> (</t>
        </r>
        <r>
          <rPr>
            <sz val="9"/>
            <color indexed="81"/>
            <rFont val="細明體"/>
            <family val="3"/>
            <charset val="136"/>
          </rPr>
          <t>生物、化學、物理、綜合科學、組合科學</t>
        </r>
        <r>
          <rPr>
            <sz val="9"/>
            <color indexed="81"/>
            <rFont val="Tahoma"/>
            <family val="2"/>
          </rPr>
          <t xml:space="preserve">)
</t>
        </r>
        <r>
          <rPr>
            <b/>
            <sz val="9"/>
            <color indexed="81"/>
            <rFont val="Tahoma"/>
            <family val="2"/>
          </rPr>
          <t>x1.5:</t>
        </r>
        <r>
          <rPr>
            <sz val="9"/>
            <color indexed="81"/>
            <rFont val="Tahoma"/>
            <family val="2"/>
          </rPr>
          <t xml:space="preserve"> </t>
        </r>
        <r>
          <rPr>
            <sz val="9"/>
            <color indexed="81"/>
            <rFont val="細明體"/>
            <family val="3"/>
            <charset val="136"/>
          </rPr>
          <t>第二理科、地理、</t>
        </r>
        <r>
          <rPr>
            <sz val="9"/>
            <color indexed="81"/>
            <rFont val="Tahoma"/>
            <family val="2"/>
          </rPr>
          <t>M1/2)</t>
        </r>
        <r>
          <rPr>
            <b/>
            <sz val="9"/>
            <color indexed="81"/>
            <rFont val="Tahoma"/>
            <family val="2"/>
          </rPr>
          <t xml:space="preserve">
</t>
        </r>
        <r>
          <rPr>
            <b/>
            <sz val="9"/>
            <color indexed="81"/>
            <rFont val="細明體"/>
            <family val="3"/>
            <charset val="136"/>
          </rPr>
          <t xml:space="preserve">
此處仍以</t>
        </r>
        <r>
          <rPr>
            <b/>
            <sz val="9"/>
            <color indexed="81"/>
            <rFont val="Tahoma"/>
            <family val="2"/>
          </rPr>
          <t>4C2X(</t>
        </r>
        <r>
          <rPr>
            <b/>
            <sz val="9"/>
            <color indexed="81"/>
            <rFont val="細明體"/>
            <family val="3"/>
            <charset val="136"/>
          </rPr>
          <t>原本比重</t>
        </r>
        <r>
          <rPr>
            <b/>
            <sz val="9"/>
            <color indexed="81"/>
            <rFont val="Tahoma"/>
            <family val="2"/>
          </rPr>
          <t>)</t>
        </r>
        <r>
          <rPr>
            <b/>
            <sz val="9"/>
            <color indexed="81"/>
            <rFont val="細明體"/>
            <family val="3"/>
            <charset val="136"/>
          </rPr>
          <t xml:space="preserve">作估算，請注意
</t>
        </r>
        <r>
          <rPr>
            <b/>
            <sz val="9"/>
            <color indexed="81"/>
            <rFont val="Tahoma"/>
            <family val="2"/>
          </rPr>
          <t>x2.5:</t>
        </r>
        <r>
          <rPr>
            <sz val="9"/>
            <color indexed="81"/>
            <rFont val="Tahoma"/>
            <family val="2"/>
          </rPr>
          <t xml:space="preserve"> </t>
        </r>
        <r>
          <rPr>
            <sz val="9"/>
            <color indexed="81"/>
            <rFont val="細明體"/>
            <family val="3"/>
            <charset val="136"/>
          </rPr>
          <t>數學、物理、化物、組合科學</t>
        </r>
        <r>
          <rPr>
            <sz val="9"/>
            <color indexed="81"/>
            <rFont val="Tahoma"/>
            <family val="2"/>
          </rPr>
          <t>(</t>
        </r>
        <r>
          <rPr>
            <sz val="9"/>
            <color indexed="81"/>
            <rFont val="細明體"/>
            <family val="3"/>
            <charset val="136"/>
          </rPr>
          <t>化學及物理</t>
        </r>
        <r>
          <rPr>
            <sz val="9"/>
            <color indexed="81"/>
            <rFont val="Tahoma"/>
            <family val="2"/>
          </rPr>
          <t xml:space="preserve">)
</t>
        </r>
        <r>
          <rPr>
            <b/>
            <sz val="9"/>
            <color indexed="81"/>
            <rFont val="Tahoma"/>
            <family val="2"/>
          </rPr>
          <t xml:space="preserve">x2: </t>
        </r>
        <r>
          <rPr>
            <sz val="9"/>
            <color indexed="81"/>
            <rFont val="細明體"/>
            <family val="3"/>
            <charset val="136"/>
          </rPr>
          <t>英文</t>
        </r>
      </text>
    </comment>
    <comment ref="M20" authorId="1" shapeId="0" xr:uid="{00000000-0006-0000-0500-000011000000}">
      <text>
        <r>
          <rPr>
            <sz val="9"/>
            <color indexed="81"/>
            <rFont val="Tahoma"/>
            <family val="2"/>
          </rPr>
          <t>8-10 July 2021
(On a selective basis)</t>
        </r>
      </text>
    </comment>
    <comment ref="R20" authorId="2" shapeId="0" xr:uid="{00000000-0006-0000-0500-000012000000}">
      <text>
        <r>
          <rPr>
            <b/>
            <sz val="9"/>
            <color indexed="81"/>
            <rFont val="細明體"/>
            <family val="3"/>
            <charset val="136"/>
          </rPr>
          <t>以下一科︰</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物理、化學</t>
        </r>
        <r>
          <rPr>
            <sz val="9"/>
            <color indexed="81"/>
            <rFont val="Tahoma"/>
            <family val="2"/>
          </rPr>
          <t>)</t>
        </r>
      </text>
    </comment>
    <comment ref="E21" authorId="1" shapeId="0" xr:uid="{00000000-0006-0000-0500-000013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text>
    </comment>
    <comment ref="M21" authorId="1" shapeId="0" xr:uid="{00000000-0006-0000-0500-000014000000}">
      <text>
        <r>
          <rPr>
            <sz val="9"/>
            <color indexed="81"/>
            <rFont val="Tahoma"/>
            <family val="2"/>
          </rPr>
          <t>To be confirmed
(On a selective basis)</t>
        </r>
      </text>
    </comment>
    <comment ref="E22" authorId="0" shapeId="0" xr:uid="{00000000-0006-0000-0500-000015000000}">
      <text>
        <r>
          <rPr>
            <b/>
            <sz val="9"/>
            <color indexed="81"/>
            <rFont val="Tahoma"/>
            <family val="2"/>
          </rPr>
          <t xml:space="preserve">x2: </t>
        </r>
        <r>
          <rPr>
            <sz val="9"/>
            <color indexed="81"/>
            <rFont val="細明體"/>
            <family val="3"/>
            <charset val="136"/>
          </rPr>
          <t>英文、數學</t>
        </r>
      </text>
    </comment>
    <comment ref="M22" authorId="1" shapeId="0" xr:uid="{00000000-0006-0000-0500-000016000000}">
      <text>
        <r>
          <rPr>
            <sz val="9"/>
            <color indexed="81"/>
            <rFont val="Tahoma"/>
            <family val="2"/>
          </rPr>
          <t>June/July 2021
(On a selective basis)</t>
        </r>
      </text>
    </comment>
    <comment ref="E23" authorId="0" shapeId="0" xr:uid="{00000000-0006-0000-0500-000017000000}">
      <text>
        <r>
          <rPr>
            <b/>
            <sz val="9"/>
            <color indexed="81"/>
            <rFont val="Tahoma"/>
            <family val="2"/>
          </rPr>
          <t xml:space="preserve">x2: </t>
        </r>
        <r>
          <rPr>
            <sz val="9"/>
            <color indexed="81"/>
            <rFont val="細明體"/>
            <family val="3"/>
            <charset val="136"/>
          </rPr>
          <t>英文、數學</t>
        </r>
      </text>
    </comment>
    <comment ref="E24" authorId="0" shapeId="0" xr:uid="{00000000-0006-0000-0500-000018000000}">
      <text>
        <r>
          <rPr>
            <b/>
            <sz val="9"/>
            <color indexed="81"/>
            <rFont val="Tahoma"/>
            <family val="2"/>
          </rPr>
          <t>x2:</t>
        </r>
        <r>
          <rPr>
            <sz val="9"/>
            <color indexed="81"/>
            <rFont val="Tahoma"/>
            <family val="2"/>
          </rPr>
          <t xml:space="preserve"> </t>
        </r>
        <r>
          <rPr>
            <sz val="9"/>
            <color indexed="81"/>
            <rFont val="細明體"/>
            <family val="3"/>
            <charset val="136"/>
          </rPr>
          <t>英文、數學</t>
        </r>
      </text>
    </comment>
    <comment ref="E25" authorId="0" shapeId="0" xr:uid="{00000000-0006-0000-0500-000019000000}">
      <text>
        <r>
          <rPr>
            <b/>
            <sz val="9"/>
            <color indexed="81"/>
            <rFont val="Tahoma"/>
            <family val="2"/>
          </rPr>
          <t xml:space="preserve">x2: </t>
        </r>
        <r>
          <rPr>
            <sz val="9"/>
            <color indexed="81"/>
            <rFont val="細明體"/>
            <family val="3"/>
            <charset val="136"/>
          </rPr>
          <t>英文</t>
        </r>
      </text>
    </comment>
    <comment ref="E26" authorId="0" shapeId="0" xr:uid="{00000000-0006-0000-0500-00001A000000}">
      <text>
        <r>
          <rPr>
            <b/>
            <sz val="9"/>
            <color indexed="81"/>
            <rFont val="Tahoma"/>
            <family val="2"/>
          </rPr>
          <t xml:space="preserve">x2: </t>
        </r>
        <r>
          <rPr>
            <sz val="9"/>
            <color indexed="81"/>
            <rFont val="細明體"/>
            <family val="3"/>
            <charset val="136"/>
          </rPr>
          <t>英文</t>
        </r>
      </text>
    </comment>
    <comment ref="E27" authorId="0" shapeId="0" xr:uid="{00000000-0006-0000-0500-00001B000000}">
      <text>
        <r>
          <rPr>
            <b/>
            <sz val="9"/>
            <color indexed="81"/>
            <rFont val="Tahoma"/>
            <family val="2"/>
          </rPr>
          <t>2021年將以Best 5收生
此處仍以4C2X作估算，請注意</t>
        </r>
      </text>
    </comment>
    <comment ref="E28" authorId="0" shapeId="0" xr:uid="{00000000-0006-0000-0500-00001C000000}">
      <text>
        <r>
          <rPr>
            <b/>
            <sz val="9"/>
            <color indexed="81"/>
            <rFont val="Tahoma"/>
            <family val="2"/>
          </rPr>
          <t xml:space="preserve">x2: </t>
        </r>
        <r>
          <rPr>
            <sz val="9"/>
            <color indexed="81"/>
            <rFont val="細明體"/>
            <family val="3"/>
            <charset val="136"/>
          </rPr>
          <t xml:space="preserve">中文，英文
</t>
        </r>
        <r>
          <rPr>
            <b/>
            <sz val="9"/>
            <color indexed="81"/>
            <rFont val="Tahoma"/>
            <family val="2"/>
          </rPr>
          <t>x1.5:</t>
        </r>
        <r>
          <rPr>
            <sz val="9"/>
            <color indexed="81"/>
            <rFont val="Tahoma"/>
            <family val="2"/>
          </rPr>
          <t xml:space="preserve"> </t>
        </r>
        <r>
          <rPr>
            <sz val="9"/>
            <color indexed="81"/>
            <rFont val="細明體"/>
            <family val="3"/>
            <charset val="136"/>
          </rPr>
          <t>通識</t>
        </r>
        <r>
          <rPr>
            <sz val="9"/>
            <color indexed="81"/>
            <rFont val="Tahoma"/>
            <family val="2"/>
          </rPr>
          <t>/</t>
        </r>
        <r>
          <rPr>
            <sz val="9"/>
            <color indexed="81"/>
            <rFont val="細明體"/>
            <family val="3"/>
            <charset val="136"/>
          </rPr>
          <t>中國歷史</t>
        </r>
        <r>
          <rPr>
            <sz val="9"/>
            <color indexed="81"/>
            <rFont val="Tahoma"/>
            <family val="2"/>
          </rPr>
          <t>/</t>
        </r>
        <r>
          <rPr>
            <sz val="9"/>
            <color indexed="81"/>
            <rFont val="細明體"/>
            <family val="3"/>
            <charset val="136"/>
          </rPr>
          <t>中國文學</t>
        </r>
        <r>
          <rPr>
            <sz val="9"/>
            <color indexed="81"/>
            <rFont val="Tahoma"/>
            <family val="2"/>
          </rPr>
          <t>/</t>
        </r>
        <r>
          <rPr>
            <sz val="9"/>
            <color indexed="81"/>
            <rFont val="細明體"/>
            <family val="3"/>
            <charset val="136"/>
          </rPr>
          <t>歷史</t>
        </r>
        <r>
          <rPr>
            <sz val="9"/>
            <color indexed="81"/>
            <rFont val="Tahoma"/>
            <family val="2"/>
          </rPr>
          <t>/</t>
        </r>
        <r>
          <rPr>
            <sz val="9"/>
            <color indexed="81"/>
            <rFont val="細明體"/>
            <family val="3"/>
            <charset val="136"/>
          </rPr>
          <t>視覺藝術</t>
        </r>
      </text>
    </comment>
    <comment ref="E29" authorId="0" shapeId="0" xr:uid="{00000000-0006-0000-0500-00001D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x2.5: </t>
        </r>
        <r>
          <rPr>
            <sz val="9"/>
            <color indexed="81"/>
            <rFont val="細明體"/>
            <family val="3"/>
            <charset val="136"/>
          </rPr>
          <t xml:space="preserve">英文
</t>
        </r>
        <r>
          <rPr>
            <b/>
            <sz val="9"/>
            <color indexed="81"/>
            <rFont val="Tahoma"/>
            <family val="2"/>
          </rPr>
          <t xml:space="preserve">x1.5: </t>
        </r>
        <r>
          <rPr>
            <sz val="9"/>
            <color indexed="81"/>
            <rFont val="細明體"/>
            <family val="3"/>
            <charset val="136"/>
          </rPr>
          <t>英國文學、通識</t>
        </r>
      </text>
    </comment>
    <comment ref="M29" authorId="1" shapeId="0" xr:uid="{00000000-0006-0000-0500-00001E000000}">
      <text>
        <r>
          <rPr>
            <sz val="9"/>
            <color indexed="81"/>
            <rFont val="Tahoma"/>
            <family val="2"/>
          </rPr>
          <t>June 2021
(On a selective basis)</t>
        </r>
      </text>
    </comment>
    <comment ref="E30" authorId="0" shapeId="0" xr:uid="{00000000-0006-0000-0500-00001F000000}">
      <text>
        <r>
          <rPr>
            <b/>
            <sz val="9"/>
            <color indexed="81"/>
            <rFont val="Tahoma"/>
            <family val="2"/>
          </rPr>
          <t xml:space="preserve">x2: </t>
        </r>
        <r>
          <rPr>
            <sz val="9"/>
            <color indexed="81"/>
            <rFont val="細明體"/>
            <family val="3"/>
            <charset val="136"/>
          </rPr>
          <t xml:space="preserve">英文
</t>
        </r>
        <r>
          <rPr>
            <b/>
            <sz val="9"/>
            <color indexed="81"/>
            <rFont val="Tahoma"/>
            <family val="2"/>
          </rPr>
          <t xml:space="preserve">x1.5: </t>
        </r>
        <r>
          <rPr>
            <sz val="9"/>
            <color indexed="81"/>
            <rFont val="細明體"/>
            <family val="3"/>
            <charset val="136"/>
          </rPr>
          <t>中文</t>
        </r>
      </text>
    </comment>
    <comment ref="M30" authorId="1" shapeId="0" xr:uid="{00000000-0006-0000-0500-000020000000}">
      <text>
        <r>
          <rPr>
            <sz val="9"/>
            <color indexed="81"/>
            <rFont val="Tahoma"/>
            <family val="2"/>
          </rPr>
          <t>Late July to early August 2021
(On a selective basis)</t>
        </r>
      </text>
    </comment>
    <comment ref="E31" authorId="0" shapeId="0" xr:uid="{00000000-0006-0000-0500-000021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x1.25: </t>
        </r>
        <r>
          <rPr>
            <sz val="9"/>
            <color indexed="81"/>
            <rFont val="細明體"/>
            <family val="3"/>
            <charset val="136"/>
          </rPr>
          <t>中文、英文</t>
        </r>
      </text>
    </comment>
    <comment ref="E32" authorId="0" shapeId="0" xr:uid="{00000000-0006-0000-0500-000022000000}">
      <text>
        <r>
          <rPr>
            <b/>
            <sz val="9"/>
            <color indexed="81"/>
            <rFont val="Tahoma"/>
            <family val="2"/>
          </rPr>
          <t>2021</t>
        </r>
        <r>
          <rPr>
            <b/>
            <sz val="9"/>
            <color indexed="81"/>
            <rFont val="細明體"/>
            <family val="3"/>
            <charset val="136"/>
          </rPr>
          <t>年將以</t>
        </r>
        <r>
          <rPr>
            <b/>
            <sz val="9"/>
            <color indexed="81"/>
            <rFont val="Tahoma"/>
            <family val="2"/>
          </rPr>
          <t>4C1X</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x2: </t>
        </r>
        <r>
          <rPr>
            <sz val="9"/>
            <color indexed="81"/>
            <rFont val="細明體"/>
            <family val="3"/>
            <charset val="136"/>
          </rPr>
          <t xml:space="preserve">英文
</t>
        </r>
        <r>
          <rPr>
            <b/>
            <sz val="9"/>
            <color indexed="81"/>
            <rFont val="Tahoma"/>
            <family val="2"/>
          </rPr>
          <t>x1.5:</t>
        </r>
        <r>
          <rPr>
            <sz val="9"/>
            <color indexed="81"/>
            <rFont val="Tahoma"/>
            <family val="2"/>
          </rPr>
          <t xml:space="preserve"> </t>
        </r>
        <r>
          <rPr>
            <sz val="9"/>
            <color indexed="81"/>
            <rFont val="細明體"/>
            <family val="3"/>
            <charset val="136"/>
          </rPr>
          <t>通識</t>
        </r>
      </text>
    </comment>
    <comment ref="E33" authorId="0" shapeId="0" xr:uid="{00000000-0006-0000-0500-000023000000}">
      <text>
        <r>
          <rPr>
            <b/>
            <sz val="9"/>
            <color indexed="81"/>
            <rFont val="Tahoma"/>
            <family val="2"/>
          </rPr>
          <t xml:space="preserve">x2: </t>
        </r>
        <r>
          <rPr>
            <sz val="9"/>
            <color indexed="81"/>
            <rFont val="細明體"/>
            <family val="3"/>
            <charset val="136"/>
          </rPr>
          <t>英文</t>
        </r>
      </text>
    </comment>
    <comment ref="E34" authorId="0" shapeId="0" xr:uid="{00000000-0006-0000-0500-000024000000}">
      <text>
        <r>
          <rPr>
            <b/>
            <sz val="9"/>
            <color indexed="81"/>
            <rFont val="Tahoma"/>
            <family val="2"/>
          </rPr>
          <t>x2:</t>
        </r>
        <r>
          <rPr>
            <sz val="9"/>
            <color indexed="81"/>
            <rFont val="Tahoma"/>
            <family val="2"/>
          </rPr>
          <t xml:space="preserve"> </t>
        </r>
        <r>
          <rPr>
            <sz val="9"/>
            <color indexed="81"/>
            <rFont val="細明體"/>
            <family val="3"/>
            <charset val="136"/>
          </rPr>
          <t>英文</t>
        </r>
      </text>
    </comment>
    <comment ref="E35" authorId="0" shapeId="0" xr:uid="{00000000-0006-0000-0500-000025000000}">
      <text>
        <r>
          <rPr>
            <b/>
            <sz val="9"/>
            <color indexed="81"/>
            <rFont val="Tahoma"/>
            <family val="2"/>
          </rPr>
          <t>x2:</t>
        </r>
        <r>
          <rPr>
            <sz val="9"/>
            <color indexed="81"/>
            <rFont val="Tahoma"/>
            <family val="2"/>
          </rPr>
          <t xml:space="preserve"> </t>
        </r>
        <r>
          <rPr>
            <sz val="9"/>
            <color indexed="81"/>
            <rFont val="細明體"/>
            <family val="3"/>
            <charset val="136"/>
          </rPr>
          <t>英文</t>
        </r>
      </text>
    </comment>
    <comment ref="E36" authorId="0" shapeId="0" xr:uid="{00000000-0006-0000-0500-000026000000}">
      <text>
        <r>
          <rPr>
            <b/>
            <sz val="9"/>
            <color indexed="81"/>
            <rFont val="Tahoma"/>
            <family val="2"/>
          </rPr>
          <t xml:space="preserve">x2: </t>
        </r>
        <r>
          <rPr>
            <sz val="9"/>
            <color indexed="81"/>
            <rFont val="細明體"/>
            <family val="3"/>
            <charset val="136"/>
          </rPr>
          <t>英文</t>
        </r>
      </text>
    </comment>
    <comment ref="M36" authorId="1" shapeId="0" xr:uid="{00000000-0006-0000-0500-000027000000}">
      <text>
        <r>
          <rPr>
            <sz val="9"/>
            <color indexed="81"/>
            <rFont val="Tahoma"/>
            <family val="2"/>
          </rPr>
          <t xml:space="preserve"> 28 July to 3 August 2021
(On a selective basis)</t>
        </r>
      </text>
    </comment>
    <comment ref="E37" authorId="1" shapeId="0" xr:uid="{00000000-0006-0000-0500-000028000000}">
      <text>
        <r>
          <rPr>
            <b/>
            <sz val="9"/>
            <color indexed="81"/>
            <rFont val="Tahoma"/>
            <family val="2"/>
          </rPr>
          <t>2021</t>
        </r>
        <r>
          <rPr>
            <b/>
            <sz val="9"/>
            <color indexed="81"/>
            <rFont val="細明體"/>
            <family val="3"/>
            <charset val="136"/>
          </rPr>
          <t xml:space="preserve">年新科目
</t>
        </r>
        <r>
          <rPr>
            <b/>
            <sz val="9"/>
            <color indexed="81"/>
            <rFont val="Tahoma"/>
            <family val="2"/>
          </rPr>
          <t>x2.5:</t>
        </r>
        <r>
          <rPr>
            <sz val="9"/>
            <color indexed="81"/>
            <rFont val="Tahoma"/>
            <family val="2"/>
          </rPr>
          <t xml:space="preserve"> </t>
        </r>
        <r>
          <rPr>
            <sz val="9"/>
            <color indexed="81"/>
            <rFont val="細明體"/>
            <family val="3"/>
            <charset val="136"/>
          </rPr>
          <t>數學、物理、生物、化學、經濟、</t>
        </r>
        <r>
          <rPr>
            <sz val="9"/>
            <color indexed="81"/>
            <rFont val="Tahoma"/>
            <family val="2"/>
          </rPr>
          <t xml:space="preserve">M1/2
</t>
        </r>
        <r>
          <rPr>
            <b/>
            <sz val="9"/>
            <color indexed="81"/>
            <rFont val="Tahoma"/>
            <family val="2"/>
          </rPr>
          <t xml:space="preserve">x2: </t>
        </r>
        <r>
          <rPr>
            <sz val="9"/>
            <color indexed="81"/>
            <rFont val="細明體"/>
            <family val="3"/>
            <charset val="136"/>
          </rPr>
          <t>英文</t>
        </r>
      </text>
    </comment>
    <comment ref="M37" authorId="1" shapeId="0" xr:uid="{00000000-0006-0000-0500-000029000000}">
      <text>
        <r>
          <rPr>
            <sz val="9"/>
            <color indexed="81"/>
            <rFont val="Tahoma"/>
            <family val="2"/>
          </rPr>
          <t>前: June 2021 
後: Late July 2021
(On a selective basis)</t>
        </r>
      </text>
    </comment>
    <comment ref="E38" authorId="1" shapeId="0" xr:uid="{00000000-0006-0000-0500-00002A000000}">
      <text>
        <r>
          <rPr>
            <b/>
            <sz val="9"/>
            <color indexed="81"/>
            <rFont val="Tahoma"/>
            <family val="2"/>
          </rPr>
          <t>2021</t>
        </r>
        <r>
          <rPr>
            <b/>
            <sz val="9"/>
            <color indexed="81"/>
            <rFont val="細明體"/>
            <family val="3"/>
            <charset val="136"/>
          </rPr>
          <t xml:space="preserve">年新科目
</t>
        </r>
        <r>
          <rPr>
            <sz val="9"/>
            <color indexed="81"/>
            <rFont val="Tahoma"/>
            <family val="2"/>
          </rPr>
          <t>(</t>
        </r>
        <r>
          <rPr>
            <sz val="9"/>
            <color indexed="81"/>
            <rFont val="細明體"/>
            <family val="3"/>
            <charset val="136"/>
          </rPr>
          <t>包含英文</t>
        </r>
        <r>
          <rPr>
            <sz val="9"/>
            <color indexed="81"/>
            <rFont val="Tahoma"/>
            <family val="2"/>
          </rPr>
          <t>)</t>
        </r>
        <r>
          <rPr>
            <b/>
            <sz val="9"/>
            <color indexed="81"/>
            <rFont val="Tahoma"/>
            <family val="2"/>
          </rPr>
          <t xml:space="preserve">
</t>
        </r>
        <r>
          <rPr>
            <b/>
            <sz val="9"/>
            <color indexed="81"/>
            <rFont val="細明體"/>
            <family val="3"/>
            <charset val="136"/>
          </rPr>
          <t xml:space="preserve">
</t>
        </r>
        <r>
          <rPr>
            <b/>
            <sz val="9"/>
            <color indexed="81"/>
            <rFont val="Tahoma"/>
            <family val="2"/>
          </rPr>
          <t xml:space="preserve">x2.5: </t>
        </r>
        <r>
          <rPr>
            <sz val="9"/>
            <color indexed="81"/>
            <rFont val="細明體"/>
            <family val="3"/>
            <charset val="136"/>
          </rPr>
          <t>英文、數學、物理、</t>
        </r>
        <r>
          <rPr>
            <sz val="9"/>
            <color indexed="81"/>
            <rFont val="Tahoma"/>
            <family val="2"/>
          </rPr>
          <t>M1/2</t>
        </r>
        <r>
          <rPr>
            <sz val="9"/>
            <color indexed="81"/>
            <rFont val="細明體"/>
            <family val="3"/>
            <charset val="136"/>
          </rPr>
          <t>、組合科學</t>
        </r>
        <r>
          <rPr>
            <sz val="9"/>
            <color indexed="81"/>
            <rFont val="Tahoma"/>
            <family val="2"/>
          </rPr>
          <t>(</t>
        </r>
        <r>
          <rPr>
            <sz val="9"/>
            <color indexed="81"/>
            <rFont val="細明體"/>
            <family val="3"/>
            <charset val="136"/>
          </rPr>
          <t>含物理</t>
        </r>
        <r>
          <rPr>
            <sz val="9"/>
            <color indexed="81"/>
            <rFont val="Tahoma"/>
            <family val="2"/>
          </rPr>
          <t>)</t>
        </r>
        <r>
          <rPr>
            <sz val="9"/>
            <color indexed="81"/>
            <rFont val="細明體"/>
            <family val="3"/>
            <charset val="136"/>
          </rPr>
          <t xml:space="preserve">、綜合科學
</t>
        </r>
        <r>
          <rPr>
            <b/>
            <sz val="9"/>
            <color indexed="81"/>
            <rFont val="Tahoma"/>
            <family val="2"/>
          </rPr>
          <t xml:space="preserve">x1.5: </t>
        </r>
        <r>
          <rPr>
            <sz val="9"/>
            <color indexed="81"/>
            <rFont val="細明體"/>
            <family val="3"/>
            <charset val="136"/>
          </rPr>
          <t>中文</t>
        </r>
      </text>
    </comment>
    <comment ref="E39" authorId="0" shapeId="0" xr:uid="{00000000-0006-0000-0500-00002B000000}">
      <text>
        <r>
          <rPr>
            <b/>
            <sz val="9"/>
            <color indexed="81"/>
            <rFont val="Tahoma"/>
            <family val="2"/>
          </rPr>
          <t>2021</t>
        </r>
        <r>
          <rPr>
            <b/>
            <sz val="9"/>
            <color indexed="81"/>
            <rFont val="細明體"/>
            <family val="3"/>
            <charset val="136"/>
          </rPr>
          <t>年將以</t>
        </r>
        <r>
          <rPr>
            <b/>
            <sz val="9"/>
            <color indexed="81"/>
            <rFont val="Tahoma"/>
            <family val="2"/>
          </rPr>
          <t>Best 5</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x2: </t>
        </r>
        <r>
          <rPr>
            <sz val="9"/>
            <color indexed="81"/>
            <rFont val="細明體"/>
            <family val="3"/>
            <charset val="136"/>
          </rPr>
          <t>英文，化學</t>
        </r>
        <r>
          <rPr>
            <sz val="9"/>
            <color indexed="81"/>
            <rFont val="Tahoma"/>
            <family val="2"/>
          </rPr>
          <t xml:space="preserve">
</t>
        </r>
        <r>
          <rPr>
            <b/>
            <sz val="9"/>
            <color indexed="81"/>
            <rFont val="Tahoma"/>
            <family val="2"/>
          </rPr>
          <t xml:space="preserve">x1.5: </t>
        </r>
        <r>
          <rPr>
            <sz val="9"/>
            <color indexed="81"/>
            <rFont val="細明體"/>
            <family val="3"/>
            <charset val="136"/>
          </rPr>
          <t>數學，組合科學</t>
        </r>
        <r>
          <rPr>
            <sz val="9"/>
            <color indexed="81"/>
            <rFont val="Tahoma"/>
            <family val="2"/>
          </rPr>
          <t>(</t>
        </r>
        <r>
          <rPr>
            <sz val="9"/>
            <color indexed="81"/>
            <rFont val="細明體"/>
            <family val="3"/>
            <charset val="136"/>
          </rPr>
          <t>化學</t>
        </r>
        <r>
          <rPr>
            <sz val="9"/>
            <color indexed="81"/>
            <rFont val="Tahoma"/>
            <family val="2"/>
          </rPr>
          <t>)</t>
        </r>
      </text>
    </comment>
    <comment ref="M39" authorId="1" shapeId="0" xr:uid="{00000000-0006-0000-0500-00002C000000}">
      <text>
        <r>
          <rPr>
            <sz val="9"/>
            <color indexed="81"/>
            <rFont val="Tahoma"/>
            <family val="2"/>
          </rPr>
          <t>July 2021
(On a selective basis)</t>
        </r>
      </text>
    </comment>
    <comment ref="R39" authorId="2" shapeId="0" xr:uid="{00000000-0006-0000-0500-00002D000000}">
      <text>
        <r>
          <rPr>
            <b/>
            <sz val="9"/>
            <color indexed="81"/>
            <rFont val="細明體"/>
            <family val="3"/>
            <charset val="136"/>
          </rPr>
          <t>以下一科︰</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化學</t>
        </r>
        <r>
          <rPr>
            <sz val="9"/>
            <color indexed="81"/>
            <rFont val="Tahoma"/>
            <family val="2"/>
          </rPr>
          <t>)</t>
        </r>
      </text>
    </comment>
    <comment ref="S39" authorId="2" shapeId="0" xr:uid="{00000000-0006-0000-0500-00002E000000}">
      <text>
        <r>
          <rPr>
            <sz val="9"/>
            <color indexed="81"/>
            <rFont val="細明體"/>
            <family val="3"/>
            <charset val="136"/>
          </rPr>
          <t>若於數學科中獲</t>
        </r>
        <r>
          <rPr>
            <sz val="9"/>
            <color indexed="81"/>
            <rFont val="Tahoma"/>
            <family val="2"/>
          </rPr>
          <t>Lv.3</t>
        </r>
        <r>
          <rPr>
            <sz val="9"/>
            <color indexed="81"/>
            <rFont val="細明體"/>
            <family val="3"/>
            <charset val="136"/>
          </rPr>
          <t>或以上的成績︰</t>
        </r>
        <r>
          <rPr>
            <b/>
            <sz val="9"/>
            <color indexed="81"/>
            <rFont val="細明體"/>
            <family val="3"/>
            <charset val="136"/>
          </rPr>
          <t xml:space="preserve">
任何一科
</t>
        </r>
        <r>
          <rPr>
            <sz val="9"/>
            <color indexed="81"/>
            <rFont val="細明體"/>
            <family val="3"/>
            <charset val="136"/>
          </rPr>
          <t>若於數學科中只獲</t>
        </r>
        <r>
          <rPr>
            <sz val="9"/>
            <color indexed="81"/>
            <rFont val="Tahoma"/>
            <family val="2"/>
          </rPr>
          <t>Lv.2</t>
        </r>
        <r>
          <rPr>
            <sz val="9"/>
            <color indexed="81"/>
            <rFont val="細明體"/>
            <family val="3"/>
            <charset val="136"/>
          </rPr>
          <t>的成績</t>
        </r>
        <r>
          <rPr>
            <b/>
            <sz val="9"/>
            <color indexed="81"/>
            <rFont val="細明體"/>
            <family val="3"/>
            <charset val="136"/>
          </rPr>
          <t>︰
以下一科︰</t>
        </r>
        <r>
          <rPr>
            <sz val="9"/>
            <color indexed="81"/>
            <rFont val="細明體"/>
            <family val="3"/>
            <charset val="136"/>
          </rPr>
          <t xml:space="preserve">
</t>
        </r>
        <r>
          <rPr>
            <sz val="9"/>
            <color indexed="81"/>
            <rFont val="Tahoma"/>
            <family val="2"/>
          </rPr>
          <t xml:space="preserve">- BAFS
-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DAT</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r>
          <rPr>
            <sz val="9"/>
            <color indexed="81"/>
            <rFont val="Tahoma"/>
            <family val="2"/>
          </rPr>
          <t xml:space="preserve">
- ICT
- </t>
        </r>
        <r>
          <rPr>
            <sz val="9"/>
            <color indexed="81"/>
            <rFont val="細明體"/>
            <family val="3"/>
            <charset val="136"/>
          </rPr>
          <t>物理</t>
        </r>
      </text>
    </comment>
    <comment ref="E40" authorId="1" shapeId="0" xr:uid="{00000000-0006-0000-0500-00002F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包含英文、數學、最佳理科</t>
        </r>
        <r>
          <rPr>
            <b/>
            <sz val="9"/>
            <color indexed="81"/>
            <rFont val="Tahoma"/>
            <family val="2"/>
          </rPr>
          <t>)
(</t>
        </r>
        <r>
          <rPr>
            <b/>
            <sz val="9"/>
            <color indexed="81"/>
            <rFont val="細明體"/>
            <family val="3"/>
            <charset val="136"/>
          </rPr>
          <t>無比重</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原有比重</t>
        </r>
        <r>
          <rPr>
            <b/>
            <sz val="9"/>
            <color indexed="81"/>
            <rFont val="Tahoma"/>
            <family val="2"/>
          </rPr>
          <t>)</t>
        </r>
        <r>
          <rPr>
            <b/>
            <sz val="9"/>
            <color indexed="81"/>
            <rFont val="細明體"/>
            <family val="3"/>
            <charset val="136"/>
          </rPr>
          <t xml:space="preserve">作估算，請注意
</t>
        </r>
        <r>
          <rPr>
            <b/>
            <sz val="9"/>
            <color indexed="81"/>
            <rFont val="Tahoma"/>
            <family val="2"/>
          </rPr>
          <t xml:space="preserve">x2: </t>
        </r>
        <r>
          <rPr>
            <sz val="9"/>
            <color indexed="81"/>
            <rFont val="細明體"/>
            <family val="3"/>
            <charset val="136"/>
          </rPr>
          <t>英文</t>
        </r>
      </text>
    </comment>
    <comment ref="M40" authorId="1" shapeId="0" xr:uid="{00000000-0006-0000-0500-000030000000}">
      <text>
        <r>
          <rPr>
            <sz val="9"/>
            <color indexed="81"/>
            <rFont val="Tahoma"/>
            <family val="2"/>
          </rPr>
          <t>July 2021
(On a selective basis)</t>
        </r>
      </text>
    </comment>
    <comment ref="R40" authorId="2" shapeId="0" xr:uid="{00000000-0006-0000-0500-000031000000}">
      <text>
        <r>
          <rPr>
            <b/>
            <sz val="9"/>
            <color indexed="81"/>
            <rFont val="細明體"/>
            <family val="3"/>
            <charset val="136"/>
          </rPr>
          <t>以下一科︰</t>
        </r>
        <r>
          <rPr>
            <sz val="9"/>
            <color indexed="81"/>
            <rFont val="Tahoma"/>
            <family val="2"/>
          </rPr>
          <t xml:space="preserve">
-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r>
          <rPr>
            <sz val="9"/>
            <color indexed="81"/>
            <rFont val="Tahoma"/>
            <family val="2"/>
          </rPr>
          <t xml:space="preserve">
- ICT
- M1/2
- </t>
        </r>
        <r>
          <rPr>
            <sz val="9"/>
            <color indexed="81"/>
            <rFont val="細明體"/>
            <family val="3"/>
            <charset val="136"/>
          </rPr>
          <t>物理</t>
        </r>
      </text>
    </comment>
    <comment ref="E41" authorId="0" shapeId="0" xr:uid="{00000000-0006-0000-0500-000032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x2: </t>
        </r>
        <r>
          <rPr>
            <sz val="9"/>
            <color indexed="81"/>
            <rFont val="細明體"/>
            <family val="3"/>
            <charset val="136"/>
          </rPr>
          <t>英文、數學、組合科學</t>
        </r>
        <r>
          <rPr>
            <sz val="9"/>
            <color indexed="81"/>
            <rFont val="Tahoma"/>
            <family val="2"/>
          </rPr>
          <t>(</t>
        </r>
        <r>
          <rPr>
            <sz val="9"/>
            <color indexed="81"/>
            <rFont val="細明體"/>
            <family val="3"/>
            <charset val="136"/>
          </rPr>
          <t>物理、化學</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物理、生物</t>
        </r>
        <r>
          <rPr>
            <sz val="9"/>
            <color indexed="81"/>
            <rFont val="Tahoma"/>
            <family val="2"/>
          </rPr>
          <t>)</t>
        </r>
        <r>
          <rPr>
            <sz val="9"/>
            <color indexed="81"/>
            <rFont val="細明體"/>
            <family val="3"/>
            <charset val="136"/>
          </rPr>
          <t>、物理、</t>
        </r>
        <r>
          <rPr>
            <sz val="9"/>
            <color indexed="81"/>
            <rFont val="Tahoma"/>
            <family val="2"/>
          </rPr>
          <t>ICT</t>
        </r>
        <r>
          <rPr>
            <sz val="9"/>
            <color indexed="81"/>
            <rFont val="細明體"/>
            <family val="3"/>
            <charset val="136"/>
          </rPr>
          <t>、</t>
        </r>
        <r>
          <rPr>
            <sz val="9"/>
            <color indexed="81"/>
            <rFont val="Tahoma"/>
            <family val="2"/>
          </rPr>
          <t xml:space="preserve">M1/2
</t>
        </r>
        <r>
          <rPr>
            <b/>
            <sz val="9"/>
            <color indexed="81"/>
            <rFont val="Tahoma"/>
            <family val="2"/>
          </rPr>
          <t xml:space="preserve">x1.5: </t>
        </r>
        <r>
          <rPr>
            <sz val="9"/>
            <color indexed="81"/>
            <rFont val="細明體"/>
            <family val="3"/>
            <charset val="136"/>
          </rPr>
          <t>組合科學</t>
        </r>
        <r>
          <rPr>
            <sz val="9"/>
            <color indexed="81"/>
            <rFont val="Tahoma"/>
            <family val="2"/>
          </rPr>
          <t>(</t>
        </r>
        <r>
          <rPr>
            <sz val="9"/>
            <color indexed="81"/>
            <rFont val="細明體"/>
            <family val="3"/>
            <charset val="136"/>
          </rPr>
          <t>生物、化學</t>
        </r>
        <r>
          <rPr>
            <sz val="9"/>
            <color indexed="81"/>
            <rFont val="Tahoma"/>
            <family val="2"/>
          </rPr>
          <t>)</t>
        </r>
        <r>
          <rPr>
            <sz val="9"/>
            <color indexed="81"/>
            <rFont val="細明體"/>
            <family val="3"/>
            <charset val="136"/>
          </rPr>
          <t>、生物、化學、綜合科學</t>
        </r>
      </text>
    </comment>
    <comment ref="R41" authorId="2" shapeId="0" xr:uid="{00000000-0006-0000-0500-000033000000}">
      <text>
        <r>
          <rPr>
            <b/>
            <sz val="9"/>
            <color indexed="81"/>
            <rFont val="細明體"/>
            <family val="3"/>
            <charset val="136"/>
          </rPr>
          <t xml:space="preserve">以下一科︰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ICT
- M1/2
- </t>
        </r>
        <r>
          <rPr>
            <sz val="9"/>
            <color indexed="81"/>
            <rFont val="細明體"/>
            <family val="3"/>
            <charset val="136"/>
          </rPr>
          <t>物理</t>
        </r>
      </text>
    </comment>
    <comment ref="E42" authorId="0" shapeId="0" xr:uid="{00000000-0006-0000-0500-000034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x2.5: </t>
        </r>
        <r>
          <rPr>
            <sz val="9"/>
            <color indexed="81"/>
            <rFont val="細明體"/>
            <family val="3"/>
            <charset val="136"/>
          </rPr>
          <t xml:space="preserve">數學
</t>
        </r>
        <r>
          <rPr>
            <sz val="9"/>
            <color indexed="81"/>
            <rFont val="Tahoma"/>
            <family val="2"/>
          </rPr>
          <t xml:space="preserve">
</t>
        </r>
        <r>
          <rPr>
            <b/>
            <sz val="9"/>
            <color indexed="81"/>
            <rFont val="Tahoma"/>
            <family val="2"/>
          </rPr>
          <t xml:space="preserve">x2: </t>
        </r>
        <r>
          <rPr>
            <sz val="9"/>
            <color indexed="81"/>
            <rFont val="細明體"/>
            <family val="3"/>
            <charset val="136"/>
          </rPr>
          <t>英文、</t>
        </r>
        <r>
          <rPr>
            <sz val="9"/>
            <color indexed="81"/>
            <rFont val="Tahoma"/>
            <family val="2"/>
          </rPr>
          <t xml:space="preserve">M1/2
</t>
        </r>
        <r>
          <rPr>
            <b/>
            <sz val="9"/>
            <color indexed="81"/>
            <rFont val="Tahoma"/>
            <family val="2"/>
          </rPr>
          <t xml:space="preserve">x1.5: </t>
        </r>
        <r>
          <rPr>
            <sz val="9"/>
            <color indexed="81"/>
            <rFont val="細明體"/>
            <family val="3"/>
            <charset val="136"/>
          </rPr>
          <t>組合科學，生物，化學，物理</t>
        </r>
      </text>
    </comment>
    <comment ref="M42" authorId="1" shapeId="0" xr:uid="{00000000-0006-0000-0500-000035000000}">
      <text>
        <r>
          <rPr>
            <sz val="9"/>
            <color indexed="81"/>
            <rFont val="Tahoma"/>
            <family val="2"/>
          </rPr>
          <t>22-24 June 2021
(On a selective basis)</t>
        </r>
      </text>
    </comment>
    <comment ref="R42" authorId="2" shapeId="0" xr:uid="{00000000-0006-0000-0500-000036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BAFS</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DAT</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ICT
- M1/2
- </t>
        </r>
        <r>
          <rPr>
            <sz val="9"/>
            <color indexed="81"/>
            <rFont val="細明體"/>
            <family val="3"/>
            <charset val="136"/>
          </rPr>
          <t>物理</t>
        </r>
      </text>
    </comment>
    <comment ref="E43" authorId="0" shapeId="0" xr:uid="{00000000-0006-0000-0500-000037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b/>
            <sz val="9"/>
            <color indexed="81"/>
            <rFont val="Tahoma"/>
            <family val="2"/>
          </rPr>
          <t>x2:</t>
        </r>
        <r>
          <rPr>
            <sz val="9"/>
            <color indexed="81"/>
            <rFont val="Tahoma"/>
            <family val="2"/>
          </rPr>
          <t xml:space="preserve"> </t>
        </r>
        <r>
          <rPr>
            <sz val="9"/>
            <color indexed="81"/>
            <rFont val="細明體"/>
            <family val="3"/>
            <charset val="136"/>
          </rPr>
          <t>英文，數學，物理</t>
        </r>
        <r>
          <rPr>
            <sz val="9"/>
            <color indexed="81"/>
            <rFont val="Tahoma"/>
            <family val="2"/>
          </rPr>
          <t xml:space="preserve">
</t>
        </r>
        <r>
          <rPr>
            <b/>
            <sz val="9"/>
            <color indexed="81"/>
            <rFont val="Tahoma"/>
            <family val="2"/>
          </rPr>
          <t xml:space="preserve">x1.5: </t>
        </r>
        <r>
          <rPr>
            <sz val="9"/>
            <color indexed="81"/>
            <rFont val="細明體"/>
            <family val="3"/>
            <charset val="136"/>
          </rPr>
          <t>組合科學</t>
        </r>
        <r>
          <rPr>
            <sz val="9"/>
            <color indexed="81"/>
            <rFont val="Tahoma"/>
            <family val="2"/>
          </rPr>
          <t>(</t>
        </r>
        <r>
          <rPr>
            <sz val="9"/>
            <color indexed="81"/>
            <rFont val="細明體"/>
            <family val="3"/>
            <charset val="136"/>
          </rPr>
          <t>生物、化學</t>
        </r>
        <r>
          <rPr>
            <sz val="9"/>
            <color indexed="81"/>
            <rFont val="Tahoma"/>
            <family val="2"/>
          </rPr>
          <t>)</t>
        </r>
        <r>
          <rPr>
            <sz val="9"/>
            <color indexed="81"/>
            <rFont val="細明體"/>
            <family val="3"/>
            <charset val="136"/>
          </rPr>
          <t>，化學，</t>
        </r>
        <r>
          <rPr>
            <sz val="9"/>
            <color indexed="81"/>
            <rFont val="Tahoma"/>
            <family val="2"/>
          </rPr>
          <t>DAT</t>
        </r>
        <r>
          <rPr>
            <sz val="9"/>
            <color indexed="81"/>
            <rFont val="細明體"/>
            <family val="3"/>
            <charset val="136"/>
          </rPr>
          <t>，</t>
        </r>
        <r>
          <rPr>
            <sz val="9"/>
            <color indexed="81"/>
            <rFont val="Tahoma"/>
            <family val="2"/>
          </rPr>
          <t>M1/2</t>
        </r>
      </text>
    </comment>
    <comment ref="R43" authorId="2" shapeId="0" xr:uid="{00000000-0006-0000-0500-000038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DAT
- M1/2
- </t>
        </r>
        <r>
          <rPr>
            <sz val="9"/>
            <color indexed="81"/>
            <rFont val="細明體"/>
            <family val="3"/>
            <charset val="136"/>
          </rPr>
          <t>物理</t>
        </r>
      </text>
    </comment>
    <comment ref="E44" authorId="0" shapeId="0" xr:uid="{00000000-0006-0000-0500-000039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包含數學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x2: </t>
        </r>
        <r>
          <rPr>
            <sz val="9"/>
            <color indexed="81"/>
            <rFont val="細明體"/>
            <family val="3"/>
            <charset val="136"/>
          </rPr>
          <t xml:space="preserve">英文，物理
</t>
        </r>
        <r>
          <rPr>
            <b/>
            <sz val="9"/>
            <color indexed="81"/>
            <rFont val="細明體"/>
            <family val="3"/>
            <charset val="136"/>
          </rPr>
          <t xml:space="preserve">
</t>
        </r>
        <r>
          <rPr>
            <b/>
            <sz val="9"/>
            <color indexed="81"/>
            <rFont val="Tahoma"/>
            <family val="2"/>
          </rPr>
          <t xml:space="preserve">x1.5: </t>
        </r>
        <r>
          <rPr>
            <sz val="9"/>
            <color indexed="81"/>
            <rFont val="Tahoma"/>
            <family val="2"/>
          </rPr>
          <t xml:space="preserve">M1/2
</t>
        </r>
        <r>
          <rPr>
            <b/>
            <sz val="9"/>
            <color indexed="81"/>
            <rFont val="Tahoma"/>
            <family val="2"/>
          </rPr>
          <t>x1.25:</t>
        </r>
        <r>
          <rPr>
            <sz val="9"/>
            <color indexed="81"/>
            <rFont val="Tahoma"/>
            <family val="2"/>
          </rPr>
          <t xml:space="preserve"> </t>
        </r>
        <r>
          <rPr>
            <sz val="9"/>
            <color indexed="81"/>
            <rFont val="細明體"/>
            <family val="3"/>
            <charset val="136"/>
          </rPr>
          <t>數學</t>
        </r>
      </text>
    </comment>
    <comment ref="M44" authorId="1" shapeId="0" xr:uid="{00000000-0006-0000-0500-00003A000000}">
      <text>
        <r>
          <rPr>
            <sz val="9"/>
            <color indexed="81"/>
            <rFont val="Tahoma"/>
            <family val="2"/>
          </rPr>
          <t>23-24 June 2021
(On a selective basis)</t>
        </r>
      </text>
    </comment>
    <comment ref="R44" authorId="2" shapeId="0" xr:uid="{00000000-0006-0000-0500-00003B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組合科學</t>
        </r>
        <r>
          <rPr>
            <sz val="9"/>
            <color indexed="81"/>
            <rFont val="Tahoma"/>
            <family val="2"/>
          </rPr>
          <t xml:space="preserve"> (</t>
        </r>
        <r>
          <rPr>
            <sz val="9"/>
            <color indexed="81"/>
            <rFont val="細明體"/>
            <family val="3"/>
            <charset val="136"/>
          </rPr>
          <t>物理</t>
        </r>
        <r>
          <rPr>
            <sz val="9"/>
            <color indexed="81"/>
            <rFont val="Tahoma"/>
            <family val="2"/>
          </rPr>
          <t>)</t>
        </r>
        <r>
          <rPr>
            <sz val="9"/>
            <color indexed="81"/>
            <rFont val="細明體"/>
            <family val="3"/>
            <charset val="136"/>
          </rPr>
          <t xml:space="preserve">
</t>
        </r>
        <r>
          <rPr>
            <sz val="9"/>
            <color indexed="81"/>
            <rFont val="Tahoma"/>
            <family val="2"/>
          </rPr>
          <t xml:space="preserve">- DAT
- </t>
        </r>
        <r>
          <rPr>
            <sz val="9"/>
            <color indexed="81"/>
            <rFont val="細明體"/>
            <family val="3"/>
            <charset val="136"/>
          </rPr>
          <t>物理</t>
        </r>
      </text>
    </comment>
    <comment ref="E45" authorId="0" shapeId="0" xr:uid="{00000000-0006-0000-0500-00003C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包含英文、數學、最佳理科</t>
        </r>
        <r>
          <rPr>
            <b/>
            <sz val="9"/>
            <color indexed="81"/>
            <rFont val="Tahoma"/>
            <family val="2"/>
          </rPr>
          <t>)</t>
        </r>
        <r>
          <rPr>
            <b/>
            <sz val="9"/>
            <color indexed="81"/>
            <rFont val="細明體"/>
            <family val="3"/>
            <charset val="136"/>
          </rPr>
          <t>收生</t>
        </r>
        <r>
          <rPr>
            <b/>
            <sz val="9"/>
            <color indexed="81"/>
            <rFont val="Tahoma"/>
            <family val="2"/>
          </rPr>
          <t xml:space="preserve">
</t>
        </r>
        <r>
          <rPr>
            <b/>
            <sz val="9"/>
            <color indexed="81"/>
            <rFont val="細明體"/>
            <family val="3"/>
            <charset val="136"/>
          </rPr>
          <t xml:space="preserve">
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x2: </t>
        </r>
        <r>
          <rPr>
            <sz val="9"/>
            <color indexed="81"/>
            <rFont val="細明體"/>
            <family val="3"/>
            <charset val="136"/>
          </rPr>
          <t xml:space="preserve">英文，物理
</t>
        </r>
        <r>
          <rPr>
            <b/>
            <sz val="9"/>
            <color indexed="81"/>
            <rFont val="Tahoma"/>
            <family val="2"/>
          </rPr>
          <t>x1.5:</t>
        </r>
        <r>
          <rPr>
            <sz val="9"/>
            <color indexed="81"/>
            <rFont val="Tahoma"/>
            <family val="2"/>
          </rPr>
          <t xml:space="preserve"> M1/2</t>
        </r>
        <r>
          <rPr>
            <sz val="9"/>
            <color indexed="81"/>
            <rFont val="細明體"/>
            <family val="3"/>
            <charset val="136"/>
          </rPr>
          <t>、化學</t>
        </r>
        <r>
          <rPr>
            <sz val="9"/>
            <color indexed="81"/>
            <rFont val="Tahoma"/>
            <family val="2"/>
          </rPr>
          <t xml:space="preserve">
</t>
        </r>
        <r>
          <rPr>
            <b/>
            <sz val="9"/>
            <color indexed="81"/>
            <rFont val="細明體"/>
            <family val="3"/>
            <charset val="136"/>
          </rPr>
          <t xml:space="preserve">
</t>
        </r>
        <r>
          <rPr>
            <b/>
            <sz val="9"/>
            <color indexed="81"/>
            <rFont val="Tahoma"/>
            <family val="2"/>
          </rPr>
          <t>2021</t>
        </r>
        <r>
          <rPr>
            <b/>
            <sz val="9"/>
            <color indexed="81"/>
            <rFont val="細明體"/>
            <family val="3"/>
            <charset val="136"/>
          </rPr>
          <t>年生物科有</t>
        </r>
        <r>
          <rPr>
            <b/>
            <sz val="9"/>
            <color indexed="81"/>
            <rFont val="Tahoma"/>
            <family val="2"/>
          </rPr>
          <t>x1.5</t>
        </r>
        <r>
          <rPr>
            <b/>
            <sz val="9"/>
            <color indexed="81"/>
            <rFont val="細明體"/>
            <family val="3"/>
            <charset val="136"/>
          </rPr>
          <t>比重
此處仍以</t>
        </r>
        <r>
          <rPr>
            <b/>
            <sz val="9"/>
            <color indexed="81"/>
            <rFont val="Tahoma"/>
            <family val="2"/>
          </rPr>
          <t>2020</t>
        </r>
        <r>
          <rPr>
            <b/>
            <sz val="9"/>
            <color indexed="81"/>
            <rFont val="細明體"/>
            <family val="3"/>
            <charset val="136"/>
          </rPr>
          <t>年比重計算，請注意</t>
        </r>
      </text>
    </comment>
    <comment ref="R45" authorId="2" shapeId="0" xr:uid="{00000000-0006-0000-0500-00003D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組合科學</t>
        </r>
        <r>
          <rPr>
            <sz val="9"/>
            <color indexed="81"/>
            <rFont val="Tahoma"/>
            <family val="2"/>
          </rPr>
          <t xml:space="preserve"> (</t>
        </r>
        <r>
          <rPr>
            <sz val="9"/>
            <color indexed="81"/>
            <rFont val="細明體"/>
            <family val="3"/>
            <charset val="136"/>
          </rPr>
          <t>物理</t>
        </r>
        <r>
          <rPr>
            <sz val="9"/>
            <color indexed="81"/>
            <rFont val="Tahoma"/>
            <family val="2"/>
          </rPr>
          <t>)</t>
        </r>
        <r>
          <rPr>
            <sz val="9"/>
            <color indexed="81"/>
            <rFont val="細明體"/>
            <family val="3"/>
            <charset val="136"/>
          </rPr>
          <t xml:space="preserve">
</t>
        </r>
        <r>
          <rPr>
            <sz val="9"/>
            <color indexed="81"/>
            <rFont val="Tahoma"/>
            <family val="2"/>
          </rPr>
          <t xml:space="preserve">- DAT
- </t>
        </r>
        <r>
          <rPr>
            <sz val="9"/>
            <color indexed="81"/>
            <rFont val="細明體"/>
            <family val="3"/>
            <charset val="136"/>
          </rPr>
          <t>物理</t>
        </r>
      </text>
    </comment>
    <comment ref="E46" authorId="0" shapeId="0" xr:uid="{00000000-0006-0000-0500-00003E000000}">
      <text>
        <r>
          <rPr>
            <b/>
            <sz val="9"/>
            <color indexed="81"/>
            <rFont val="Tahoma"/>
            <family val="2"/>
          </rPr>
          <t>2021</t>
        </r>
        <r>
          <rPr>
            <b/>
            <sz val="9"/>
            <color indexed="81"/>
            <rFont val="細明體"/>
            <family val="3"/>
            <charset val="136"/>
          </rPr>
          <t>年將以</t>
        </r>
        <r>
          <rPr>
            <b/>
            <sz val="9"/>
            <color indexed="81"/>
            <rFont val="Tahoma"/>
            <family val="2"/>
          </rPr>
          <t>Best 5</t>
        </r>
        <r>
          <rPr>
            <b/>
            <sz val="9"/>
            <color indexed="81"/>
            <rFont val="細明體"/>
            <family val="3"/>
            <charset val="136"/>
          </rPr>
          <t xml:space="preserve">收生
</t>
        </r>
        <r>
          <rPr>
            <b/>
            <sz val="9"/>
            <color indexed="81"/>
            <rFont val="Tahoma"/>
            <family val="2"/>
          </rPr>
          <t>(</t>
        </r>
        <r>
          <rPr>
            <b/>
            <sz val="9"/>
            <color indexed="81"/>
            <rFont val="細明體"/>
            <family val="3"/>
            <charset val="136"/>
          </rPr>
          <t>若同學有修讀</t>
        </r>
        <r>
          <rPr>
            <b/>
            <sz val="9"/>
            <color indexed="81"/>
            <rFont val="Tahoma"/>
            <family val="2"/>
          </rPr>
          <t>M1/2</t>
        </r>
        <r>
          <rPr>
            <b/>
            <sz val="9"/>
            <color indexed="81"/>
            <rFont val="細明體"/>
            <family val="3"/>
            <charset val="136"/>
          </rPr>
          <t>及數學，則只會取其中較高分者</t>
        </r>
        <r>
          <rPr>
            <b/>
            <sz val="9"/>
            <color indexed="81"/>
            <rFont val="Tahoma"/>
            <family val="2"/>
          </rPr>
          <t xml:space="preserve">)
</t>
        </r>
        <r>
          <rPr>
            <b/>
            <sz val="9"/>
            <color indexed="81"/>
            <rFont val="細明體"/>
            <family val="3"/>
            <charset val="136"/>
          </rPr>
          <t>此處仍以</t>
        </r>
        <r>
          <rPr>
            <b/>
            <sz val="9"/>
            <color indexed="81"/>
            <rFont val="Tahoma"/>
            <family val="2"/>
          </rPr>
          <t>4C2X</t>
        </r>
        <r>
          <rPr>
            <b/>
            <sz val="9"/>
            <color indexed="81"/>
            <rFont val="細明體"/>
            <family val="3"/>
            <charset val="136"/>
          </rPr>
          <t xml:space="preserve">作估算，請注意
</t>
        </r>
        <r>
          <rPr>
            <b/>
            <sz val="9"/>
            <color indexed="81"/>
            <rFont val="Tahoma"/>
            <family val="2"/>
          </rPr>
          <t xml:space="preserve">x2: </t>
        </r>
        <r>
          <rPr>
            <sz val="9"/>
            <color indexed="81"/>
            <rFont val="細明體"/>
            <family val="3"/>
            <charset val="136"/>
          </rPr>
          <t xml:space="preserve">英文，數學、化學，物理，生物，組合科學
</t>
        </r>
        <r>
          <rPr>
            <b/>
            <sz val="9"/>
            <color indexed="81"/>
            <rFont val="細明體"/>
            <family val="3"/>
            <charset val="136"/>
          </rPr>
          <t xml:space="preserve">
</t>
        </r>
        <r>
          <rPr>
            <b/>
            <sz val="9"/>
            <color indexed="81"/>
            <rFont val="Tahoma"/>
            <family val="2"/>
          </rPr>
          <t>2021</t>
        </r>
        <r>
          <rPr>
            <b/>
            <sz val="9"/>
            <color indexed="81"/>
            <rFont val="細明體"/>
            <family val="3"/>
            <charset val="136"/>
          </rPr>
          <t>年</t>
        </r>
        <r>
          <rPr>
            <b/>
            <sz val="9"/>
            <color indexed="81"/>
            <rFont val="Tahoma"/>
            <family val="2"/>
          </rPr>
          <t>M1/2</t>
        </r>
        <r>
          <rPr>
            <b/>
            <sz val="9"/>
            <color indexed="81"/>
            <rFont val="細明體"/>
            <family val="3"/>
            <charset val="136"/>
          </rPr>
          <t>有</t>
        </r>
        <r>
          <rPr>
            <b/>
            <sz val="9"/>
            <color indexed="81"/>
            <rFont val="Tahoma"/>
            <family val="2"/>
          </rPr>
          <t>x2</t>
        </r>
        <r>
          <rPr>
            <b/>
            <sz val="9"/>
            <color indexed="81"/>
            <rFont val="細明體"/>
            <family val="3"/>
            <charset val="136"/>
          </rPr>
          <t>比重
此處仍以</t>
        </r>
        <r>
          <rPr>
            <b/>
            <sz val="9"/>
            <color indexed="81"/>
            <rFont val="Tahoma"/>
            <family val="2"/>
          </rPr>
          <t>2020</t>
        </r>
        <r>
          <rPr>
            <b/>
            <sz val="9"/>
            <color indexed="81"/>
            <rFont val="細明體"/>
            <family val="3"/>
            <charset val="136"/>
          </rPr>
          <t>年比重計算，請注意</t>
        </r>
      </text>
    </comment>
    <comment ref="R46" authorId="2" shapeId="0" xr:uid="{00000000-0006-0000-0500-00003F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組合科學</t>
        </r>
        <r>
          <rPr>
            <sz val="9"/>
            <color indexed="81"/>
            <rFont val="Tahoma"/>
            <family val="2"/>
          </rPr>
          <t xml:space="preserve">
- </t>
        </r>
        <r>
          <rPr>
            <sz val="9"/>
            <color indexed="81"/>
            <rFont val="細明體"/>
            <family val="3"/>
            <charset val="136"/>
          </rPr>
          <t>物理</t>
        </r>
      </text>
    </comment>
    <comment ref="E47" authorId="1" shapeId="0" xr:uid="{00000000-0006-0000-0500-000040000000}">
      <text>
        <r>
          <rPr>
            <b/>
            <sz val="9"/>
            <color indexed="81"/>
            <rFont val="Tahoma"/>
            <family val="2"/>
          </rPr>
          <t>2021</t>
        </r>
        <r>
          <rPr>
            <b/>
            <sz val="9"/>
            <color indexed="81"/>
            <rFont val="細明體"/>
            <family val="3"/>
            <charset val="136"/>
          </rPr>
          <t xml:space="preserve">年新科目
</t>
        </r>
        <r>
          <rPr>
            <sz val="9"/>
            <color indexed="81"/>
            <rFont val="Tahoma"/>
            <family val="2"/>
          </rPr>
          <t>(</t>
        </r>
        <r>
          <rPr>
            <sz val="9"/>
            <color indexed="81"/>
            <rFont val="細明體"/>
            <family val="3"/>
            <charset val="136"/>
          </rPr>
          <t>包含英文、數學</t>
        </r>
        <r>
          <rPr>
            <sz val="9"/>
            <color indexed="81"/>
            <rFont val="Tahoma"/>
            <family val="2"/>
          </rPr>
          <t>)</t>
        </r>
        <r>
          <rPr>
            <b/>
            <sz val="9"/>
            <color indexed="81"/>
            <rFont val="細明體"/>
            <family val="3"/>
            <charset val="136"/>
          </rPr>
          <t xml:space="preserve">
</t>
        </r>
        <r>
          <rPr>
            <b/>
            <sz val="9"/>
            <color indexed="81"/>
            <rFont val="Tahoma"/>
            <family val="2"/>
          </rPr>
          <t>x2:</t>
        </r>
        <r>
          <rPr>
            <sz val="9"/>
            <color indexed="81"/>
            <rFont val="Tahoma"/>
            <family val="2"/>
          </rPr>
          <t xml:space="preserve"> </t>
        </r>
        <r>
          <rPr>
            <sz val="9"/>
            <color indexed="81"/>
            <rFont val="細明體"/>
            <family val="3"/>
            <charset val="136"/>
          </rPr>
          <t>英文、數學、物理、</t>
        </r>
        <r>
          <rPr>
            <sz val="9"/>
            <color indexed="81"/>
            <rFont val="Tahoma"/>
            <family val="2"/>
          </rPr>
          <t>M1/2</t>
        </r>
        <r>
          <rPr>
            <sz val="9"/>
            <color indexed="81"/>
            <rFont val="細明體"/>
            <family val="3"/>
            <charset val="136"/>
          </rPr>
          <t>、</t>
        </r>
        <r>
          <rPr>
            <sz val="9"/>
            <color indexed="81"/>
            <rFont val="Tahoma"/>
            <family val="2"/>
          </rPr>
          <t xml:space="preserve">ICT
</t>
        </r>
        <r>
          <rPr>
            <b/>
            <sz val="9"/>
            <color indexed="81"/>
            <rFont val="Tahoma"/>
            <family val="2"/>
          </rPr>
          <t>x1.5:</t>
        </r>
        <r>
          <rPr>
            <sz val="9"/>
            <color indexed="81"/>
            <rFont val="Tahoma"/>
            <family val="2"/>
          </rPr>
          <t xml:space="preserve"> </t>
        </r>
        <r>
          <rPr>
            <sz val="9"/>
            <color indexed="81"/>
            <rFont val="細明體"/>
            <family val="3"/>
            <charset val="136"/>
          </rPr>
          <t>化學、組合科學</t>
        </r>
        <r>
          <rPr>
            <sz val="9"/>
            <color indexed="81"/>
            <rFont val="Tahoma"/>
            <family val="2"/>
          </rPr>
          <t>(</t>
        </r>
        <r>
          <rPr>
            <sz val="9"/>
            <color indexed="81"/>
            <rFont val="細明體"/>
            <family val="3"/>
            <charset val="136"/>
          </rPr>
          <t>含物理</t>
        </r>
        <r>
          <rPr>
            <sz val="9"/>
            <color indexed="81"/>
            <rFont val="Tahoma"/>
            <family val="2"/>
          </rPr>
          <t>)</t>
        </r>
        <r>
          <rPr>
            <sz val="9"/>
            <color indexed="81"/>
            <rFont val="細明體"/>
            <family val="3"/>
            <charset val="136"/>
          </rPr>
          <t>、</t>
        </r>
        <r>
          <rPr>
            <sz val="9"/>
            <color indexed="81"/>
            <rFont val="Tahoma"/>
            <family val="2"/>
          </rPr>
          <t>DAT</t>
        </r>
      </text>
    </comment>
    <comment ref="R47" authorId="2" shapeId="0" xr:uid="{00000000-0006-0000-0500-000041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組合科學</t>
        </r>
        <r>
          <rPr>
            <sz val="9"/>
            <color indexed="81"/>
            <rFont val="Tahoma"/>
            <family val="2"/>
          </rPr>
          <t xml:space="preserve"> (</t>
        </r>
        <r>
          <rPr>
            <sz val="9"/>
            <color indexed="81"/>
            <rFont val="細明體"/>
            <family val="3"/>
            <charset val="136"/>
          </rPr>
          <t>物理</t>
        </r>
        <r>
          <rPr>
            <sz val="9"/>
            <color indexed="81"/>
            <rFont val="Tahoma"/>
            <family val="2"/>
          </rPr>
          <t>)</t>
        </r>
        <r>
          <rPr>
            <sz val="9"/>
            <color indexed="81"/>
            <rFont val="細明體"/>
            <family val="3"/>
            <charset val="136"/>
          </rPr>
          <t xml:space="preserve">
</t>
        </r>
        <r>
          <rPr>
            <sz val="9"/>
            <color indexed="81"/>
            <rFont val="Tahoma"/>
            <family val="2"/>
          </rPr>
          <t>- DAT</t>
        </r>
        <r>
          <rPr>
            <sz val="9"/>
            <color indexed="81"/>
            <rFont val="細明體"/>
            <family val="3"/>
            <charset val="136"/>
          </rPr>
          <t xml:space="preserve">
</t>
        </r>
        <r>
          <rPr>
            <sz val="9"/>
            <color indexed="81"/>
            <rFont val="Tahoma"/>
            <family val="2"/>
          </rPr>
          <t xml:space="preserve">- ICT
- M1/2
- </t>
        </r>
        <r>
          <rPr>
            <sz val="9"/>
            <color indexed="81"/>
            <rFont val="細明體"/>
            <family val="3"/>
            <charset val="136"/>
          </rPr>
          <t>物理</t>
        </r>
      </text>
    </comment>
    <comment ref="E48" authorId="1" shapeId="0" xr:uid="{00000000-0006-0000-0500-000042000000}">
      <text>
        <r>
          <rPr>
            <b/>
            <sz val="9"/>
            <color indexed="81"/>
            <rFont val="Tahoma"/>
            <family val="2"/>
          </rPr>
          <t>2021</t>
        </r>
        <r>
          <rPr>
            <b/>
            <sz val="9"/>
            <color indexed="81"/>
            <rFont val="細明體"/>
            <family val="3"/>
            <charset val="136"/>
          </rPr>
          <t>年將以</t>
        </r>
        <r>
          <rPr>
            <b/>
            <sz val="9"/>
            <color indexed="81"/>
            <rFont val="Tahoma"/>
            <family val="2"/>
          </rPr>
          <t>Best 6 (</t>
        </r>
        <r>
          <rPr>
            <b/>
            <sz val="9"/>
            <color indexed="81"/>
            <rFont val="細明體"/>
            <family val="3"/>
            <charset val="136"/>
          </rPr>
          <t>包含英文、數學、生物及化學</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text>
    </comment>
    <comment ref="M48" authorId="1" shapeId="0" xr:uid="{00000000-0006-0000-0500-000043000000}">
      <text>
        <r>
          <rPr>
            <sz val="9"/>
            <color indexed="81"/>
            <rFont val="Tahoma"/>
            <family val="2"/>
          </rPr>
          <t>Late July to early August 2021
(On a selective basis)</t>
        </r>
      </text>
    </comment>
    <comment ref="R48" authorId="2" shapeId="0" xr:uid="{00000000-0006-0000-0500-000044000000}">
      <text>
        <r>
          <rPr>
            <b/>
            <sz val="9"/>
            <color indexed="81"/>
            <rFont val="細明體"/>
            <family val="3"/>
            <charset val="136"/>
          </rPr>
          <t xml:space="preserve">以下兩科︰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化學</t>
        </r>
      </text>
    </comment>
    <comment ref="S48" authorId="2" shapeId="0" xr:uid="{00000000-0006-0000-0500-000045000000}">
      <text>
        <r>
          <rPr>
            <b/>
            <sz val="9"/>
            <color indexed="81"/>
            <rFont val="細明體"/>
            <family val="3"/>
            <charset val="136"/>
          </rPr>
          <t xml:space="preserve">以下兩科︰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化學</t>
        </r>
      </text>
    </comment>
    <comment ref="E49" authorId="0" shapeId="0" xr:uid="{00000000-0006-0000-0500-000046000000}">
      <text>
        <r>
          <rPr>
            <b/>
            <sz val="9"/>
            <color indexed="81"/>
            <rFont val="Tahoma"/>
            <family val="2"/>
          </rPr>
          <t xml:space="preserve">x2: </t>
        </r>
        <r>
          <rPr>
            <sz val="9"/>
            <color indexed="81"/>
            <rFont val="細明體"/>
            <family val="3"/>
            <charset val="136"/>
          </rPr>
          <t xml:space="preserve">英文，物理，化學，生物，組合科學，
</t>
        </r>
        <r>
          <rPr>
            <b/>
            <sz val="9"/>
            <color indexed="81"/>
            <rFont val="Tahoma"/>
            <family val="2"/>
          </rPr>
          <t xml:space="preserve">x1.5: </t>
        </r>
        <r>
          <rPr>
            <sz val="9"/>
            <color indexed="81"/>
            <rFont val="細明體"/>
            <family val="3"/>
            <charset val="136"/>
          </rPr>
          <t>數學，</t>
        </r>
        <r>
          <rPr>
            <sz val="9"/>
            <color indexed="81"/>
            <rFont val="Tahoma"/>
            <family val="2"/>
          </rPr>
          <t>BAFS</t>
        </r>
        <r>
          <rPr>
            <sz val="9"/>
            <color indexed="81"/>
            <rFont val="細明體"/>
            <family val="3"/>
            <charset val="136"/>
          </rPr>
          <t>，</t>
        </r>
        <r>
          <rPr>
            <sz val="9"/>
            <color indexed="81"/>
            <rFont val="Tahoma"/>
            <family val="2"/>
          </rPr>
          <t>ICT</t>
        </r>
        <r>
          <rPr>
            <sz val="9"/>
            <color indexed="81"/>
            <rFont val="細明體"/>
            <family val="3"/>
            <charset val="136"/>
          </rPr>
          <t>，</t>
        </r>
        <r>
          <rPr>
            <sz val="9"/>
            <color indexed="81"/>
            <rFont val="Tahoma"/>
            <family val="2"/>
          </rPr>
          <t>DAT</t>
        </r>
        <r>
          <rPr>
            <sz val="9"/>
            <color indexed="81"/>
            <rFont val="細明體"/>
            <family val="3"/>
            <charset val="136"/>
          </rPr>
          <t>，</t>
        </r>
        <r>
          <rPr>
            <sz val="9"/>
            <color indexed="81"/>
            <rFont val="Tahoma"/>
            <family val="2"/>
          </rPr>
          <t>M1/2</t>
        </r>
        <r>
          <rPr>
            <sz val="9"/>
            <color indexed="81"/>
            <rFont val="細明體"/>
            <family val="3"/>
            <charset val="136"/>
          </rPr>
          <t>，綜合科學</t>
        </r>
      </text>
    </comment>
    <comment ref="R49" authorId="2" shapeId="0" xr:uid="{00000000-0006-0000-0500-000047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text>
    </comment>
    <comment ref="S49" authorId="2" shapeId="0" xr:uid="{00000000-0006-0000-0500-000048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BAFS
- </t>
        </r>
        <r>
          <rPr>
            <sz val="9"/>
            <color indexed="81"/>
            <rFont val="細明體"/>
            <family val="3"/>
            <charset val="136"/>
          </rPr>
          <t xml:space="preserve">化學
</t>
        </r>
        <r>
          <rPr>
            <sz val="9"/>
            <color indexed="81"/>
            <rFont val="Tahoma"/>
            <family val="2"/>
          </rPr>
          <t xml:space="preserve">- DAT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ICT
- M1/2
- </t>
        </r>
        <r>
          <rPr>
            <sz val="9"/>
            <color indexed="81"/>
            <rFont val="細明體"/>
            <family val="3"/>
            <charset val="136"/>
          </rPr>
          <t>物理</t>
        </r>
      </text>
    </comment>
    <comment ref="E50" authorId="0" shapeId="0" xr:uid="{00000000-0006-0000-0500-000049000000}">
      <text>
        <r>
          <rPr>
            <b/>
            <sz val="9"/>
            <color indexed="81"/>
            <rFont val="Tahoma"/>
            <family val="2"/>
          </rPr>
          <t xml:space="preserve">x2: </t>
        </r>
        <r>
          <rPr>
            <sz val="9"/>
            <color indexed="81"/>
            <rFont val="細明體"/>
            <family val="3"/>
            <charset val="136"/>
          </rPr>
          <t xml:space="preserve">英文，物理，化學，生物，組合科學，
</t>
        </r>
        <r>
          <rPr>
            <b/>
            <sz val="9"/>
            <color indexed="81"/>
            <rFont val="Tahoma"/>
            <family val="2"/>
          </rPr>
          <t xml:space="preserve">x1.5: </t>
        </r>
        <r>
          <rPr>
            <sz val="9"/>
            <color indexed="81"/>
            <rFont val="細明體"/>
            <family val="3"/>
            <charset val="136"/>
          </rPr>
          <t>數學，</t>
        </r>
        <r>
          <rPr>
            <sz val="9"/>
            <color indexed="81"/>
            <rFont val="Tahoma"/>
            <family val="2"/>
          </rPr>
          <t>BAFS</t>
        </r>
        <r>
          <rPr>
            <sz val="9"/>
            <color indexed="81"/>
            <rFont val="細明體"/>
            <family val="3"/>
            <charset val="136"/>
          </rPr>
          <t>，</t>
        </r>
        <r>
          <rPr>
            <sz val="9"/>
            <color indexed="81"/>
            <rFont val="Tahoma"/>
            <family val="2"/>
          </rPr>
          <t>ICT</t>
        </r>
        <r>
          <rPr>
            <sz val="9"/>
            <color indexed="81"/>
            <rFont val="細明體"/>
            <family val="3"/>
            <charset val="136"/>
          </rPr>
          <t>，</t>
        </r>
        <r>
          <rPr>
            <sz val="9"/>
            <color indexed="81"/>
            <rFont val="Tahoma"/>
            <family val="2"/>
          </rPr>
          <t>DAT</t>
        </r>
        <r>
          <rPr>
            <sz val="9"/>
            <color indexed="81"/>
            <rFont val="細明體"/>
            <family val="3"/>
            <charset val="136"/>
          </rPr>
          <t>，</t>
        </r>
        <r>
          <rPr>
            <sz val="9"/>
            <color indexed="81"/>
            <rFont val="Tahoma"/>
            <family val="2"/>
          </rPr>
          <t>M1/2</t>
        </r>
        <r>
          <rPr>
            <sz val="9"/>
            <color indexed="81"/>
            <rFont val="細明體"/>
            <family val="3"/>
            <charset val="136"/>
          </rPr>
          <t>，綜合科學</t>
        </r>
      </text>
    </comment>
    <comment ref="R50" authorId="2" shapeId="0" xr:uid="{00000000-0006-0000-0500-00004A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text>
    </comment>
    <comment ref="S50" authorId="2" shapeId="0" xr:uid="{00000000-0006-0000-0500-00004B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BAFS
- </t>
        </r>
        <r>
          <rPr>
            <sz val="9"/>
            <color indexed="81"/>
            <rFont val="細明體"/>
            <family val="3"/>
            <charset val="136"/>
          </rPr>
          <t xml:space="preserve">化學
</t>
        </r>
        <r>
          <rPr>
            <sz val="9"/>
            <color indexed="81"/>
            <rFont val="Tahoma"/>
            <family val="2"/>
          </rPr>
          <t xml:space="preserve">- DAT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ICT
- M1/2
- </t>
        </r>
        <r>
          <rPr>
            <sz val="9"/>
            <color indexed="81"/>
            <rFont val="細明體"/>
            <family val="3"/>
            <charset val="136"/>
          </rPr>
          <t>物理</t>
        </r>
      </text>
    </comment>
    <comment ref="E51" authorId="0" shapeId="0" xr:uid="{00000000-0006-0000-0500-00004C000000}">
      <text>
        <r>
          <rPr>
            <b/>
            <sz val="9"/>
            <color indexed="81"/>
            <rFont val="Tahoma"/>
            <family val="2"/>
          </rPr>
          <t xml:space="preserve">x2: </t>
        </r>
        <r>
          <rPr>
            <sz val="9"/>
            <color indexed="81"/>
            <rFont val="細明體"/>
            <family val="3"/>
            <charset val="136"/>
          </rPr>
          <t xml:space="preserve">英文，物理，化學，生物，組合科學，
</t>
        </r>
        <r>
          <rPr>
            <b/>
            <sz val="9"/>
            <color indexed="81"/>
            <rFont val="細明體"/>
            <family val="3"/>
            <charset val="136"/>
          </rPr>
          <t xml:space="preserve">
</t>
        </r>
        <r>
          <rPr>
            <b/>
            <sz val="9"/>
            <color indexed="81"/>
            <rFont val="Tahoma"/>
            <family val="2"/>
          </rPr>
          <t xml:space="preserve">x1.5: </t>
        </r>
        <r>
          <rPr>
            <sz val="9"/>
            <color indexed="81"/>
            <rFont val="細明體"/>
            <family val="3"/>
            <charset val="136"/>
          </rPr>
          <t>數學，</t>
        </r>
        <r>
          <rPr>
            <sz val="9"/>
            <color indexed="81"/>
            <rFont val="Tahoma"/>
            <family val="2"/>
          </rPr>
          <t>BAFS</t>
        </r>
        <r>
          <rPr>
            <sz val="9"/>
            <color indexed="81"/>
            <rFont val="細明體"/>
            <family val="3"/>
            <charset val="136"/>
          </rPr>
          <t>，</t>
        </r>
        <r>
          <rPr>
            <sz val="9"/>
            <color indexed="81"/>
            <rFont val="Tahoma"/>
            <family val="2"/>
          </rPr>
          <t>ICT</t>
        </r>
        <r>
          <rPr>
            <sz val="9"/>
            <color indexed="81"/>
            <rFont val="細明體"/>
            <family val="3"/>
            <charset val="136"/>
          </rPr>
          <t>，</t>
        </r>
        <r>
          <rPr>
            <sz val="9"/>
            <color indexed="81"/>
            <rFont val="Tahoma"/>
            <family val="2"/>
          </rPr>
          <t>DAT</t>
        </r>
        <r>
          <rPr>
            <sz val="9"/>
            <color indexed="81"/>
            <rFont val="細明體"/>
            <family val="3"/>
            <charset val="136"/>
          </rPr>
          <t>，</t>
        </r>
        <r>
          <rPr>
            <sz val="9"/>
            <color indexed="81"/>
            <rFont val="Tahoma"/>
            <family val="2"/>
          </rPr>
          <t>M1/2</t>
        </r>
        <r>
          <rPr>
            <sz val="9"/>
            <color indexed="81"/>
            <rFont val="細明體"/>
            <family val="3"/>
            <charset val="136"/>
          </rPr>
          <t>，綜合科學</t>
        </r>
      </text>
    </comment>
    <comment ref="R51" authorId="2" shapeId="0" xr:uid="{00000000-0006-0000-0500-00004D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text>
    </comment>
    <comment ref="S51" authorId="2" shapeId="0" xr:uid="{00000000-0006-0000-0500-00004E000000}">
      <text>
        <r>
          <rPr>
            <b/>
            <sz val="9"/>
            <color indexed="81"/>
            <rFont val="細明體"/>
            <family val="3"/>
            <charset val="136"/>
          </rPr>
          <t>以下一科︰</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BAFS
- </t>
        </r>
        <r>
          <rPr>
            <sz val="9"/>
            <color indexed="81"/>
            <rFont val="細明體"/>
            <family val="3"/>
            <charset val="136"/>
          </rPr>
          <t xml:space="preserve">化學
</t>
        </r>
        <r>
          <rPr>
            <sz val="9"/>
            <color indexed="81"/>
            <rFont val="Tahoma"/>
            <family val="2"/>
          </rPr>
          <t xml:space="preserve">- DAT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ICT
- M1/2
- </t>
        </r>
        <r>
          <rPr>
            <sz val="9"/>
            <color indexed="81"/>
            <rFont val="細明體"/>
            <family val="3"/>
            <charset val="136"/>
          </rPr>
          <t>物理</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Chan</author>
    <author>CHAN, Koon Ho</author>
    <author>Michael</author>
  </authors>
  <commentList>
    <comment ref="M7" authorId="0" shapeId="0" xr:uid="{00000000-0006-0000-0600-000001000000}">
      <text>
        <r>
          <rPr>
            <sz val="9"/>
            <color indexed="81"/>
            <rFont val="Tahoma"/>
            <family val="2"/>
          </rPr>
          <t>By 30 June 2021</t>
        </r>
      </text>
    </comment>
    <comment ref="C9" authorId="1" shapeId="0" xr:uid="{00000000-0006-0000-0600-000002000000}">
      <text>
        <r>
          <rPr>
            <sz val="9"/>
            <color indexed="81"/>
            <rFont val="細明體"/>
            <family val="3"/>
            <charset val="136"/>
          </rPr>
          <t>學系將審視申請人的</t>
        </r>
        <r>
          <rPr>
            <b/>
            <sz val="9"/>
            <color indexed="81"/>
            <rFont val="細明體"/>
            <family val="3"/>
            <charset val="136"/>
          </rPr>
          <t>音樂資歷</t>
        </r>
        <r>
          <rPr>
            <sz val="9"/>
            <color indexed="81"/>
            <rFont val="細明體"/>
            <family val="3"/>
            <charset val="136"/>
          </rPr>
          <t>。</t>
        </r>
        <r>
          <rPr>
            <sz val="9"/>
            <color indexed="81"/>
            <rFont val="Tahoma"/>
            <family val="2"/>
          </rPr>
          <t xml:space="preserve">
</t>
        </r>
        <r>
          <rPr>
            <sz val="9"/>
            <color indexed="81"/>
            <rFont val="細明體"/>
            <family val="3"/>
            <charset val="136"/>
          </rPr>
          <t>同學應遞交</t>
        </r>
        <r>
          <rPr>
            <b/>
            <sz val="9"/>
            <color indexed="81"/>
            <rFont val="細明體"/>
            <family val="3"/>
            <charset val="136"/>
          </rPr>
          <t>作品集</t>
        </r>
        <r>
          <rPr>
            <sz val="9"/>
            <color indexed="81"/>
            <rFont val="細明體"/>
            <family val="3"/>
            <charset val="136"/>
          </rPr>
          <t>。受邀的同學須參與</t>
        </r>
        <r>
          <rPr>
            <sz val="9"/>
            <color indexed="81"/>
            <rFont val="Tahoma"/>
            <family val="2"/>
          </rPr>
          <t>5</t>
        </r>
        <r>
          <rPr>
            <sz val="9"/>
            <color indexed="81"/>
            <rFont val="細明體"/>
            <family val="3"/>
            <charset val="136"/>
          </rPr>
          <t>月及</t>
        </r>
        <r>
          <rPr>
            <sz val="9"/>
            <color indexed="81"/>
            <rFont val="Tahoma"/>
            <family val="2"/>
          </rPr>
          <t>6</t>
        </r>
        <r>
          <rPr>
            <sz val="9"/>
            <color indexed="81"/>
            <rFont val="細明體"/>
            <family val="3"/>
            <charset val="136"/>
          </rPr>
          <t>月的</t>
        </r>
        <r>
          <rPr>
            <b/>
            <sz val="9"/>
            <color indexed="81"/>
            <rFont val="細明體"/>
            <family val="3"/>
            <charset val="136"/>
          </rPr>
          <t>入學面試</t>
        </r>
        <r>
          <rPr>
            <sz val="9"/>
            <color indexed="81"/>
            <rFont val="細明體"/>
            <family val="3"/>
            <charset val="136"/>
          </rPr>
          <t>。
詳情請細閱以下網站</t>
        </r>
        <r>
          <rPr>
            <sz val="9"/>
            <color indexed="81"/>
            <rFont val="Tahoma"/>
            <family val="2"/>
          </rPr>
          <t>: https://mus.hkbu.edu.hk/undergraduate.html</t>
        </r>
      </text>
    </comment>
    <comment ref="L9" authorId="0" shapeId="0" xr:uid="{00000000-0006-0000-0600-000003000000}">
      <text>
        <r>
          <rPr>
            <sz val="9"/>
            <color indexed="81"/>
            <rFont val="細明體"/>
            <family val="3"/>
            <charset val="136"/>
          </rPr>
          <t>學系將審視申請人的</t>
        </r>
        <r>
          <rPr>
            <b/>
            <sz val="9"/>
            <color indexed="81"/>
            <rFont val="細明體"/>
            <family val="3"/>
            <charset val="136"/>
          </rPr>
          <t>音樂資歷</t>
        </r>
        <r>
          <rPr>
            <sz val="9"/>
            <color indexed="81"/>
            <rFont val="細明體"/>
            <family val="3"/>
            <charset val="136"/>
          </rPr>
          <t>。
詳情請細閱以下網站</t>
        </r>
        <r>
          <rPr>
            <sz val="9"/>
            <color indexed="81"/>
            <rFont val="Tahoma"/>
            <family val="2"/>
          </rPr>
          <t>: https://mus.hkbu.edu.hk/undergraduate.html</t>
        </r>
      </text>
    </comment>
    <comment ref="M9" authorId="0" shapeId="0" xr:uid="{00000000-0006-0000-0600-000004000000}">
      <text>
        <r>
          <rPr>
            <b/>
            <sz val="9"/>
            <color indexed="81"/>
            <rFont val="細明體"/>
            <family val="3"/>
            <charset val="136"/>
          </rPr>
          <t>前</t>
        </r>
        <r>
          <rPr>
            <b/>
            <sz val="9"/>
            <color indexed="81"/>
            <rFont val="Tahoma"/>
            <family val="2"/>
          </rPr>
          <t xml:space="preserve">: </t>
        </r>
        <r>
          <rPr>
            <sz val="9"/>
            <color indexed="81"/>
            <rFont val="Tahoma"/>
            <family val="2"/>
          </rPr>
          <t xml:space="preserve">By 30 June 2021
</t>
        </r>
        <r>
          <rPr>
            <b/>
            <sz val="9"/>
            <color indexed="81"/>
            <rFont val="細明體"/>
            <family val="3"/>
            <charset val="136"/>
          </rPr>
          <t>後</t>
        </r>
        <r>
          <rPr>
            <b/>
            <sz val="9"/>
            <color indexed="81"/>
            <rFont val="Tahoma"/>
            <family val="2"/>
          </rPr>
          <t xml:space="preserve">: </t>
        </r>
        <r>
          <rPr>
            <sz val="9"/>
            <color indexed="81"/>
            <rFont val="Tahoma"/>
            <family val="2"/>
          </rPr>
          <t>By 2 August 2021</t>
        </r>
      </text>
    </comment>
    <comment ref="E10" authorId="0" shapeId="0" xr:uid="{00000000-0006-0000-0600-000005000000}">
      <text>
        <r>
          <rPr>
            <b/>
            <sz val="9"/>
            <color indexed="81"/>
            <rFont val="Tahoma"/>
            <family val="2"/>
          </rPr>
          <t xml:space="preserve">x2: </t>
        </r>
        <r>
          <rPr>
            <sz val="9"/>
            <color indexed="81"/>
            <rFont val="細明體"/>
            <family val="3"/>
            <charset val="136"/>
          </rPr>
          <t>英文、英語文學</t>
        </r>
        <r>
          <rPr>
            <sz val="9"/>
            <color indexed="81"/>
            <rFont val="Tahoma"/>
            <family val="2"/>
          </rPr>
          <t xml:space="preserve">
</t>
        </r>
        <r>
          <rPr>
            <b/>
            <sz val="9"/>
            <color indexed="81"/>
            <rFont val="Tahoma"/>
            <family val="2"/>
          </rPr>
          <t>x1.5:</t>
        </r>
        <r>
          <rPr>
            <sz val="9"/>
            <color indexed="81"/>
            <rFont val="Tahoma"/>
            <family val="2"/>
          </rPr>
          <t xml:space="preserve"> </t>
        </r>
        <r>
          <rPr>
            <sz val="9"/>
            <color indexed="81"/>
            <rFont val="細明體"/>
            <family val="3"/>
            <charset val="136"/>
          </rPr>
          <t>中文、中國文學、通識、數學</t>
        </r>
      </text>
    </comment>
    <comment ref="M10" authorId="0" shapeId="0" xr:uid="{00000000-0006-0000-0600-000006000000}">
      <text>
        <r>
          <rPr>
            <sz val="9"/>
            <color indexed="81"/>
            <rFont val="Tahoma"/>
            <family val="2"/>
          </rPr>
          <t>31 July &amp; 2 August 2021</t>
        </r>
      </text>
    </comment>
    <comment ref="N10" authorId="0" shapeId="0" xr:uid="{00000000-0006-0000-0600-000007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t>
        </r>
      </text>
    </comment>
    <comment ref="O10" authorId="0" shapeId="0" xr:uid="{00000000-0006-0000-0600-000008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b/>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t>
        </r>
      </text>
    </comment>
    <comment ref="C11" authorId="0" shapeId="0" xr:uid="{00000000-0006-0000-0600-000009000000}">
      <text>
        <r>
          <rPr>
            <sz val="9"/>
            <color indexed="81"/>
            <rFont val="細明體"/>
            <family val="3"/>
            <charset val="136"/>
          </rPr>
          <t>受邀的同學須遞交</t>
        </r>
        <r>
          <rPr>
            <b/>
            <sz val="9"/>
            <color indexed="81"/>
            <rFont val="細明體"/>
            <family val="3"/>
            <charset val="136"/>
          </rPr>
          <t>作品集</t>
        </r>
        <r>
          <rPr>
            <sz val="9"/>
            <color indexed="81"/>
            <rFont val="細明體"/>
            <family val="3"/>
            <charset val="136"/>
          </rPr>
          <t>，以及參與</t>
        </r>
        <r>
          <rPr>
            <b/>
            <sz val="9"/>
            <color indexed="81"/>
            <rFont val="細明體"/>
            <family val="3"/>
            <charset val="136"/>
          </rPr>
          <t>入學面試</t>
        </r>
        <r>
          <rPr>
            <sz val="9"/>
            <color indexed="81"/>
            <rFont val="細明體"/>
            <family val="3"/>
            <charset val="136"/>
          </rPr>
          <t>。
詳情請細閱以下網站</t>
        </r>
        <r>
          <rPr>
            <sz val="9"/>
            <color indexed="81"/>
            <rFont val="Tahoma"/>
            <family val="2"/>
          </rPr>
          <t>: http://mus.hkbu.edu.hk/BM.html</t>
        </r>
      </text>
    </comment>
    <comment ref="L11" authorId="0" shapeId="0" xr:uid="{00000000-0006-0000-0600-00000A000000}">
      <text>
        <r>
          <rPr>
            <sz val="9"/>
            <color indexed="81"/>
            <rFont val="細明體"/>
            <family val="3"/>
            <charset val="136"/>
          </rPr>
          <t>學系將審視申請人的</t>
        </r>
        <r>
          <rPr>
            <b/>
            <sz val="9"/>
            <color indexed="81"/>
            <rFont val="細明體"/>
            <family val="3"/>
            <charset val="136"/>
          </rPr>
          <t>音樂資歷</t>
        </r>
        <r>
          <rPr>
            <sz val="9"/>
            <color indexed="81"/>
            <rFont val="細明體"/>
            <family val="3"/>
            <charset val="136"/>
          </rPr>
          <t>。</t>
        </r>
        <r>
          <rPr>
            <b/>
            <sz val="9"/>
            <color indexed="81"/>
            <rFont val="細明體"/>
            <family val="3"/>
            <charset val="136"/>
          </rPr>
          <t xml:space="preserve">
</t>
        </r>
        <r>
          <rPr>
            <sz val="9"/>
            <color indexed="81"/>
            <rFont val="細明體"/>
            <family val="3"/>
            <charset val="136"/>
          </rPr>
          <t>詳情請細閱以下網站</t>
        </r>
        <r>
          <rPr>
            <sz val="9"/>
            <color indexed="81"/>
            <rFont val="Tahoma"/>
            <family val="2"/>
          </rPr>
          <t xml:space="preserve">: https://mus.hkbu.edu.hk/undergraduate.html </t>
        </r>
      </text>
    </comment>
    <comment ref="M11" authorId="0" shapeId="0" xr:uid="{00000000-0006-0000-0600-00000B000000}">
      <text>
        <r>
          <rPr>
            <b/>
            <sz val="9"/>
            <color indexed="81"/>
            <rFont val="細明體"/>
            <family val="3"/>
            <charset val="136"/>
          </rPr>
          <t>前</t>
        </r>
        <r>
          <rPr>
            <b/>
            <sz val="9"/>
            <color indexed="81"/>
            <rFont val="Tahoma"/>
            <family val="2"/>
          </rPr>
          <t>:</t>
        </r>
        <r>
          <rPr>
            <sz val="9"/>
            <color indexed="81"/>
            <rFont val="Tahoma"/>
            <family val="2"/>
          </rPr>
          <t xml:space="preserve"> By 30 June 2021
</t>
        </r>
        <r>
          <rPr>
            <b/>
            <sz val="9"/>
            <color indexed="81"/>
            <rFont val="細明體"/>
            <family val="3"/>
            <charset val="136"/>
          </rPr>
          <t>後</t>
        </r>
        <r>
          <rPr>
            <b/>
            <sz val="9"/>
            <color indexed="81"/>
            <rFont val="Tahoma"/>
            <family val="2"/>
          </rPr>
          <t xml:space="preserve">: </t>
        </r>
        <r>
          <rPr>
            <sz val="9"/>
            <color indexed="81"/>
            <rFont val="Tahoma"/>
            <family val="2"/>
          </rPr>
          <t>31 July &amp; 2 August 2021</t>
        </r>
      </text>
    </comment>
    <comment ref="E12" authorId="0" shapeId="0" xr:uid="{00000000-0006-0000-0600-00000C000000}">
      <text>
        <r>
          <rPr>
            <b/>
            <sz val="9"/>
            <color indexed="81"/>
            <rFont val="Tahoma"/>
            <family val="2"/>
          </rPr>
          <t>x1.5:</t>
        </r>
        <r>
          <rPr>
            <sz val="9"/>
            <color indexed="81"/>
            <rFont val="Tahoma"/>
            <family val="2"/>
          </rPr>
          <t xml:space="preserve"> </t>
        </r>
        <r>
          <rPr>
            <sz val="9"/>
            <color indexed="81"/>
            <rFont val="細明體"/>
            <family val="3"/>
            <charset val="136"/>
          </rPr>
          <t>英文</t>
        </r>
        <r>
          <rPr>
            <sz val="9"/>
            <color indexed="81"/>
            <rFont val="Tahoma"/>
            <family val="2"/>
          </rPr>
          <t xml:space="preserve"> </t>
        </r>
      </text>
    </comment>
    <comment ref="M12" authorId="0" shapeId="0" xr:uid="{00000000-0006-0000-0600-00000D000000}">
      <text>
        <r>
          <rPr>
            <sz val="9"/>
            <color indexed="81"/>
            <rFont val="Tahoma"/>
            <family val="2"/>
          </rPr>
          <t>24-25 &amp; 28-30 June 2021</t>
        </r>
      </text>
    </comment>
    <comment ref="O12" authorId="0" shapeId="0" xr:uid="{00000000-0006-0000-0600-00000E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b/>
            <sz val="9"/>
            <color indexed="81"/>
            <rFont val="Tahoma"/>
            <family val="2"/>
          </rPr>
          <t xml:space="preserve"> </t>
        </r>
        <r>
          <rPr>
            <sz val="9"/>
            <color indexed="81"/>
            <rFont val="細明體"/>
            <family val="3"/>
            <charset val="136"/>
          </rPr>
          <t>成績優異者</t>
        </r>
      </text>
    </comment>
    <comment ref="E13" authorId="0" shapeId="0" xr:uid="{00000000-0006-0000-0600-00000F000000}">
      <text>
        <r>
          <rPr>
            <b/>
            <sz val="9"/>
            <color indexed="81"/>
            <rFont val="Tahoma"/>
            <family val="2"/>
          </rPr>
          <t>x1.5:</t>
        </r>
        <r>
          <rPr>
            <sz val="9"/>
            <color indexed="81"/>
            <rFont val="Tahoma"/>
            <family val="2"/>
          </rPr>
          <t xml:space="preserve"> </t>
        </r>
        <r>
          <rPr>
            <sz val="9"/>
            <color indexed="81"/>
            <rFont val="細明體"/>
            <family val="3"/>
            <charset val="136"/>
          </rPr>
          <t>英文</t>
        </r>
        <r>
          <rPr>
            <sz val="9"/>
            <color indexed="81"/>
            <rFont val="Tahoma"/>
            <family val="2"/>
          </rPr>
          <t xml:space="preserve"> </t>
        </r>
      </text>
    </comment>
    <comment ref="M13" authorId="0" shapeId="0" xr:uid="{00000000-0006-0000-0600-000010000000}">
      <text>
        <r>
          <rPr>
            <sz val="9"/>
            <color indexed="81"/>
            <rFont val="Tahoma"/>
            <family val="2"/>
          </rPr>
          <t>24-25 &amp; 28-30 June 2021</t>
        </r>
      </text>
    </comment>
    <comment ref="O13" authorId="0" shapeId="0" xr:uid="{00000000-0006-0000-0600-000011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b/>
            <sz val="9"/>
            <color indexed="81"/>
            <rFont val="Tahoma"/>
            <family val="2"/>
          </rPr>
          <t xml:space="preserve"> </t>
        </r>
        <r>
          <rPr>
            <sz val="9"/>
            <color indexed="81"/>
            <rFont val="細明體"/>
            <family val="3"/>
            <charset val="136"/>
          </rPr>
          <t>成績優異者</t>
        </r>
      </text>
    </comment>
    <comment ref="C14" authorId="0" shapeId="0" xr:uid="{00000000-0006-0000-0600-000012000000}">
      <text>
        <r>
          <rPr>
            <sz val="9"/>
            <color indexed="81"/>
            <rFont val="細明體"/>
            <family val="3"/>
            <charset val="136"/>
          </rPr>
          <t>申請人或會被邀請出席面試。申請人只須於面試期間匯報其作品集。</t>
        </r>
        <r>
          <rPr>
            <sz val="9"/>
            <color indexed="81"/>
            <rFont val="Tahoma"/>
            <family val="2"/>
          </rPr>
          <t xml:space="preserve"> </t>
        </r>
      </text>
    </comment>
    <comment ref="E14" authorId="0" shapeId="0" xr:uid="{00000000-0006-0000-0600-000013000000}">
      <text>
        <r>
          <rPr>
            <b/>
            <sz val="9"/>
            <color indexed="81"/>
            <rFont val="Tahoma"/>
            <family val="2"/>
          </rPr>
          <t xml:space="preserve">Best 5 </t>
        </r>
        <r>
          <rPr>
            <b/>
            <sz val="9"/>
            <color indexed="81"/>
            <rFont val="細明體"/>
            <family val="3"/>
            <charset val="136"/>
          </rPr>
          <t xml:space="preserve">(包括中、英文)
</t>
        </r>
        <r>
          <rPr>
            <b/>
            <sz val="9"/>
            <color indexed="81"/>
            <rFont val="Tahoma"/>
            <family val="2"/>
          </rPr>
          <t>x1.25:</t>
        </r>
        <r>
          <rPr>
            <sz val="9"/>
            <color indexed="81"/>
            <rFont val="Tahoma"/>
            <family val="2"/>
          </rPr>
          <t xml:space="preserve"> </t>
        </r>
        <r>
          <rPr>
            <sz val="9"/>
            <color indexed="81"/>
            <rFont val="細明體"/>
            <family val="3"/>
            <charset val="136"/>
          </rPr>
          <t>中文、英文</t>
        </r>
      </text>
    </comment>
    <comment ref="M14" authorId="0" shapeId="0" xr:uid="{00000000-0006-0000-0600-000014000000}">
      <text>
        <r>
          <rPr>
            <sz val="9"/>
            <color indexed="81"/>
            <rFont val="Tahoma"/>
            <family val="2"/>
          </rPr>
          <t>31 July &amp; 2 August 2021</t>
        </r>
      </text>
    </comment>
    <comment ref="N14" authorId="0" shapeId="0" xr:uid="{00000000-0006-0000-0600-000015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b/>
            <sz val="9"/>
            <color indexed="81"/>
            <rFont val="Tahoma"/>
            <family val="2"/>
          </rPr>
          <t xml:space="preserve"> </t>
        </r>
        <r>
          <rPr>
            <sz val="9"/>
            <color indexed="81"/>
            <rFont val="細明體"/>
            <family val="3"/>
            <charset val="136"/>
          </rPr>
          <t>成績優異者</t>
        </r>
        <r>
          <rPr>
            <sz val="9"/>
            <color indexed="81"/>
            <rFont val="Tahoma"/>
            <family val="2"/>
          </rPr>
          <t xml:space="preserve">
</t>
        </r>
        <r>
          <rPr>
            <sz val="9"/>
            <color indexed="81"/>
            <rFont val="細明體"/>
            <family val="3"/>
            <charset val="136"/>
          </rPr>
          <t>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O14" authorId="0" shapeId="0" xr:uid="{00000000-0006-0000-0600-000016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C15" authorId="0" shapeId="0" xr:uid="{00000000-0006-0000-0600-000017000000}">
      <text>
        <r>
          <rPr>
            <sz val="9"/>
            <color indexed="81"/>
            <rFont val="細明體"/>
            <family val="3"/>
            <charset val="136"/>
          </rPr>
          <t>申請人或會被邀請出席面試。申請人只須於面試期間匯報其作品集。</t>
        </r>
      </text>
    </comment>
    <comment ref="E15" authorId="0" shapeId="0" xr:uid="{00000000-0006-0000-0600-000018000000}">
      <text>
        <r>
          <rPr>
            <b/>
            <sz val="9"/>
            <color indexed="81"/>
            <rFont val="Tahoma"/>
            <family val="2"/>
          </rPr>
          <t xml:space="preserve">Best 5 </t>
        </r>
        <r>
          <rPr>
            <b/>
            <sz val="9"/>
            <color indexed="81"/>
            <rFont val="細明體"/>
            <family val="3"/>
            <charset val="136"/>
          </rPr>
          <t xml:space="preserve">(包括中、英文)
</t>
        </r>
        <r>
          <rPr>
            <b/>
            <sz val="9"/>
            <color indexed="81"/>
            <rFont val="Tahoma"/>
            <family val="2"/>
          </rPr>
          <t>x1.25:</t>
        </r>
        <r>
          <rPr>
            <sz val="9"/>
            <color indexed="81"/>
            <rFont val="Tahoma"/>
            <family val="2"/>
          </rPr>
          <t xml:space="preserve"> </t>
        </r>
        <r>
          <rPr>
            <sz val="9"/>
            <color indexed="81"/>
            <rFont val="細明體"/>
            <family val="3"/>
            <charset val="136"/>
          </rPr>
          <t>中文、英文</t>
        </r>
      </text>
    </comment>
    <comment ref="M15" authorId="0" shapeId="0" xr:uid="{00000000-0006-0000-0600-000019000000}">
      <text>
        <r>
          <rPr>
            <sz val="9"/>
            <color indexed="81"/>
            <rFont val="Tahoma"/>
            <family val="2"/>
          </rPr>
          <t>31 July &amp; 2 August 2021</t>
        </r>
      </text>
    </comment>
    <comment ref="N15" authorId="0" shapeId="0" xr:uid="{00000000-0006-0000-0600-00001A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b/>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O15" authorId="0" shapeId="0" xr:uid="{00000000-0006-0000-0600-00001B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b/>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C16" authorId="0" shapeId="0" xr:uid="{00000000-0006-0000-0600-00001C000000}">
      <text>
        <r>
          <rPr>
            <sz val="9"/>
            <color indexed="81"/>
            <rFont val="細明體"/>
            <family val="3"/>
            <charset val="136"/>
          </rPr>
          <t>申請人須遞交作品集，受邀的同學須參與入學測試及面試。
詳情請細閱以下網站</t>
        </r>
        <r>
          <rPr>
            <sz val="9"/>
            <color indexed="81"/>
            <rFont val="Tahoma"/>
            <family val="2"/>
          </rPr>
          <t>: http://af.hkbu.edu.hk/en/prog-bfa</t>
        </r>
      </text>
    </comment>
    <comment ref="E16" authorId="0" shapeId="0" xr:uid="{00000000-0006-0000-0600-00001D000000}">
      <text>
        <r>
          <rPr>
            <b/>
            <sz val="9"/>
            <color indexed="81"/>
            <rFont val="Tahoma"/>
            <family val="2"/>
          </rPr>
          <t>Best 5 (</t>
        </r>
        <r>
          <rPr>
            <b/>
            <sz val="9"/>
            <color indexed="81"/>
            <rFont val="細明體"/>
            <family val="3"/>
            <charset val="136"/>
          </rPr>
          <t>包括英文</t>
        </r>
        <r>
          <rPr>
            <b/>
            <sz val="9"/>
            <color indexed="81"/>
            <rFont val="Tahoma"/>
            <family val="2"/>
          </rPr>
          <t>)</t>
        </r>
      </text>
    </comment>
    <comment ref="L16" authorId="0" shapeId="0" xr:uid="{00000000-0006-0000-0600-00001E000000}">
      <text>
        <r>
          <rPr>
            <sz val="9"/>
            <color indexed="81"/>
            <rFont val="細明體"/>
            <family val="3"/>
            <charset val="136"/>
          </rPr>
          <t>申請人須遞交</t>
        </r>
        <r>
          <rPr>
            <b/>
            <sz val="9"/>
            <color indexed="81"/>
            <rFont val="細明體"/>
            <family val="3"/>
            <charset val="136"/>
          </rPr>
          <t>作品集</t>
        </r>
        <r>
          <rPr>
            <sz val="9"/>
            <color indexed="81"/>
            <rFont val="細明體"/>
            <family val="3"/>
            <charset val="136"/>
          </rPr>
          <t>，受邀的同學須參與</t>
        </r>
        <r>
          <rPr>
            <b/>
            <sz val="9"/>
            <color indexed="81"/>
            <rFont val="細明體"/>
            <family val="3"/>
            <charset val="136"/>
          </rPr>
          <t>入學測試</t>
        </r>
        <r>
          <rPr>
            <sz val="9"/>
            <color indexed="81"/>
            <rFont val="細明體"/>
            <family val="3"/>
            <charset val="136"/>
          </rPr>
          <t>及</t>
        </r>
        <r>
          <rPr>
            <b/>
            <sz val="9"/>
            <color indexed="81"/>
            <rFont val="細明體"/>
            <family val="3"/>
            <charset val="136"/>
          </rPr>
          <t>面試</t>
        </r>
        <r>
          <rPr>
            <sz val="9"/>
            <color indexed="81"/>
            <rFont val="細明體"/>
            <family val="3"/>
            <charset val="136"/>
          </rPr>
          <t>。
詳情請細閱以下網站</t>
        </r>
        <r>
          <rPr>
            <sz val="9"/>
            <color indexed="81"/>
            <rFont val="Tahoma"/>
            <family val="2"/>
          </rPr>
          <t xml:space="preserve">:  http://af.hkbu.edu.hk/en/prog-bfa </t>
        </r>
      </text>
    </comment>
    <comment ref="M16" authorId="0" shapeId="0" xr:uid="{00000000-0006-0000-0600-00001F000000}">
      <text>
        <r>
          <rPr>
            <b/>
            <sz val="9"/>
            <color indexed="81"/>
            <rFont val="Tahoma"/>
            <family val="2"/>
          </rPr>
          <t>To be confirmed</t>
        </r>
        <r>
          <rPr>
            <sz val="9"/>
            <color indexed="81"/>
            <rFont val="Tahoma"/>
            <family val="2"/>
          </rPr>
          <t xml:space="preserve">
</t>
        </r>
      </text>
    </comment>
    <comment ref="O16" authorId="0" shapeId="0" xr:uid="{00000000-0006-0000-0600-000020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E17" authorId="0" shapeId="0" xr:uid="{00000000-0006-0000-0600-000021000000}">
      <text>
        <r>
          <rPr>
            <b/>
            <sz val="9"/>
            <color indexed="81"/>
            <rFont val="Tahoma"/>
            <family val="2"/>
          </rPr>
          <t>2021</t>
        </r>
        <r>
          <rPr>
            <b/>
            <sz val="9"/>
            <color indexed="81"/>
            <rFont val="細明體"/>
            <family val="3"/>
            <charset val="136"/>
          </rPr>
          <t>年新科目</t>
        </r>
        <r>
          <rPr>
            <b/>
            <sz val="9"/>
            <color indexed="81"/>
            <rFont val="Tahoma"/>
            <family val="2"/>
          </rPr>
          <t xml:space="preserve">
Best 5 </t>
        </r>
        <r>
          <rPr>
            <b/>
            <sz val="9"/>
            <color indexed="81"/>
            <rFont val="細明體"/>
            <family val="3"/>
            <charset val="136"/>
          </rPr>
          <t xml:space="preserve">(包括中、英文)
</t>
        </r>
        <r>
          <rPr>
            <b/>
            <sz val="9"/>
            <color indexed="81"/>
            <rFont val="Tahoma"/>
            <family val="2"/>
          </rPr>
          <t>x1.25:</t>
        </r>
        <r>
          <rPr>
            <sz val="9"/>
            <color indexed="81"/>
            <rFont val="Tahoma"/>
            <family val="2"/>
          </rPr>
          <t xml:space="preserve"> </t>
        </r>
        <r>
          <rPr>
            <sz val="9"/>
            <color indexed="81"/>
            <rFont val="細明體"/>
            <family val="3"/>
            <charset val="136"/>
          </rPr>
          <t>中文、英文</t>
        </r>
      </text>
    </comment>
    <comment ref="N17" authorId="0" shapeId="0" xr:uid="{00000000-0006-0000-0600-000022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O17" authorId="0" shapeId="0" xr:uid="{00000000-0006-0000-0600-000023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E18" authorId="0" shapeId="0" xr:uid="{00000000-0006-0000-0600-000024000000}">
      <text>
        <r>
          <rPr>
            <b/>
            <sz val="9"/>
            <color indexed="81"/>
            <rFont val="Tahoma"/>
            <family val="2"/>
          </rPr>
          <t>2021</t>
        </r>
        <r>
          <rPr>
            <b/>
            <sz val="9"/>
            <color indexed="81"/>
            <rFont val="細明體"/>
            <family val="3"/>
            <charset val="136"/>
          </rPr>
          <t>年新科目</t>
        </r>
        <r>
          <rPr>
            <b/>
            <sz val="9"/>
            <color indexed="81"/>
            <rFont val="Tahoma"/>
            <family val="2"/>
          </rPr>
          <t xml:space="preserve">
Best 5 </t>
        </r>
        <r>
          <rPr>
            <b/>
            <sz val="9"/>
            <color indexed="81"/>
            <rFont val="細明體"/>
            <family val="3"/>
            <charset val="136"/>
          </rPr>
          <t xml:space="preserve">(包括中、英文)
</t>
        </r>
        <r>
          <rPr>
            <sz val="9"/>
            <color indexed="81"/>
            <rFont val="Tahoma"/>
            <family val="2"/>
          </rPr>
          <t>x</t>
        </r>
        <r>
          <rPr>
            <b/>
            <sz val="9"/>
            <color indexed="81"/>
            <rFont val="Tahoma"/>
            <family val="2"/>
          </rPr>
          <t>1.25:</t>
        </r>
        <r>
          <rPr>
            <sz val="9"/>
            <color indexed="81"/>
            <rFont val="Tahoma"/>
            <family val="2"/>
          </rPr>
          <t xml:space="preserve"> </t>
        </r>
        <r>
          <rPr>
            <sz val="9"/>
            <color indexed="81"/>
            <rFont val="細明體"/>
            <family val="3"/>
            <charset val="136"/>
          </rPr>
          <t>中文、英文</t>
        </r>
      </text>
    </comment>
    <comment ref="N18" authorId="0" shapeId="0" xr:uid="{00000000-0006-0000-0600-000025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b/>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r>
          <rPr>
            <sz val="9"/>
            <color indexed="81"/>
            <rFont val="Tahoma"/>
            <family val="2"/>
          </rPr>
          <t xml:space="preserve">
</t>
        </r>
      </text>
    </comment>
    <comment ref="O18" authorId="0" shapeId="0" xr:uid="{00000000-0006-0000-0600-000026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E19" authorId="0" shapeId="0" xr:uid="{00000000-0006-0000-0600-000027000000}">
      <text>
        <r>
          <rPr>
            <b/>
            <sz val="9"/>
            <color indexed="81"/>
            <rFont val="Tahoma"/>
            <family val="2"/>
          </rPr>
          <t xml:space="preserve">x1.5: </t>
        </r>
        <r>
          <rPr>
            <sz val="9"/>
            <color indexed="81"/>
            <rFont val="細明體"/>
            <family val="3"/>
            <charset val="136"/>
          </rPr>
          <t xml:space="preserve">中文、英文、生物
</t>
        </r>
        <r>
          <rPr>
            <b/>
            <sz val="9"/>
            <color indexed="81"/>
            <rFont val="Tahoma"/>
            <family val="2"/>
          </rPr>
          <t xml:space="preserve">x1.25: </t>
        </r>
        <r>
          <rPr>
            <sz val="9"/>
            <color indexed="81"/>
            <rFont val="細明體"/>
            <family val="3"/>
            <charset val="136"/>
          </rPr>
          <t>中史、中國文學、化學、組合科學、數學、物理</t>
        </r>
      </text>
    </comment>
    <comment ref="M19" authorId="0" shapeId="0" xr:uid="{00000000-0006-0000-0600-000028000000}">
      <text>
        <r>
          <rPr>
            <b/>
            <sz val="9"/>
            <color indexed="81"/>
            <rFont val="細明體"/>
            <family val="3"/>
            <charset val="136"/>
          </rPr>
          <t>前</t>
        </r>
        <r>
          <rPr>
            <b/>
            <sz val="9"/>
            <color indexed="81"/>
            <rFont val="Tahoma"/>
            <family val="2"/>
          </rPr>
          <t xml:space="preserve">: </t>
        </r>
        <r>
          <rPr>
            <sz val="9"/>
            <color indexed="81"/>
            <rFont val="Tahoma"/>
            <family val="2"/>
          </rPr>
          <t xml:space="preserve">Mid – June 2021
</t>
        </r>
        <r>
          <rPr>
            <b/>
            <sz val="9"/>
            <color indexed="81"/>
            <rFont val="細明體"/>
            <family val="3"/>
            <charset val="136"/>
          </rPr>
          <t>後</t>
        </r>
        <r>
          <rPr>
            <b/>
            <sz val="9"/>
            <color indexed="81"/>
            <rFont val="Tahoma"/>
            <family val="2"/>
          </rPr>
          <t>:</t>
        </r>
        <r>
          <rPr>
            <sz val="9"/>
            <color indexed="81"/>
            <rFont val="Tahoma"/>
            <family val="2"/>
          </rPr>
          <t xml:space="preserve"> 2-3 August 2021</t>
        </r>
      </text>
    </comment>
    <comment ref="N19" authorId="1" shapeId="0" xr:uid="{00000000-0006-0000-0600-000029000000}">
      <text>
        <r>
          <rPr>
            <sz val="9"/>
            <color indexed="81"/>
            <rFont val="細明體"/>
            <family val="3"/>
            <charset val="136"/>
          </rPr>
          <t>不接受香港文憑試之外的其他中文資歷</t>
        </r>
      </text>
    </comment>
    <comment ref="R19" authorId="2" shapeId="0" xr:uid="{00000000-0006-0000-0600-00002A000000}">
      <text>
        <r>
          <rPr>
            <sz val="9"/>
            <color indexed="81"/>
            <rFont val="細明體"/>
            <family val="3"/>
            <charset val="136"/>
          </rPr>
          <t>其中一科必須為</t>
        </r>
        <r>
          <rPr>
            <sz val="9"/>
            <color indexed="81"/>
            <rFont val="Tahoma"/>
            <family val="2"/>
          </rPr>
          <t xml:space="preserve"> </t>
        </r>
        <r>
          <rPr>
            <b/>
            <sz val="9"/>
            <color indexed="81"/>
            <rFont val="細明體"/>
            <family val="3"/>
            <charset val="136"/>
          </rPr>
          <t>化學</t>
        </r>
        <r>
          <rPr>
            <b/>
            <sz val="9"/>
            <color indexed="81"/>
            <rFont val="Tahoma"/>
            <family val="2"/>
          </rPr>
          <t xml:space="preserve"> </t>
        </r>
        <r>
          <rPr>
            <sz val="9"/>
            <color indexed="81"/>
            <rFont val="細明體"/>
            <family val="3"/>
            <charset val="136"/>
          </rPr>
          <t>或</t>
        </r>
        <r>
          <rPr>
            <sz val="9"/>
            <color indexed="81"/>
            <rFont val="Tahoma"/>
            <family val="2"/>
          </rPr>
          <t xml:space="preserve"> </t>
        </r>
        <r>
          <rPr>
            <b/>
            <sz val="9"/>
            <color indexed="81"/>
            <rFont val="細明體"/>
            <family val="3"/>
            <charset val="136"/>
          </rPr>
          <t>生物</t>
        </r>
      </text>
    </comment>
    <comment ref="E20" authorId="0" shapeId="0" xr:uid="{00000000-0006-0000-0600-00002B000000}">
      <text>
        <r>
          <rPr>
            <b/>
            <sz val="9"/>
            <color indexed="81"/>
            <rFont val="Tahoma"/>
            <family val="2"/>
          </rPr>
          <t xml:space="preserve">x1.5: </t>
        </r>
        <r>
          <rPr>
            <sz val="9"/>
            <color indexed="81"/>
            <rFont val="細明體"/>
            <family val="3"/>
            <charset val="136"/>
          </rPr>
          <t xml:space="preserve">中文、英文、化學
</t>
        </r>
        <r>
          <rPr>
            <b/>
            <sz val="9"/>
            <color indexed="81"/>
            <rFont val="細明體"/>
            <family val="3"/>
            <charset val="136"/>
          </rPr>
          <t xml:space="preserve">
</t>
        </r>
        <r>
          <rPr>
            <b/>
            <sz val="9"/>
            <color indexed="81"/>
            <rFont val="Tahoma"/>
            <family val="2"/>
          </rPr>
          <t xml:space="preserve">x1.25: </t>
        </r>
        <r>
          <rPr>
            <sz val="9"/>
            <color indexed="81"/>
            <rFont val="細明體"/>
            <family val="3"/>
            <charset val="136"/>
          </rPr>
          <t>生物、中國文學、組合科學、數學、物理</t>
        </r>
      </text>
    </comment>
    <comment ref="L20" authorId="1" shapeId="0" xr:uid="{00000000-0006-0000-0600-00002C000000}">
      <text>
        <r>
          <rPr>
            <sz val="9"/>
            <color indexed="81"/>
            <rFont val="細明體"/>
            <family val="3"/>
            <charset val="136"/>
          </rPr>
          <t>不能以其他資歷取代</t>
        </r>
        <r>
          <rPr>
            <sz val="9"/>
            <color indexed="81"/>
            <rFont val="Tahoma"/>
            <family val="2"/>
          </rPr>
          <t>DSE</t>
        </r>
        <r>
          <rPr>
            <sz val="9"/>
            <color indexed="81"/>
            <rFont val="細明體"/>
            <family val="3"/>
            <charset val="136"/>
          </rPr>
          <t>中國語文科要求。</t>
        </r>
      </text>
    </comment>
    <comment ref="M20" authorId="0" shapeId="0" xr:uid="{00000000-0006-0000-0600-00002D000000}">
      <text>
        <r>
          <rPr>
            <b/>
            <sz val="9"/>
            <color indexed="81"/>
            <rFont val="細明體"/>
            <family val="3"/>
            <charset val="136"/>
          </rPr>
          <t>前</t>
        </r>
        <r>
          <rPr>
            <b/>
            <sz val="9"/>
            <color indexed="81"/>
            <rFont val="Tahoma"/>
            <family val="2"/>
          </rPr>
          <t>:</t>
        </r>
        <r>
          <rPr>
            <sz val="9"/>
            <color indexed="81"/>
            <rFont val="Tahoma"/>
            <family val="2"/>
          </rPr>
          <t xml:space="preserve"> Mid – June 2021
</t>
        </r>
        <r>
          <rPr>
            <b/>
            <sz val="9"/>
            <color indexed="81"/>
            <rFont val="細明體"/>
            <family val="3"/>
            <charset val="136"/>
          </rPr>
          <t>後</t>
        </r>
        <r>
          <rPr>
            <b/>
            <sz val="9"/>
            <color indexed="81"/>
            <rFont val="Tahoma"/>
            <family val="2"/>
          </rPr>
          <t>:</t>
        </r>
        <r>
          <rPr>
            <sz val="9"/>
            <color indexed="81"/>
            <rFont val="Tahoma"/>
            <family val="2"/>
          </rPr>
          <t xml:space="preserve"> 2-3 August 2021</t>
        </r>
      </text>
    </comment>
    <comment ref="N20" authorId="1" shapeId="0" xr:uid="{00000000-0006-0000-0600-00002E000000}">
      <text>
        <r>
          <rPr>
            <sz val="9"/>
            <color indexed="81"/>
            <rFont val="細明體"/>
            <family val="3"/>
            <charset val="136"/>
          </rPr>
          <t>不接受香港文憑試之外的其他中文資歷</t>
        </r>
      </text>
    </comment>
    <comment ref="R20" authorId="2" shapeId="0" xr:uid="{00000000-0006-0000-0600-00002F000000}">
      <text>
        <r>
          <rPr>
            <sz val="9"/>
            <color indexed="81"/>
            <rFont val="細明體"/>
            <family val="3"/>
            <charset val="136"/>
          </rPr>
          <t>其中一科必須為</t>
        </r>
        <r>
          <rPr>
            <sz val="9"/>
            <color indexed="81"/>
            <rFont val="Tahoma"/>
            <family val="2"/>
          </rPr>
          <t xml:space="preserve"> </t>
        </r>
        <r>
          <rPr>
            <b/>
            <sz val="9"/>
            <color indexed="81"/>
            <rFont val="細明體"/>
            <family val="3"/>
            <charset val="136"/>
          </rPr>
          <t>化學</t>
        </r>
      </text>
    </comment>
    <comment ref="E21" authorId="1" shapeId="0" xr:uid="{00000000-0006-0000-0600-000030000000}">
      <text>
        <r>
          <rPr>
            <b/>
            <sz val="9"/>
            <color indexed="81"/>
            <rFont val="Tahoma"/>
            <family val="2"/>
          </rPr>
          <t>2021</t>
        </r>
        <r>
          <rPr>
            <b/>
            <sz val="9"/>
            <color indexed="81"/>
            <rFont val="細明體"/>
            <family val="3"/>
            <charset val="136"/>
          </rPr>
          <t>年將以</t>
        </r>
        <r>
          <rPr>
            <b/>
            <sz val="9"/>
            <color indexed="81"/>
            <rFont val="Tahoma"/>
            <family val="2"/>
          </rPr>
          <t>4C2X</t>
        </r>
        <r>
          <rPr>
            <b/>
            <sz val="9"/>
            <color indexed="81"/>
            <rFont val="細明體"/>
            <family val="3"/>
            <charset val="136"/>
          </rPr>
          <t>收生
此處仍以</t>
        </r>
        <r>
          <rPr>
            <b/>
            <sz val="9"/>
            <color indexed="81"/>
            <rFont val="Tahoma"/>
            <family val="2"/>
          </rPr>
          <t>Best 6</t>
        </r>
        <r>
          <rPr>
            <b/>
            <sz val="9"/>
            <color indexed="81"/>
            <rFont val="細明體"/>
            <family val="3"/>
            <charset val="136"/>
          </rPr>
          <t>作估算，請注意</t>
        </r>
      </text>
    </comment>
    <comment ref="R21" authorId="0" shapeId="0" xr:uid="{00000000-0006-0000-0600-000031000000}">
      <text>
        <r>
          <rPr>
            <sz val="9"/>
            <color indexed="81"/>
            <rFont val="細明體"/>
            <family val="3"/>
            <charset val="136"/>
          </rPr>
          <t>優先考慮</t>
        </r>
        <r>
          <rPr>
            <sz val="9"/>
            <color indexed="81"/>
            <rFont val="Tahoma"/>
            <family val="2"/>
          </rPr>
          <t xml:space="preserve"> </t>
        </r>
        <r>
          <rPr>
            <b/>
            <sz val="9"/>
            <color indexed="81"/>
            <rFont val="細明體"/>
            <family val="3"/>
            <charset val="136"/>
          </rPr>
          <t>理科</t>
        </r>
        <r>
          <rPr>
            <b/>
            <sz val="9"/>
            <color indexed="81"/>
            <rFont val="Tahoma"/>
            <family val="2"/>
          </rPr>
          <t>*</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 xml:space="preserve">將學科放於聯招排位較前者
</t>
        </r>
        <r>
          <rPr>
            <b/>
            <sz val="9"/>
            <color indexed="81"/>
            <rFont val="Tahoma"/>
            <family val="2"/>
          </rPr>
          <t>*</t>
        </r>
        <r>
          <rPr>
            <b/>
            <sz val="9"/>
            <color indexed="81"/>
            <rFont val="細明體"/>
            <family val="3"/>
            <charset val="136"/>
          </rPr>
          <t>理科</t>
        </r>
        <r>
          <rPr>
            <b/>
            <sz val="9"/>
            <color indexed="81"/>
            <rFont val="Tahoma"/>
            <family val="2"/>
          </rPr>
          <t xml:space="preserve">: </t>
        </r>
        <r>
          <rPr>
            <sz val="9"/>
            <color indexed="81"/>
            <rFont val="細明體"/>
            <family val="3"/>
            <charset val="136"/>
          </rPr>
          <t>化學、生物、物理、數學、</t>
        </r>
        <r>
          <rPr>
            <sz val="9"/>
            <color indexed="81"/>
            <rFont val="Tahoma"/>
            <family val="2"/>
          </rPr>
          <t>ICT</t>
        </r>
        <r>
          <rPr>
            <sz val="9"/>
            <color indexed="81"/>
            <rFont val="細明體"/>
            <family val="3"/>
            <charset val="136"/>
          </rPr>
          <t>、組合科學、綜合科學</t>
        </r>
      </text>
    </comment>
    <comment ref="E22" authorId="0" shapeId="0" xr:uid="{00000000-0006-0000-0600-000032000000}">
      <text>
        <r>
          <rPr>
            <b/>
            <sz val="9"/>
            <color indexed="81"/>
            <rFont val="Tahoma"/>
            <family val="2"/>
          </rPr>
          <t xml:space="preserve">x2: </t>
        </r>
        <r>
          <rPr>
            <sz val="9"/>
            <color indexed="81"/>
            <rFont val="細明體"/>
            <family val="3"/>
            <charset val="136"/>
          </rPr>
          <t>英文</t>
        </r>
        <r>
          <rPr>
            <sz val="9"/>
            <color indexed="81"/>
            <rFont val="Tahoma"/>
            <family val="2"/>
          </rPr>
          <t xml:space="preserve"> </t>
        </r>
      </text>
    </comment>
    <comment ref="C23" authorId="0" shapeId="0" xr:uid="{00000000-0006-0000-0600-000033000000}">
      <text>
        <r>
          <rPr>
            <sz val="9"/>
            <color indexed="81"/>
            <rFont val="細明體"/>
            <family val="3"/>
            <charset val="136"/>
          </rPr>
          <t>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E24" authorId="0" shapeId="0" xr:uid="{00000000-0006-0000-0600-000034000000}">
      <text>
        <r>
          <rPr>
            <b/>
            <sz val="9"/>
            <color indexed="81"/>
            <rFont val="Tahoma"/>
            <family val="2"/>
          </rPr>
          <t>Best 5 (</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t>
        </r>
        <r>
          <rPr>
            <b/>
            <sz val="9"/>
            <color indexed="81"/>
            <rFont val="Tahoma"/>
            <family val="2"/>
          </rPr>
          <t xml:space="preserve">x1.2: </t>
        </r>
        <r>
          <rPr>
            <sz val="9"/>
            <color indexed="81"/>
            <rFont val="細明體"/>
            <family val="3"/>
            <charset val="136"/>
          </rPr>
          <t>英文</t>
        </r>
      </text>
    </comment>
    <comment ref="L24" authorId="0" shapeId="0" xr:uid="{00000000-0006-0000-0600-000035000000}">
      <text>
        <r>
          <rPr>
            <sz val="9"/>
            <color indexed="81"/>
            <rFont val="細明體"/>
            <family val="3"/>
            <charset val="136"/>
          </rPr>
          <t>會考慮其他法語資歷</t>
        </r>
      </text>
    </comment>
    <comment ref="E25" authorId="0" shapeId="0" xr:uid="{00000000-0006-0000-0600-000036000000}">
      <text>
        <r>
          <rPr>
            <b/>
            <sz val="9"/>
            <color indexed="81"/>
            <rFont val="Tahoma"/>
            <family val="2"/>
          </rPr>
          <t>Best 5 (</t>
        </r>
        <r>
          <rPr>
            <b/>
            <sz val="9"/>
            <color indexed="81"/>
            <rFont val="細明體"/>
            <family val="3"/>
            <charset val="136"/>
          </rPr>
          <t>包括英文</t>
        </r>
        <r>
          <rPr>
            <b/>
            <sz val="9"/>
            <color indexed="81"/>
            <rFont val="Tahoma"/>
            <family val="2"/>
          </rPr>
          <t xml:space="preserve">)
</t>
        </r>
        <r>
          <rPr>
            <b/>
            <sz val="9"/>
            <color indexed="81"/>
            <rFont val="細明體"/>
            <family val="3"/>
            <charset val="136"/>
          </rPr>
          <t xml:space="preserve">
</t>
        </r>
        <r>
          <rPr>
            <b/>
            <sz val="9"/>
            <color indexed="81"/>
            <rFont val="Tahoma"/>
            <family val="2"/>
          </rPr>
          <t>x1.2:</t>
        </r>
        <r>
          <rPr>
            <sz val="9"/>
            <color indexed="81"/>
            <rFont val="Tahoma"/>
            <family val="2"/>
          </rPr>
          <t xml:space="preserve"> </t>
        </r>
        <r>
          <rPr>
            <sz val="9"/>
            <color indexed="81"/>
            <rFont val="細明體"/>
            <family val="3"/>
            <charset val="136"/>
          </rPr>
          <t>英文</t>
        </r>
      </text>
    </comment>
    <comment ref="L25" authorId="0" shapeId="0" xr:uid="{00000000-0006-0000-0600-000037000000}">
      <text>
        <r>
          <rPr>
            <sz val="9"/>
            <color indexed="81"/>
            <rFont val="細明體"/>
            <family val="3"/>
            <charset val="136"/>
          </rPr>
          <t>會考慮其他德語資歷</t>
        </r>
      </text>
    </comment>
    <comment ref="C26" authorId="0" shapeId="0" xr:uid="{00000000-0006-0000-0600-000038000000}">
      <text>
        <r>
          <rPr>
            <sz val="9"/>
            <color indexed="81"/>
            <rFont val="細明體"/>
            <family val="3"/>
            <charset val="136"/>
          </rPr>
          <t>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E26" authorId="0" shapeId="0" xr:uid="{00000000-0006-0000-0600-000039000000}">
      <text>
        <r>
          <rPr>
            <b/>
            <sz val="9"/>
            <color indexed="81"/>
            <rFont val="Tahoma"/>
            <family val="2"/>
          </rPr>
          <t xml:space="preserve">x2: </t>
        </r>
        <r>
          <rPr>
            <sz val="9"/>
            <color indexed="81"/>
            <rFont val="細明體"/>
            <family val="3"/>
            <charset val="136"/>
          </rPr>
          <t xml:space="preserve">英文
</t>
        </r>
        <r>
          <rPr>
            <b/>
            <sz val="9"/>
            <color indexed="81"/>
            <rFont val="Tahoma"/>
            <family val="2"/>
          </rPr>
          <t>x1.5:</t>
        </r>
        <r>
          <rPr>
            <sz val="9"/>
            <color indexed="81"/>
            <rFont val="Tahoma"/>
            <family val="2"/>
          </rPr>
          <t xml:space="preserve"> </t>
        </r>
        <r>
          <rPr>
            <sz val="9"/>
            <color indexed="81"/>
            <rFont val="細明體"/>
            <family val="3"/>
            <charset val="136"/>
          </rPr>
          <t>通識</t>
        </r>
      </text>
    </comment>
    <comment ref="E27" authorId="0" shapeId="0" xr:uid="{00000000-0006-0000-0600-00003A000000}">
      <text>
        <r>
          <rPr>
            <b/>
            <sz val="9"/>
            <color indexed="81"/>
            <rFont val="Tahoma"/>
            <family val="2"/>
          </rPr>
          <t xml:space="preserve">x1.5: </t>
        </r>
        <r>
          <rPr>
            <sz val="9"/>
            <color indexed="81"/>
            <rFont val="細明體"/>
            <family val="3"/>
            <charset val="136"/>
          </rPr>
          <t>中文、英文</t>
        </r>
        <r>
          <rPr>
            <sz val="9"/>
            <color indexed="81"/>
            <rFont val="Tahoma"/>
            <family val="2"/>
          </rPr>
          <t xml:space="preserve"> </t>
        </r>
      </text>
    </comment>
    <comment ref="M27" authorId="0" shapeId="0" xr:uid="{00000000-0006-0000-0600-00003B000000}">
      <text>
        <r>
          <rPr>
            <sz val="9"/>
            <color indexed="81"/>
            <rFont val="Tahoma"/>
            <family val="2"/>
          </rPr>
          <t>31 July &amp; 2 August 2021</t>
        </r>
      </text>
    </comment>
    <comment ref="N27" authorId="0" shapeId="0" xr:uid="{00000000-0006-0000-0600-00003C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b/>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O27" authorId="0" shapeId="0" xr:uid="{00000000-0006-0000-0600-00003D000000}">
      <text>
        <r>
          <rPr>
            <sz val="9"/>
            <color indexed="81"/>
            <rFont val="細明體"/>
            <family val="3"/>
            <charset val="136"/>
          </rPr>
          <t>優先考慮</t>
        </r>
        <r>
          <rPr>
            <sz val="9"/>
            <color indexed="81"/>
            <rFont val="Tahoma"/>
            <family val="2"/>
          </rPr>
          <t xml:space="preserve"> </t>
        </r>
        <r>
          <rPr>
            <b/>
            <sz val="9"/>
            <color indexed="81"/>
            <rFont val="細明體"/>
            <family val="3"/>
            <charset val="136"/>
          </rPr>
          <t>中文</t>
        </r>
        <r>
          <rPr>
            <sz val="9"/>
            <color indexed="81"/>
            <rFont val="Tahoma"/>
            <family val="2"/>
          </rPr>
          <t xml:space="preserve"> </t>
        </r>
        <r>
          <rPr>
            <sz val="9"/>
            <color indexed="81"/>
            <rFont val="細明體"/>
            <family val="3"/>
            <charset val="136"/>
          </rPr>
          <t>及</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成績優異者
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E28" authorId="0" shapeId="0" xr:uid="{00000000-0006-0000-0600-00003E000000}">
      <text>
        <r>
          <rPr>
            <b/>
            <sz val="9"/>
            <color indexed="81"/>
            <rFont val="Tahoma"/>
            <family val="2"/>
          </rPr>
          <t>2021</t>
        </r>
        <r>
          <rPr>
            <b/>
            <sz val="9"/>
            <color indexed="81"/>
            <rFont val="細明體"/>
            <family val="3"/>
            <charset val="136"/>
          </rPr>
          <t>年英文有</t>
        </r>
        <r>
          <rPr>
            <b/>
            <sz val="9"/>
            <color indexed="81"/>
            <rFont val="Tahoma"/>
            <family val="2"/>
          </rPr>
          <t>x2</t>
        </r>
        <r>
          <rPr>
            <b/>
            <sz val="9"/>
            <color indexed="81"/>
            <rFont val="細明體"/>
            <family val="3"/>
            <charset val="136"/>
          </rPr>
          <t>比重
此處仍以</t>
        </r>
        <r>
          <rPr>
            <b/>
            <sz val="9"/>
            <color indexed="81"/>
            <rFont val="Tahoma"/>
            <family val="2"/>
          </rPr>
          <t>2020</t>
        </r>
        <r>
          <rPr>
            <b/>
            <sz val="9"/>
            <color indexed="81"/>
            <rFont val="細明體"/>
            <family val="3"/>
            <charset val="136"/>
          </rPr>
          <t xml:space="preserve">年比重計算，請注意
</t>
        </r>
        <r>
          <rPr>
            <b/>
            <sz val="9"/>
            <color indexed="81"/>
            <rFont val="Tahoma"/>
            <family val="2"/>
          </rPr>
          <t xml:space="preserve">x1.2: </t>
        </r>
        <r>
          <rPr>
            <sz val="9"/>
            <color indexed="81"/>
            <rFont val="細明體"/>
            <family val="3"/>
            <charset val="136"/>
          </rPr>
          <t>中國歷史、經濟、倫理及宗教科、地理、歷史、旅遊及款待</t>
        </r>
      </text>
    </comment>
    <comment ref="C29" authorId="0" shapeId="0" xr:uid="{00000000-0006-0000-0600-00003F000000}">
      <text>
        <r>
          <rPr>
            <sz val="9"/>
            <color indexed="81"/>
            <rFont val="細明體"/>
            <family val="3"/>
            <charset val="136"/>
          </rPr>
          <t>申請人須遞交</t>
        </r>
        <r>
          <rPr>
            <b/>
            <sz val="9"/>
            <color indexed="81"/>
            <rFont val="細明體"/>
            <family val="3"/>
            <charset val="136"/>
          </rPr>
          <t>作品集</t>
        </r>
        <r>
          <rPr>
            <sz val="9"/>
            <color indexed="81"/>
            <rFont val="細明體"/>
            <family val="3"/>
            <charset val="136"/>
          </rPr>
          <t>，受邀的同學須參與</t>
        </r>
        <r>
          <rPr>
            <b/>
            <sz val="9"/>
            <color indexed="81"/>
            <rFont val="細明體"/>
            <family val="3"/>
            <charset val="136"/>
          </rPr>
          <t>入學測試及面試</t>
        </r>
        <r>
          <rPr>
            <sz val="9"/>
            <color indexed="81"/>
            <rFont val="細明體"/>
            <family val="3"/>
            <charset val="136"/>
          </rPr>
          <t xml:space="preserve">。
</t>
        </r>
        <r>
          <rPr>
            <sz val="9"/>
            <color indexed="81"/>
            <rFont val="Tahoma"/>
            <family val="2"/>
          </rPr>
          <t xml:space="preserve">
</t>
        </r>
        <r>
          <rPr>
            <sz val="9"/>
            <color indexed="81"/>
            <rFont val="細明體"/>
            <family val="3"/>
            <charset val="136"/>
          </rPr>
          <t>詳情請細閱以下網站</t>
        </r>
        <r>
          <rPr>
            <sz val="9"/>
            <color indexed="81"/>
            <rFont val="Tahoma"/>
            <family val="2"/>
          </rPr>
          <t xml:space="preserve">: https://ava.hkbu.edu.hk/en/bachelor/admission/admission-ex/2
</t>
        </r>
        <r>
          <rPr>
            <sz val="9"/>
            <color indexed="81"/>
            <rFont val="細明體"/>
            <family val="3"/>
            <charset val="136"/>
          </rPr>
          <t>優先考慮</t>
        </r>
        <r>
          <rPr>
            <sz val="9"/>
            <color indexed="81"/>
            <rFont val="Tahoma"/>
            <family val="2"/>
          </rPr>
          <t xml:space="preserve"> </t>
        </r>
        <r>
          <rPr>
            <sz val="9"/>
            <color indexed="81"/>
            <rFont val="細明體"/>
            <family val="3"/>
            <charset val="136"/>
          </rPr>
          <t>將學科放於</t>
        </r>
        <r>
          <rPr>
            <b/>
            <sz val="9"/>
            <color indexed="81"/>
            <rFont val="細明體"/>
            <family val="3"/>
            <charset val="136"/>
          </rPr>
          <t>聯招排位</t>
        </r>
        <r>
          <rPr>
            <sz val="9"/>
            <color indexed="81"/>
            <rFont val="細明體"/>
            <family val="3"/>
            <charset val="136"/>
          </rPr>
          <t>較前者</t>
        </r>
      </text>
    </comment>
    <comment ref="E29" authorId="0" shapeId="0" xr:uid="{00000000-0006-0000-0600-000040000000}">
      <text>
        <r>
          <rPr>
            <b/>
            <sz val="9"/>
            <color indexed="81"/>
            <rFont val="Tahoma"/>
            <family val="2"/>
          </rPr>
          <t>Best 5 (</t>
        </r>
        <r>
          <rPr>
            <b/>
            <sz val="9"/>
            <color indexed="81"/>
            <rFont val="細明體"/>
            <family val="3"/>
            <charset val="136"/>
          </rPr>
          <t>包括英文</t>
        </r>
        <r>
          <rPr>
            <b/>
            <sz val="9"/>
            <color indexed="81"/>
            <rFont val="Tahoma"/>
            <family val="2"/>
          </rPr>
          <t>)</t>
        </r>
      </text>
    </comment>
    <comment ref="L29" authorId="0" shapeId="0" xr:uid="{00000000-0006-0000-0600-000041000000}">
      <text>
        <r>
          <rPr>
            <sz val="9"/>
            <color indexed="81"/>
            <rFont val="細明體"/>
            <family val="3"/>
            <charset val="136"/>
          </rPr>
          <t>申請人須遞交</t>
        </r>
        <r>
          <rPr>
            <b/>
            <sz val="9"/>
            <color indexed="81"/>
            <rFont val="細明體"/>
            <family val="3"/>
            <charset val="136"/>
          </rPr>
          <t>作品集</t>
        </r>
        <r>
          <rPr>
            <sz val="9"/>
            <color indexed="81"/>
            <rFont val="細明體"/>
            <family val="3"/>
            <charset val="136"/>
          </rPr>
          <t>，受邀的同學須參與</t>
        </r>
        <r>
          <rPr>
            <b/>
            <sz val="9"/>
            <color indexed="81"/>
            <rFont val="細明體"/>
            <family val="3"/>
            <charset val="136"/>
          </rPr>
          <t>入學測試及面試</t>
        </r>
        <r>
          <rPr>
            <sz val="9"/>
            <color indexed="81"/>
            <rFont val="細明體"/>
            <family val="3"/>
            <charset val="136"/>
          </rPr>
          <t>。
詳情請細閱以下網站</t>
        </r>
        <r>
          <rPr>
            <sz val="9"/>
            <color indexed="81"/>
            <rFont val="Tahoma"/>
            <family val="2"/>
          </rPr>
          <t>: https://ava.hkbu.edu.hk/en/bachelor/admission/admission-ex/2</t>
        </r>
      </text>
    </comment>
    <comment ref="M29" authorId="0" shapeId="0" xr:uid="{00000000-0006-0000-0600-000042000000}">
      <text>
        <r>
          <rPr>
            <b/>
            <sz val="9"/>
            <color indexed="81"/>
            <rFont val="細明體"/>
            <family val="3"/>
            <charset val="136"/>
          </rPr>
          <t>前</t>
        </r>
        <r>
          <rPr>
            <b/>
            <sz val="9"/>
            <color indexed="81"/>
            <rFont val="Tahoma"/>
            <family val="2"/>
          </rPr>
          <t xml:space="preserve">: </t>
        </r>
        <r>
          <rPr>
            <sz val="9"/>
            <color indexed="81"/>
            <rFont val="Tahoma"/>
            <family val="2"/>
          </rPr>
          <t xml:space="preserve">24-25, 28-29 June 2021
</t>
        </r>
        <r>
          <rPr>
            <b/>
            <sz val="9"/>
            <color indexed="81"/>
            <rFont val="細明體"/>
            <family val="3"/>
            <charset val="136"/>
          </rPr>
          <t>後</t>
        </r>
        <r>
          <rPr>
            <b/>
            <sz val="9"/>
            <color indexed="81"/>
            <rFont val="Tahoma"/>
            <family val="2"/>
          </rPr>
          <t>:</t>
        </r>
        <r>
          <rPr>
            <sz val="9"/>
            <color indexed="81"/>
            <rFont val="Tahoma"/>
            <family val="2"/>
          </rPr>
          <t xml:space="preserve"> 31 July &amp; 2 August 2021</t>
        </r>
      </text>
    </comment>
    <comment ref="M30" authorId="0" shapeId="0" xr:uid="{00000000-0006-0000-0600-000043000000}">
      <text>
        <r>
          <rPr>
            <b/>
            <sz val="9"/>
            <color indexed="81"/>
            <rFont val="細明體"/>
            <family val="3"/>
            <charset val="136"/>
          </rPr>
          <t>前</t>
        </r>
        <r>
          <rPr>
            <b/>
            <sz val="9"/>
            <color indexed="81"/>
            <rFont val="Tahoma"/>
            <family val="2"/>
          </rPr>
          <t>:</t>
        </r>
        <r>
          <rPr>
            <sz val="9"/>
            <color indexed="81"/>
            <rFont val="Tahoma"/>
            <family val="2"/>
          </rPr>
          <t xml:space="preserve"> 24-30 June 2021
</t>
        </r>
        <r>
          <rPr>
            <b/>
            <sz val="9"/>
            <color indexed="81"/>
            <rFont val="細明體"/>
            <family val="3"/>
            <charset val="136"/>
          </rPr>
          <t>後</t>
        </r>
        <r>
          <rPr>
            <b/>
            <sz val="9"/>
            <color indexed="81"/>
            <rFont val="Tahoma"/>
            <family val="2"/>
          </rPr>
          <t>:</t>
        </r>
        <r>
          <rPr>
            <sz val="9"/>
            <color indexed="81"/>
            <rFont val="Tahoma"/>
            <family val="2"/>
          </rPr>
          <t xml:space="preserve"> 31 July &amp; 2 August 2021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Chan</author>
  </authors>
  <commentList>
    <comment ref="E2" authorId="0" shapeId="0" xr:uid="{00000000-0006-0000-0900-000001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E3" authorId="0" shapeId="0" xr:uid="{00000000-0006-0000-0900-00000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、物理、化學、生物、組合科學</t>
        </r>
      </text>
    </comment>
    <comment ref="M3" authorId="0" shapeId="0" xr:uid="{00000000-0006-0000-0900-000003000000}">
      <text>
        <r>
          <rPr>
            <sz val="9"/>
            <color indexed="81"/>
            <rFont val="Tahoma"/>
            <family val="2"/>
          </rPr>
          <t>If necessary
(Only selected applicants will be invited to the interview)</t>
        </r>
      </text>
    </comment>
    <comment ref="E4" authorId="0" shapeId="0" xr:uid="{00000000-0006-0000-0900-000004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M4" authorId="0" shapeId="0" xr:uid="{00000000-0006-0000-0900-000005000000}">
      <text>
        <r>
          <rPr>
            <sz val="9"/>
            <color indexed="81"/>
            <rFont val="細明體"/>
            <family val="3"/>
            <charset val="136"/>
          </rPr>
          <t>前</t>
        </r>
        <r>
          <rPr>
            <sz val="9"/>
            <color indexed="81"/>
            <rFont val="Tahoma"/>
            <family val="2"/>
          </rPr>
          <t xml:space="preserve">: In June or 
</t>
        </r>
        <r>
          <rPr>
            <sz val="9"/>
            <color indexed="81"/>
            <rFont val="細明體"/>
            <family val="3"/>
            <charset val="136"/>
          </rPr>
          <t>後</t>
        </r>
        <r>
          <rPr>
            <sz val="9"/>
            <color indexed="81"/>
            <rFont val="Tahoma"/>
            <family val="2"/>
          </rPr>
          <t xml:space="preserve">: In July
(Only applicants of </t>
        </r>
        <r>
          <rPr>
            <b/>
            <sz val="9"/>
            <color indexed="81"/>
            <rFont val="Tahoma"/>
            <family val="2"/>
          </rPr>
          <t xml:space="preserve">Band A and B </t>
        </r>
        <r>
          <rPr>
            <sz val="9"/>
            <color indexed="81"/>
            <rFont val="Tahoma"/>
            <family val="2"/>
          </rPr>
          <t>will be invited to the interview.)</t>
        </r>
      </text>
    </comment>
    <comment ref="E5" authorId="0" shapeId="0" xr:uid="{00000000-0006-0000-0900-000006000000}">
      <text>
        <r>
          <rPr>
            <b/>
            <sz val="9"/>
            <color indexed="81"/>
            <rFont val="Tahoma"/>
            <family val="2"/>
          </rPr>
          <t>2021</t>
        </r>
        <r>
          <rPr>
            <b/>
            <sz val="9"/>
            <color indexed="81"/>
            <rFont val="細明體"/>
            <family val="3"/>
            <charset val="136"/>
          </rPr>
          <t xml:space="preserve">年將以新比重收生
</t>
        </r>
        <r>
          <rPr>
            <b/>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t>
        </r>
        <r>
          <rPr>
            <sz val="9"/>
            <color indexed="81"/>
            <rFont val="Tahoma"/>
            <family val="2"/>
          </rPr>
          <t>M1/2</t>
        </r>
        <r>
          <rPr>
            <sz val="9"/>
            <color indexed="81"/>
            <rFont val="細明體"/>
            <family val="3"/>
            <charset val="136"/>
          </rPr>
          <t xml:space="preserve">、通識、生物、化學、物理、組合科學、經濟、地理、綜合科學
</t>
        </r>
        <r>
          <rPr>
            <b/>
            <sz val="9"/>
            <color indexed="81"/>
            <rFont val="細明體"/>
            <family val="3"/>
            <charset val="136"/>
          </rPr>
          <t xml:space="preserve">
此處仍以</t>
        </r>
        <r>
          <rPr>
            <b/>
            <sz val="9"/>
            <color indexed="81"/>
            <rFont val="Tahoma"/>
            <family val="2"/>
          </rPr>
          <t>2020</t>
        </r>
        <r>
          <rPr>
            <b/>
            <sz val="9"/>
            <color indexed="81"/>
            <rFont val="細明體"/>
            <family val="3"/>
            <charset val="136"/>
          </rPr>
          <t>年比重作估算，請注意
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text>
    </comment>
    <comment ref="M5" authorId="0" shapeId="0" xr:uid="{00000000-0006-0000-0900-000007000000}">
      <text>
        <r>
          <rPr>
            <sz val="9"/>
            <color indexed="81"/>
            <rFont val="Tahoma"/>
            <family val="2"/>
          </rPr>
          <t>To be confirmed
(</t>
        </r>
        <r>
          <rPr>
            <b/>
            <sz val="9"/>
            <color indexed="81"/>
            <rFont val="Tahoma"/>
            <family val="2"/>
          </rPr>
          <t>Band A and B</t>
        </r>
        <r>
          <rPr>
            <sz val="9"/>
            <color indexed="81"/>
            <rFont val="Tahoma"/>
            <family val="2"/>
          </rPr>
          <t xml:space="preserve"> applicants may be invited to attend an interview)</t>
        </r>
      </text>
    </comment>
    <comment ref="E6" authorId="0" shapeId="0" xr:uid="{00000000-0006-0000-0900-000008000000}">
      <text>
        <r>
          <rPr>
            <b/>
            <sz val="9"/>
            <color indexed="81"/>
            <rFont val="Tahoma"/>
            <family val="2"/>
          </rPr>
          <t>2021</t>
        </r>
        <r>
          <rPr>
            <b/>
            <sz val="9"/>
            <color indexed="81"/>
            <rFont val="細明體"/>
            <family val="3"/>
            <charset val="136"/>
          </rPr>
          <t xml:space="preserve">年將以新比重收生
</t>
        </r>
        <r>
          <rPr>
            <b/>
            <sz val="9"/>
            <color indexed="81"/>
            <rFont val="Tahoma"/>
            <family val="2"/>
          </rPr>
          <t xml:space="preserve">
</t>
        </r>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、地理、</t>
        </r>
        <r>
          <rPr>
            <sz val="9"/>
            <color indexed="81"/>
            <rFont val="Tahoma"/>
            <family val="2"/>
          </rPr>
          <t>ICT</t>
        </r>
        <r>
          <rPr>
            <sz val="9"/>
            <color indexed="81"/>
            <rFont val="細明體"/>
            <family val="3"/>
            <charset val="136"/>
          </rPr>
          <t xml:space="preserve">、綜合科學
</t>
        </r>
        <r>
          <rPr>
            <b/>
            <sz val="9"/>
            <color indexed="81"/>
            <rFont val="細明體"/>
            <family val="3"/>
            <charset val="136"/>
          </rPr>
          <t xml:space="preserve">
此處仍以</t>
        </r>
        <r>
          <rPr>
            <b/>
            <sz val="9"/>
            <color indexed="81"/>
            <rFont val="Tahoma"/>
            <family val="2"/>
          </rPr>
          <t>2020</t>
        </r>
        <r>
          <rPr>
            <b/>
            <sz val="9"/>
            <color indexed="81"/>
            <rFont val="細明體"/>
            <family val="3"/>
            <charset val="136"/>
          </rPr>
          <t>年比重作估算，請注意
最高比重</t>
        </r>
        <r>
          <rPr>
            <b/>
            <sz val="9"/>
            <color indexed="81"/>
            <rFont val="Tahoma"/>
            <family val="2"/>
          </rPr>
          <t xml:space="preserve">: </t>
        </r>
        <r>
          <rPr>
            <sz val="9"/>
            <color indexed="81"/>
            <rFont val="細明體"/>
            <family val="3"/>
            <charset val="136"/>
          </rPr>
          <t>英文、數學</t>
        </r>
      </text>
    </comment>
    <comment ref="M6" authorId="0" shapeId="0" xr:uid="{00000000-0006-0000-0900-000009000000}">
      <text>
        <r>
          <rPr>
            <sz val="9"/>
            <color indexed="81"/>
            <rFont val="Tahoma"/>
            <family val="2"/>
          </rPr>
          <t xml:space="preserve">To be confirmed
(Only selected </t>
        </r>
        <r>
          <rPr>
            <b/>
            <sz val="9"/>
            <color indexed="81"/>
            <rFont val="Tahoma"/>
            <family val="2"/>
          </rPr>
          <t>Band A and B</t>
        </r>
        <r>
          <rPr>
            <sz val="9"/>
            <color indexed="81"/>
            <rFont val="Tahoma"/>
            <family val="2"/>
          </rPr>
          <t xml:space="preserve"> applicants may be invited to attend an interview)</t>
        </r>
      </text>
    </comment>
    <comment ref="E7" authorId="0" shapeId="0" xr:uid="{00000000-0006-0000-0900-00000A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M7" authorId="0" shapeId="0" xr:uid="{00000000-0006-0000-0900-00000B000000}">
      <text>
        <r>
          <rPr>
            <sz val="9"/>
            <color indexed="81"/>
            <rFont val="Tahoma"/>
            <family val="2"/>
          </rPr>
          <t xml:space="preserve">To be confirmed
(Only </t>
        </r>
        <r>
          <rPr>
            <b/>
            <sz val="9"/>
            <color indexed="81"/>
            <rFont val="Tahoma"/>
            <family val="2"/>
          </rPr>
          <t>Band A</t>
        </r>
        <r>
          <rPr>
            <sz val="9"/>
            <color indexed="81"/>
            <rFont val="Tahoma"/>
            <family val="2"/>
          </rPr>
          <t xml:space="preserve"> applicants will be shortlisted and invited for interview)</t>
        </r>
      </text>
    </comment>
    <comment ref="E8" authorId="0" shapeId="0" xr:uid="{00000000-0006-0000-0900-00000C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M8" authorId="0" shapeId="0" xr:uid="{00000000-0006-0000-0900-00000D000000}">
      <text>
        <r>
          <rPr>
            <sz val="9"/>
            <color indexed="81"/>
            <rFont val="Tahoma"/>
            <family val="2"/>
          </rPr>
          <t>In June
(Suitable candidates may be invited for an interview)</t>
        </r>
      </text>
    </comment>
    <comment ref="E9" authorId="0" shapeId="0" xr:uid="{00000000-0006-0000-0900-00000E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、生物、化學、組合科學</t>
        </r>
        <r>
          <rPr>
            <sz val="9"/>
            <color indexed="81"/>
            <rFont val="Tahoma"/>
            <family val="2"/>
          </rPr>
          <t>(</t>
        </r>
        <r>
          <rPr>
            <sz val="9"/>
            <color indexed="81"/>
            <rFont val="細明體"/>
            <family val="3"/>
            <charset val="136"/>
          </rPr>
          <t>生物、化學</t>
        </r>
        <r>
          <rPr>
            <sz val="9"/>
            <color indexed="81"/>
            <rFont val="Tahoma"/>
            <family val="2"/>
          </rPr>
          <t>)</t>
        </r>
      </text>
    </comment>
    <comment ref="C10" authorId="0" shapeId="0" xr:uid="{00000000-0006-0000-0900-00000F000000}">
      <text>
        <r>
          <rPr>
            <sz val="9"/>
            <color indexed="81"/>
            <rFont val="Tahoma"/>
            <family val="2"/>
          </rPr>
          <t xml:space="preserve">Applicants are welcome to submit </t>
        </r>
        <r>
          <rPr>
            <b/>
            <sz val="9"/>
            <color indexed="81"/>
            <rFont val="Tahoma"/>
            <family val="2"/>
          </rPr>
          <t>e-portfolios</t>
        </r>
        <r>
          <rPr>
            <sz val="9"/>
            <color indexed="81"/>
            <rFont val="Tahoma"/>
            <family val="2"/>
          </rPr>
          <t xml:space="preserve"> OR </t>
        </r>
        <r>
          <rPr>
            <b/>
            <sz val="9"/>
            <color indexed="81"/>
            <rFont val="Tahoma"/>
            <family val="2"/>
          </rPr>
          <t>personal statements</t>
        </r>
        <r>
          <rPr>
            <sz val="9"/>
            <color indexed="81"/>
            <rFont val="Tahoma"/>
            <family val="2"/>
          </rPr>
          <t xml:space="preserve"> as supplementary information in support of their applications. This supplementary information is optional to all applicants, regardless of their intended future choice of specialism (e.g. fashion design). Detailed arrangements for and requirements of the e-portfolio or personal statement submission are announced to JUPAS applicants via email in June every year. 
(All students who are admitted with HKDSE results will start the programme with 3 common semesters of foundation training in fashion and textiles, after which they will be streamed into one of five specialisms, including designed related specialisms.)</t>
        </r>
      </text>
    </comment>
    <comment ref="E10" authorId="0" shapeId="0" xr:uid="{00000000-0006-0000-0900-000010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英文、化學、組合科學</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t>
        </r>
        <r>
          <rPr>
            <sz val="9"/>
            <color indexed="81"/>
            <rFont val="Tahoma"/>
            <family val="2"/>
          </rPr>
          <t>DAT</t>
        </r>
        <r>
          <rPr>
            <sz val="9"/>
            <color indexed="81"/>
            <rFont val="細明體"/>
            <family val="3"/>
            <charset val="136"/>
          </rPr>
          <t>、視藝藝術</t>
        </r>
      </text>
    </comment>
    <comment ref="M10" authorId="0" shapeId="0" xr:uid="{00000000-0006-0000-0900-000011000000}">
      <text>
        <r>
          <rPr>
            <sz val="9"/>
            <color indexed="81"/>
            <rFont val="Tahoma"/>
            <family val="2"/>
          </rPr>
          <t>Preference is given to</t>
        </r>
        <r>
          <rPr>
            <b/>
            <sz val="9"/>
            <color indexed="81"/>
            <rFont val="Tahoma"/>
            <family val="2"/>
          </rPr>
          <t xml:space="preserve"> Band A</t>
        </r>
        <r>
          <rPr>
            <sz val="9"/>
            <color indexed="81"/>
            <rFont val="Tahoma"/>
            <family val="2"/>
          </rPr>
          <t xml:space="preserve"> </t>
        </r>
        <r>
          <rPr>
            <b/>
            <sz val="9"/>
            <color indexed="81"/>
            <rFont val="Tahoma"/>
            <family val="2"/>
          </rPr>
          <t>and B</t>
        </r>
        <r>
          <rPr>
            <sz val="9"/>
            <color indexed="81"/>
            <rFont val="Tahoma"/>
            <family val="2"/>
          </rPr>
          <t xml:space="preserve"> applicants. 
Admission to the programme is in primarily based on </t>
        </r>
        <r>
          <rPr>
            <b/>
            <sz val="9"/>
            <color indexed="81"/>
            <rFont val="Tahoma"/>
            <family val="2"/>
          </rPr>
          <t>academic merit</t>
        </r>
        <r>
          <rPr>
            <sz val="9"/>
            <color indexed="81"/>
            <rFont val="Tahoma"/>
            <family val="2"/>
          </rPr>
          <t>, plus the following optional supplements.</t>
        </r>
      </text>
    </comment>
    <comment ref="E11" authorId="0" shapeId="0" xr:uid="{00000000-0006-0000-0900-00001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E12" authorId="0" shapeId="0" xr:uid="{00000000-0006-0000-0900-00001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M12" authorId="0" shapeId="0" xr:uid="{00000000-0006-0000-0900-000014000000}">
      <text>
        <r>
          <rPr>
            <sz val="9"/>
            <color indexed="81"/>
            <rFont val="細明體"/>
            <family val="3"/>
            <charset val="136"/>
          </rPr>
          <t>前</t>
        </r>
        <r>
          <rPr>
            <sz val="9"/>
            <color indexed="81"/>
            <rFont val="Tahoma"/>
            <family val="2"/>
          </rPr>
          <t xml:space="preserve">: Mid-June to late June and/or 
</t>
        </r>
        <r>
          <rPr>
            <sz val="9"/>
            <color indexed="81"/>
            <rFont val="細明體"/>
            <family val="3"/>
            <charset val="136"/>
          </rPr>
          <t>後</t>
        </r>
        <r>
          <rPr>
            <sz val="9"/>
            <color indexed="81"/>
            <rFont val="Tahoma"/>
            <family val="2"/>
          </rPr>
          <t xml:space="preserve">: Late July
(Selected applicants will be invited to the interview)
(only </t>
        </r>
        <r>
          <rPr>
            <b/>
            <sz val="9"/>
            <color indexed="81"/>
            <rFont val="Tahoma"/>
            <family val="2"/>
          </rPr>
          <t>Band A</t>
        </r>
        <r>
          <rPr>
            <sz val="9"/>
            <color indexed="81"/>
            <rFont val="Tahoma"/>
            <family val="2"/>
          </rPr>
          <t xml:space="preserve"> and some selected applicants will be invited to interview after the announcement of HKDSE results.)</t>
        </r>
      </text>
    </comment>
    <comment ref="E13" authorId="0" shapeId="0" xr:uid="{00000000-0006-0000-0900-000015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14" authorId="0" shapeId="0" xr:uid="{00000000-0006-0000-0900-00001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t>
        </r>
        <r>
          <rPr>
            <sz val="9"/>
            <color indexed="81"/>
            <rFont val="Tahoma"/>
            <family val="2"/>
          </rPr>
          <t>DAT</t>
        </r>
        <r>
          <rPr>
            <sz val="9"/>
            <color indexed="81"/>
            <rFont val="細明體"/>
            <family val="3"/>
            <charset val="136"/>
          </rPr>
          <t>、視覺藝術</t>
        </r>
      </text>
    </comment>
    <comment ref="M14" authorId="0" shapeId="0" xr:uid="{00000000-0006-0000-0900-000017000000}">
      <text>
        <r>
          <rPr>
            <sz val="9"/>
            <color indexed="81"/>
            <rFont val="細明體"/>
            <family val="3"/>
            <charset val="136"/>
          </rPr>
          <t>前</t>
        </r>
        <r>
          <rPr>
            <sz val="9"/>
            <color indexed="81"/>
            <rFont val="Tahoma"/>
            <family val="2"/>
          </rPr>
          <t xml:space="preserve">: Aptitude test in mid/end May
</t>
        </r>
        <r>
          <rPr>
            <sz val="9"/>
            <color indexed="81"/>
            <rFont val="細明體"/>
            <family val="3"/>
            <charset val="136"/>
          </rPr>
          <t>後</t>
        </r>
        <r>
          <rPr>
            <sz val="9"/>
            <color indexed="81"/>
            <rFont val="Tahoma"/>
            <family val="2"/>
          </rPr>
          <t>: Mid/end July
(Only</t>
        </r>
        <r>
          <rPr>
            <b/>
            <sz val="9"/>
            <color indexed="81"/>
            <rFont val="Tahoma"/>
            <family val="2"/>
          </rPr>
          <t xml:space="preserve"> Band A, B</t>
        </r>
        <r>
          <rPr>
            <sz val="9"/>
            <color indexed="81"/>
            <rFont val="Tahoma"/>
            <family val="2"/>
          </rPr>
          <t xml:space="preserve"> applicants will be considered for admission)</t>
        </r>
      </text>
    </comment>
    <comment ref="E15" authorId="0" shapeId="0" xr:uid="{00000000-0006-0000-0900-00001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E16" authorId="0" shapeId="0" xr:uid="{00000000-0006-0000-0900-00001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M16" authorId="0" shapeId="0" xr:uid="{00000000-0006-0000-0900-00001A000000}">
      <text>
        <r>
          <rPr>
            <sz val="9"/>
            <color indexed="81"/>
            <rFont val="Tahoma"/>
            <family val="2"/>
          </rPr>
          <t>In June
(Selected applicants will be invited for interview)</t>
        </r>
      </text>
    </comment>
    <comment ref="E17" authorId="0" shapeId="0" xr:uid="{00000000-0006-0000-0900-00001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M17" authorId="0" shapeId="0" xr:uid="{00000000-0006-0000-0900-00001C000000}">
      <text>
        <r>
          <rPr>
            <sz val="9"/>
            <color indexed="81"/>
            <rFont val="Tahoma"/>
            <family val="2"/>
          </rPr>
          <t>In June
(Suitable candidates may be invited for an interview)</t>
        </r>
      </text>
    </comment>
    <comment ref="E18" authorId="0" shapeId="0" xr:uid="{00000000-0006-0000-0900-00001D000000}">
      <text>
        <r>
          <rPr>
            <b/>
            <sz val="9"/>
            <color indexed="81"/>
            <rFont val="細明體"/>
            <family val="3"/>
            <charset val="136"/>
          </rPr>
          <t>最高比重</t>
        </r>
        <r>
          <rPr>
            <b/>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、生物、化學、物理、組合科學</t>
        </r>
      </text>
    </comment>
    <comment ref="E19" authorId="0" shapeId="0" xr:uid="{00000000-0006-0000-0900-00001E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中文、英文、數學、生物、化學、物理、組合科學</t>
        </r>
      </text>
    </comment>
    <comment ref="E20" authorId="0" shapeId="0" xr:uid="{00000000-0006-0000-0900-00001F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text>
    </comment>
    <comment ref="M20" authorId="0" shapeId="0" xr:uid="{00000000-0006-0000-0900-000020000000}">
      <text>
        <r>
          <rPr>
            <sz val="9"/>
            <color indexed="81"/>
            <rFont val="Tahoma"/>
            <family val="2"/>
          </rPr>
          <t xml:space="preserve">To be confirmed
(Only </t>
        </r>
        <r>
          <rPr>
            <b/>
            <sz val="9"/>
            <color indexed="81"/>
            <rFont val="Tahoma"/>
            <family val="2"/>
          </rPr>
          <t>Band A</t>
        </r>
        <r>
          <rPr>
            <sz val="9"/>
            <color indexed="81"/>
            <rFont val="Tahoma"/>
            <family val="2"/>
          </rPr>
          <t xml:space="preserve"> applicants will be shortlisted and invited for interview)</t>
        </r>
      </text>
    </comment>
    <comment ref="E21" authorId="0" shapeId="0" xr:uid="{00000000-0006-0000-0900-000021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中文、英文、生物、物理、組合科學</t>
        </r>
        <r>
          <rPr>
            <sz val="9"/>
            <color indexed="81"/>
            <rFont val="Tahoma"/>
            <family val="2"/>
          </rPr>
          <t>(</t>
        </r>
        <r>
          <rPr>
            <sz val="9"/>
            <color indexed="81"/>
            <rFont val="細明體"/>
            <family val="3"/>
            <charset val="136"/>
          </rPr>
          <t>生物、物理</t>
        </r>
        <r>
          <rPr>
            <sz val="9"/>
            <color indexed="81"/>
            <rFont val="Tahoma"/>
            <family val="2"/>
          </rPr>
          <t>)</t>
        </r>
      </text>
    </comment>
    <comment ref="M21" authorId="0" shapeId="0" xr:uid="{00000000-0006-0000-0900-000022000000}">
      <text>
        <r>
          <rPr>
            <sz val="9"/>
            <color indexed="81"/>
            <rFont val="Tahoma"/>
            <family val="2"/>
          </rPr>
          <t xml:space="preserve">To be confirmed
(Only </t>
        </r>
        <r>
          <rPr>
            <b/>
            <sz val="9"/>
            <color indexed="81"/>
            <rFont val="Tahoma"/>
            <family val="2"/>
          </rPr>
          <t>Band A</t>
        </r>
        <r>
          <rPr>
            <sz val="9"/>
            <color indexed="81"/>
            <rFont val="Tahoma"/>
            <family val="2"/>
          </rPr>
          <t xml:space="preserve"> applicants will be shortlisted and invited for interview)</t>
        </r>
      </text>
    </comment>
    <comment ref="E22" authorId="0" shapeId="0" xr:uid="{00000000-0006-0000-0900-00002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中文、英文、數學、通識、生物、組合科學</t>
        </r>
        <r>
          <rPr>
            <sz val="9"/>
            <color indexed="81"/>
            <rFont val="Tahoma"/>
            <family val="2"/>
          </rPr>
          <t>(</t>
        </r>
        <r>
          <rPr>
            <sz val="9"/>
            <color indexed="81"/>
            <rFont val="細明體"/>
            <family val="3"/>
            <charset val="136"/>
          </rPr>
          <t>生物</t>
        </r>
        <r>
          <rPr>
            <sz val="9"/>
            <color indexed="81"/>
            <rFont val="Tahoma"/>
            <family val="2"/>
          </rPr>
          <t>)</t>
        </r>
      </text>
    </comment>
    <comment ref="E23" authorId="0" shapeId="0" xr:uid="{00000000-0006-0000-0900-000024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text>
    </comment>
    <comment ref="M24" authorId="0" shapeId="0" xr:uid="{00000000-0006-0000-0900-000025000000}">
      <text>
        <r>
          <rPr>
            <sz val="9"/>
            <color indexed="81"/>
            <rFont val="Tahoma"/>
            <family val="2"/>
          </rPr>
          <t xml:space="preserve">30 July or 2 August
(Only </t>
        </r>
        <r>
          <rPr>
            <b/>
            <sz val="9"/>
            <color indexed="81"/>
            <rFont val="Tahoma"/>
            <family val="2"/>
          </rPr>
          <t>Band A</t>
        </r>
        <r>
          <rPr>
            <sz val="9"/>
            <color indexed="81"/>
            <rFont val="Tahoma"/>
            <family val="2"/>
          </rPr>
          <t xml:space="preserve"> applicants will be considered for admission. Selected </t>
        </r>
        <r>
          <rPr>
            <b/>
            <sz val="9"/>
            <color indexed="81"/>
            <rFont val="Tahoma"/>
            <family val="2"/>
          </rPr>
          <t>Band A</t>
        </r>
        <r>
          <rPr>
            <sz val="9"/>
            <color indexed="81"/>
            <rFont val="Tahoma"/>
            <family val="2"/>
          </rPr>
          <t xml:space="preserve"> applicants will be invited for an interview upon release of HKDSE results)</t>
        </r>
      </text>
    </comment>
    <comment ref="E25" authorId="0" shapeId="0" xr:uid="{00000000-0006-0000-0900-00002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M25" authorId="0" shapeId="0" xr:uid="{00000000-0006-0000-0900-000027000000}">
      <text>
        <r>
          <rPr>
            <sz val="9"/>
            <color indexed="81"/>
            <rFont val="Tahoma"/>
            <family val="2"/>
          </rPr>
          <t>August
(Selected applicants will be invited for interview)</t>
        </r>
      </text>
    </comment>
    <comment ref="E26" authorId="0" shapeId="0" xr:uid="{00000000-0006-0000-0900-00002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M26" authorId="0" shapeId="0" xr:uid="{00000000-0006-0000-0900-000029000000}">
      <text>
        <r>
          <rPr>
            <sz val="9"/>
            <color indexed="81"/>
            <rFont val="細明體"/>
            <family val="3"/>
            <charset val="136"/>
          </rPr>
          <t>前</t>
        </r>
        <r>
          <rPr>
            <sz val="9"/>
            <color indexed="81"/>
            <rFont val="Tahoma"/>
            <family val="2"/>
          </rPr>
          <t xml:space="preserve">: Mid-June to late June and/or 
</t>
        </r>
        <r>
          <rPr>
            <sz val="9"/>
            <color indexed="81"/>
            <rFont val="細明體"/>
            <family val="3"/>
            <charset val="136"/>
          </rPr>
          <t>後</t>
        </r>
        <r>
          <rPr>
            <sz val="9"/>
            <color indexed="81"/>
            <rFont val="Tahoma"/>
            <family val="2"/>
          </rPr>
          <t xml:space="preserve">: Late July
(Selected applicants will be invited to the interview)
(only </t>
        </r>
        <r>
          <rPr>
            <b/>
            <sz val="9"/>
            <color indexed="81"/>
            <rFont val="Tahoma"/>
            <family val="2"/>
          </rPr>
          <t>Band A</t>
        </r>
        <r>
          <rPr>
            <sz val="9"/>
            <color indexed="81"/>
            <rFont val="Tahoma"/>
            <family val="2"/>
          </rPr>
          <t xml:space="preserve"> and some selected applicants will be invited to interview after the announcement of HKDSE results.)</t>
        </r>
      </text>
    </comment>
    <comment ref="E27" authorId="0" shapeId="0" xr:uid="{00000000-0006-0000-0900-00002A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M27" authorId="0" shapeId="0" xr:uid="{00000000-0006-0000-0900-00002B000000}">
      <text>
        <r>
          <rPr>
            <sz val="9"/>
            <color indexed="81"/>
            <rFont val="細明體"/>
            <family val="3"/>
            <charset val="136"/>
          </rPr>
          <t>前</t>
        </r>
        <r>
          <rPr>
            <sz val="9"/>
            <color indexed="81"/>
            <rFont val="Tahoma"/>
            <family val="2"/>
          </rPr>
          <t xml:space="preserve">: In June 
</t>
        </r>
        <r>
          <rPr>
            <sz val="9"/>
            <color indexed="81"/>
            <rFont val="細明體"/>
            <family val="3"/>
            <charset val="136"/>
          </rPr>
          <t>後</t>
        </r>
        <r>
          <rPr>
            <sz val="9"/>
            <color indexed="81"/>
            <rFont val="Tahoma"/>
            <family val="2"/>
          </rPr>
          <t>: In July
(Only applicants of Band A and B will be invited to the interview)</t>
        </r>
      </text>
    </comment>
    <comment ref="E28" authorId="0" shapeId="0" xr:uid="{00000000-0006-0000-0900-00002C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M28" authorId="0" shapeId="0" xr:uid="{00000000-0006-0000-0900-00002D000000}">
      <text>
        <r>
          <rPr>
            <sz val="9"/>
            <color indexed="81"/>
            <rFont val="Tahoma"/>
            <family val="2"/>
          </rPr>
          <t>To be confirmed
(</t>
        </r>
        <r>
          <rPr>
            <b/>
            <sz val="9"/>
            <color indexed="81"/>
            <rFont val="Tahoma"/>
            <family val="2"/>
          </rPr>
          <t>Band A and Band B</t>
        </r>
        <r>
          <rPr>
            <sz val="9"/>
            <color indexed="81"/>
            <rFont val="Tahoma"/>
            <family val="2"/>
          </rPr>
          <t xml:space="preserve"> applicants may be invited to attend an interview)</t>
        </r>
      </text>
    </comment>
    <comment ref="E29" authorId="0" shapeId="0" xr:uid="{00000000-0006-0000-0900-00002E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E30" authorId="0" shapeId="0" xr:uid="{00000000-0006-0000-0900-00002F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英文、數學、物理、組合科學</t>
        </r>
        <r>
          <rPr>
            <sz val="9"/>
            <color indexed="81"/>
            <rFont val="Tahoma"/>
            <family val="2"/>
          </rPr>
          <t>(</t>
        </r>
        <r>
          <rPr>
            <sz val="9"/>
            <color indexed="81"/>
            <rFont val="細明體"/>
            <family val="3"/>
            <charset val="136"/>
          </rPr>
          <t>物理</t>
        </r>
        <r>
          <rPr>
            <sz val="9"/>
            <color indexed="81"/>
            <rFont val="Tahoma"/>
            <family val="2"/>
          </rPr>
          <t>)</t>
        </r>
      </text>
    </comment>
    <comment ref="M30" authorId="0" shapeId="0" xr:uid="{00000000-0006-0000-0900-000030000000}">
      <text>
        <r>
          <rPr>
            <sz val="9"/>
            <color indexed="81"/>
            <rFont val="Tahoma"/>
            <family val="2"/>
          </rPr>
          <t xml:space="preserve">To be confirmed
(Only </t>
        </r>
        <r>
          <rPr>
            <b/>
            <sz val="9"/>
            <color indexed="81"/>
            <rFont val="Tahoma"/>
            <family val="2"/>
          </rPr>
          <t>Band A and B</t>
        </r>
        <r>
          <rPr>
            <sz val="9"/>
            <color indexed="81"/>
            <rFont val="Tahoma"/>
            <family val="2"/>
          </rPr>
          <t xml:space="preserve"> applicants with the same admission scores will be invited to attend an interview.)</t>
        </r>
      </text>
    </comment>
    <comment ref="G31" authorId="0" shapeId="0" xr:uid="{00000000-0006-0000-0900-000031000000}">
      <text>
        <r>
          <rPr>
            <sz val="9"/>
            <color indexed="81"/>
            <rFont val="細明體"/>
            <family val="3"/>
            <charset val="136"/>
          </rPr>
          <t>此科並無比重，但由於院校收生會考慮其他因素，包括面試表現等，故亦有可能出現LQ高於Median的情況。</t>
        </r>
      </text>
    </comment>
    <comment ref="M31" authorId="0" shapeId="0" xr:uid="{00000000-0006-0000-0900-000032000000}">
      <text>
        <r>
          <rPr>
            <sz val="9"/>
            <color indexed="81"/>
            <rFont val="Tahoma"/>
            <family val="2"/>
          </rPr>
          <t xml:space="preserve">2 or 3 August
(Only </t>
        </r>
        <r>
          <rPr>
            <b/>
            <sz val="9"/>
            <color indexed="81"/>
            <rFont val="Tahoma"/>
            <family val="2"/>
          </rPr>
          <t>Band A and B</t>
        </r>
        <r>
          <rPr>
            <sz val="9"/>
            <color indexed="81"/>
            <rFont val="Tahoma"/>
            <family val="2"/>
          </rPr>
          <t xml:space="preserve"> applicants will be considered for admission. Selected </t>
        </r>
        <r>
          <rPr>
            <b/>
            <sz val="9"/>
            <color indexed="81"/>
            <rFont val="Tahoma"/>
            <family val="2"/>
          </rPr>
          <t>Band A and B</t>
        </r>
        <r>
          <rPr>
            <sz val="9"/>
            <color indexed="81"/>
            <rFont val="Tahoma"/>
            <family val="2"/>
          </rPr>
          <t xml:space="preserve"> applicants will be invited for an interview upon release of HKDSE results)</t>
        </r>
      </text>
    </comment>
    <comment ref="E32" authorId="0" shapeId="0" xr:uid="{00000000-0006-0000-0900-00003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M32" authorId="0" shapeId="0" xr:uid="{00000000-0006-0000-0900-000034000000}">
      <text>
        <r>
          <rPr>
            <sz val="9"/>
            <color indexed="81"/>
            <rFont val="Tahoma"/>
            <family val="2"/>
          </rPr>
          <t>To be confirmed
(</t>
        </r>
        <r>
          <rPr>
            <b/>
            <sz val="9"/>
            <color indexed="81"/>
            <rFont val="Tahoma"/>
            <family val="2"/>
          </rPr>
          <t>Band A and Band B</t>
        </r>
        <r>
          <rPr>
            <sz val="9"/>
            <color indexed="81"/>
            <rFont val="Tahoma"/>
            <family val="2"/>
          </rPr>
          <t xml:space="preserve"> applicants may be invited to attend an interview)</t>
        </r>
      </text>
    </comment>
    <comment ref="E33" authorId="0" shapeId="0" xr:uid="{00000000-0006-0000-0900-000035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M33" authorId="0" shapeId="0" xr:uid="{00000000-0006-0000-0900-000036000000}">
      <text>
        <r>
          <rPr>
            <sz val="9"/>
            <color indexed="81"/>
            <rFont val="Tahoma"/>
            <family val="2"/>
          </rPr>
          <t xml:space="preserve">To be confirmed
(Only </t>
        </r>
        <r>
          <rPr>
            <b/>
            <sz val="9"/>
            <color indexed="81"/>
            <rFont val="Tahoma"/>
            <family val="2"/>
          </rPr>
          <t>Band A</t>
        </r>
        <r>
          <rPr>
            <sz val="9"/>
            <color indexed="81"/>
            <rFont val="Tahoma"/>
            <family val="2"/>
          </rPr>
          <t xml:space="preserve"> applicants will be invited for interview)</t>
        </r>
      </text>
    </comment>
    <comment ref="E34" authorId="0" shapeId="0" xr:uid="{00000000-0006-0000-0900-000037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M34" authorId="0" shapeId="0" xr:uid="{00000000-0006-0000-0900-000038000000}">
      <text>
        <r>
          <rPr>
            <sz val="9"/>
            <color indexed="81"/>
            <rFont val="Tahoma"/>
            <family val="2"/>
          </rPr>
          <t xml:space="preserve">To be confirmed
(Only </t>
        </r>
        <r>
          <rPr>
            <b/>
            <sz val="9"/>
            <color indexed="81"/>
            <rFont val="Tahoma"/>
            <family val="2"/>
          </rPr>
          <t>Band A</t>
        </r>
        <r>
          <rPr>
            <sz val="9"/>
            <color indexed="81"/>
            <rFont val="Tahoma"/>
            <family val="2"/>
          </rPr>
          <t xml:space="preserve"> applicants will be invited for interview)</t>
        </r>
      </text>
    </comment>
    <comment ref="E35" authorId="0" shapeId="0" xr:uid="{00000000-0006-0000-0900-00003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M35" authorId="0" shapeId="0" xr:uid="{00000000-0006-0000-0900-00003A000000}">
      <text>
        <r>
          <rPr>
            <sz val="9"/>
            <color indexed="81"/>
            <rFont val="Tahoma"/>
            <family val="2"/>
          </rPr>
          <t>June/July
(Suitable candidates may be invited for interview)</t>
        </r>
      </text>
    </comment>
    <comment ref="E36" authorId="0" shapeId="0" xr:uid="{00000000-0006-0000-0900-00003B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text>
    </comment>
    <comment ref="M36" authorId="0" shapeId="0" xr:uid="{00000000-0006-0000-0900-00003C000000}">
      <text>
        <r>
          <rPr>
            <sz val="9"/>
            <color indexed="81"/>
            <rFont val="Tahoma"/>
            <family val="2"/>
          </rPr>
          <t>Late July, if necessary</t>
        </r>
      </text>
    </comment>
    <comment ref="E37" authorId="0" shapeId="0" xr:uid="{00000000-0006-0000-0900-00003D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M37" authorId="0" shapeId="0" xr:uid="{00000000-0006-0000-0900-00003E000000}">
      <text>
        <r>
          <rPr>
            <sz val="9"/>
            <color indexed="81"/>
            <rFont val="Tahoma"/>
            <family val="2"/>
          </rPr>
          <t xml:space="preserve">To be confirmed
(Preference will be given to </t>
        </r>
        <r>
          <rPr>
            <b/>
            <sz val="9"/>
            <color indexed="81"/>
            <rFont val="Tahoma"/>
            <family val="2"/>
          </rPr>
          <t xml:space="preserve">Band A </t>
        </r>
        <r>
          <rPr>
            <sz val="9"/>
            <color indexed="81"/>
            <rFont val="Tahoma"/>
            <family val="2"/>
          </rPr>
          <t xml:space="preserve">applicants and only </t>
        </r>
        <r>
          <rPr>
            <b/>
            <sz val="9"/>
            <color indexed="81"/>
            <rFont val="Tahoma"/>
            <family val="2"/>
          </rPr>
          <t xml:space="preserve">Band A </t>
        </r>
        <r>
          <rPr>
            <sz val="9"/>
            <color indexed="81"/>
            <rFont val="Tahoma"/>
            <family val="2"/>
          </rPr>
          <t>applicants will be invited to attend the interview)</t>
        </r>
      </text>
    </comment>
    <comment ref="E38" authorId="0" shapeId="0" xr:uid="{00000000-0006-0000-0900-00003F000000}">
      <text>
        <r>
          <rPr>
            <b/>
            <sz val="9"/>
            <color indexed="81"/>
            <rFont val="細明體"/>
            <family val="3"/>
            <charset val="136"/>
          </rPr>
          <t>最高比重</t>
        </r>
        <r>
          <rPr>
            <b/>
            <sz val="9"/>
            <color indexed="81"/>
            <rFont val="Tahoma"/>
            <family val="2"/>
          </rPr>
          <t>:</t>
        </r>
        <r>
          <rPr>
            <sz val="9"/>
            <color indexed="81"/>
            <rFont val="Tahoma"/>
            <family val="2"/>
          </rPr>
          <t xml:space="preserve">
</t>
        </r>
        <r>
          <rPr>
            <sz val="9"/>
            <color indexed="81"/>
            <rFont val="細明體"/>
            <family val="3"/>
            <charset val="136"/>
          </rPr>
          <t>中文、英文</t>
        </r>
      </text>
    </comment>
    <comment ref="M38" authorId="0" shapeId="0" xr:uid="{00000000-0006-0000-0900-000040000000}">
      <text>
        <r>
          <rPr>
            <sz val="9"/>
            <color indexed="81"/>
            <rFont val="Tahoma"/>
            <family val="2"/>
          </rPr>
          <t>Late July, if necessary</t>
        </r>
      </text>
    </comment>
    <comment ref="C39" authorId="0" shapeId="0" xr:uid="{00000000-0006-0000-0900-000041000000}">
      <text>
        <r>
          <rPr>
            <sz val="9"/>
            <color indexed="81"/>
            <rFont val="Tahoma"/>
            <family val="2"/>
          </rPr>
          <t xml:space="preserve">This programme has been restructured and retitled starting from 2021-22. 
Original Programme: JS3533
BBA(Hons) in Global Supply Chain Management
</t>
        </r>
        <r>
          <rPr>
            <sz val="9"/>
            <color indexed="81"/>
            <rFont val="細明體"/>
            <family val="3"/>
            <charset val="136"/>
          </rPr>
          <t>全球供應鏈管理</t>
        </r>
        <r>
          <rPr>
            <sz val="9"/>
            <color indexed="81"/>
            <rFont val="Tahoma"/>
            <family val="2"/>
          </rPr>
          <t>(</t>
        </r>
        <r>
          <rPr>
            <sz val="9"/>
            <color indexed="81"/>
            <rFont val="細明體"/>
            <family val="3"/>
            <charset val="136"/>
          </rPr>
          <t>榮譽</t>
        </r>
        <r>
          <rPr>
            <sz val="9"/>
            <color indexed="81"/>
            <rFont val="Tahoma"/>
            <family val="2"/>
          </rPr>
          <t>)</t>
        </r>
        <r>
          <rPr>
            <sz val="9"/>
            <color indexed="81"/>
            <rFont val="細明體"/>
            <family val="3"/>
            <charset val="136"/>
          </rPr>
          <t>工商管理學士學位</t>
        </r>
      </text>
    </comment>
    <comment ref="E39" authorId="0" shapeId="0" xr:uid="{00000000-0006-0000-0900-000042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M39" authorId="0" shapeId="0" xr:uid="{00000000-0006-0000-0900-000043000000}">
      <text>
        <r>
          <rPr>
            <sz val="9"/>
            <color indexed="81"/>
            <rFont val="Tahoma"/>
            <family val="2"/>
          </rPr>
          <t>August
(Suitable Band A candidates may be invited for interview.)</t>
        </r>
      </text>
    </comment>
    <comment ref="E40" authorId="0" shapeId="0" xr:uid="{00000000-0006-0000-0900-000044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t>
        </r>
        <r>
          <rPr>
            <sz val="9"/>
            <color indexed="81"/>
            <rFont val="Tahoma"/>
            <family val="2"/>
          </rPr>
          <t>BAFS</t>
        </r>
        <r>
          <rPr>
            <sz val="9"/>
            <color indexed="81"/>
            <rFont val="細明體"/>
            <family val="3"/>
            <charset val="136"/>
          </rPr>
          <t>、組合科學、經濟、</t>
        </r>
        <r>
          <rPr>
            <sz val="9"/>
            <color indexed="81"/>
            <rFont val="Tahoma"/>
            <family val="2"/>
          </rPr>
          <t>ICT</t>
        </r>
      </text>
    </comment>
    <comment ref="M40" authorId="0" shapeId="0" xr:uid="{00000000-0006-0000-0900-000045000000}">
      <text>
        <r>
          <rPr>
            <sz val="9"/>
            <color indexed="81"/>
            <rFont val="Tahoma"/>
            <family val="2"/>
          </rPr>
          <t>Between June and July
(Usually only Band A applicants will be invited to the interview)</t>
        </r>
      </text>
    </comment>
    <comment ref="E41" authorId="0" shapeId="0" xr:uid="{00000000-0006-0000-0900-00004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t>
        </r>
      </text>
    </comment>
    <comment ref="E42" authorId="0" shapeId="0" xr:uid="{00000000-0006-0000-0900-000047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M42" authorId="0" shapeId="0" xr:uid="{00000000-0006-0000-0900-000048000000}">
      <text>
        <r>
          <rPr>
            <sz val="9"/>
            <color indexed="81"/>
            <rFont val="Tahoma"/>
            <family val="2"/>
          </rPr>
          <t>In June
(Selected applicants will be invited for interview)</t>
        </r>
      </text>
    </comment>
    <comment ref="E43" authorId="0" shapeId="0" xr:uid="{00000000-0006-0000-0900-00004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text>
    </comment>
    <comment ref="M43" authorId="0" shapeId="0" xr:uid="{00000000-0006-0000-0900-00004A000000}">
      <text>
        <r>
          <rPr>
            <sz val="9"/>
            <color indexed="81"/>
            <rFont val="Tahoma"/>
            <family val="2"/>
          </rPr>
          <t>In June
(Suitable candidates may be invited for an interview)</t>
        </r>
      </text>
    </comment>
    <comment ref="E44" authorId="0" shapeId="0" xr:uid="{00000000-0006-0000-0900-00004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英文、數學、生物、組合科學</t>
        </r>
        <r>
          <rPr>
            <sz val="9"/>
            <color indexed="81"/>
            <rFont val="Tahoma"/>
            <family val="2"/>
          </rPr>
          <t>(</t>
        </r>
        <r>
          <rPr>
            <sz val="9"/>
            <color indexed="81"/>
            <rFont val="細明體"/>
            <family val="3"/>
            <charset val="136"/>
          </rPr>
          <t>生物</t>
        </r>
        <r>
          <rPr>
            <sz val="9"/>
            <color indexed="81"/>
            <rFont val="Tahoma"/>
            <family val="2"/>
          </rPr>
          <t>)</t>
        </r>
      </text>
    </comment>
    <comment ref="M44" authorId="0" shapeId="0" xr:uid="{00000000-0006-0000-0900-00004C000000}">
      <text>
        <r>
          <rPr>
            <sz val="9"/>
            <color indexed="81"/>
            <rFont val="Tahoma"/>
            <family val="2"/>
          </rPr>
          <t>If necessary
(Only selected applicants will be invited to the interview)</t>
        </r>
      </text>
    </comment>
    <comment ref="E45" authorId="0" shapeId="0" xr:uid="{00000000-0006-0000-0900-00004D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M45" authorId="0" shapeId="0" xr:uid="{00000000-0006-0000-0900-00004E000000}">
      <text>
        <r>
          <rPr>
            <sz val="9"/>
            <color indexed="81"/>
            <rFont val="Tahoma"/>
            <family val="2"/>
          </rPr>
          <t>If necessary
(Only selected applicants will be invited to the interview)</t>
        </r>
      </text>
    </comment>
    <comment ref="E46" authorId="0" shapeId="0" xr:uid="{00000000-0006-0000-0900-00004F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英文、數學、化學、組合科學</t>
        </r>
        <r>
          <rPr>
            <sz val="9"/>
            <color indexed="81"/>
            <rFont val="Tahoma"/>
            <family val="2"/>
          </rPr>
          <t>(</t>
        </r>
        <r>
          <rPr>
            <sz val="9"/>
            <color indexed="81"/>
            <rFont val="細明體"/>
            <family val="3"/>
            <charset val="136"/>
          </rPr>
          <t>化學</t>
        </r>
        <r>
          <rPr>
            <sz val="9"/>
            <color indexed="81"/>
            <rFont val="Tahoma"/>
            <family val="2"/>
          </rPr>
          <t>)</t>
        </r>
      </text>
    </comment>
    <comment ref="M46" authorId="0" shapeId="0" xr:uid="{00000000-0006-0000-0900-000050000000}">
      <text>
        <r>
          <rPr>
            <sz val="9"/>
            <color indexed="81"/>
            <rFont val="Tahoma"/>
            <family val="2"/>
          </rPr>
          <t xml:space="preserve">In June
(Suitable candidates, preferably from </t>
        </r>
        <r>
          <rPr>
            <b/>
            <sz val="9"/>
            <color indexed="81"/>
            <rFont val="Tahoma"/>
            <family val="2"/>
          </rPr>
          <t>Band A and B</t>
        </r>
        <r>
          <rPr>
            <sz val="9"/>
            <color indexed="81"/>
            <rFont val="Tahoma"/>
            <family val="2"/>
          </rPr>
          <t xml:space="preserve"> will be invited for an interview)</t>
        </r>
      </text>
    </comment>
    <comment ref="E48" authorId="0" shapeId="0" xr:uid="{00000000-0006-0000-0900-000051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M48" authorId="0" shapeId="0" xr:uid="{00000000-0006-0000-0900-000052000000}">
      <text>
        <r>
          <rPr>
            <sz val="9"/>
            <color indexed="81"/>
            <rFont val="Tahoma"/>
            <family val="2"/>
          </rPr>
          <t xml:space="preserve">To be confirmed
(Only </t>
        </r>
        <r>
          <rPr>
            <b/>
            <sz val="9"/>
            <color indexed="81"/>
            <rFont val="Tahoma"/>
            <family val="2"/>
          </rPr>
          <t>Band A</t>
        </r>
        <r>
          <rPr>
            <sz val="9"/>
            <color indexed="81"/>
            <rFont val="Tahoma"/>
            <family val="2"/>
          </rPr>
          <t xml:space="preserve"> applicants will be invited for interview)</t>
        </r>
      </text>
    </comment>
    <comment ref="E49" authorId="0" shapeId="0" xr:uid="{00000000-0006-0000-0900-000053000000}">
      <text>
        <r>
          <rPr>
            <b/>
            <sz val="9"/>
            <color indexed="81"/>
            <rFont val="細明體"/>
            <family val="3"/>
            <charset val="136"/>
          </rPr>
          <t>最高比重</t>
        </r>
        <r>
          <rPr>
            <b/>
            <sz val="9"/>
            <color indexed="81"/>
            <rFont val="Tahoma"/>
            <family val="2"/>
          </rPr>
          <t xml:space="preserve">:
</t>
        </r>
        <r>
          <rPr>
            <sz val="9"/>
            <color indexed="81"/>
            <rFont val="細明體"/>
            <family val="3"/>
            <charset val="136"/>
          </rPr>
          <t>數學、物理、組合科學</t>
        </r>
        <r>
          <rPr>
            <sz val="9"/>
            <color indexed="81"/>
            <rFont val="Tahoma"/>
            <family val="2"/>
          </rPr>
          <t>(</t>
        </r>
        <r>
          <rPr>
            <sz val="9"/>
            <color indexed="81"/>
            <rFont val="細明體"/>
            <family val="3"/>
            <charset val="136"/>
          </rPr>
          <t>物理</t>
        </r>
        <r>
          <rPr>
            <sz val="9"/>
            <color indexed="81"/>
            <rFont val="Tahoma"/>
            <family val="2"/>
          </rPr>
          <t>)</t>
        </r>
      </text>
    </comment>
    <comment ref="E51" authorId="0" shapeId="0" xr:uid="{00000000-0006-0000-0900-000054000000}">
      <text>
        <r>
          <rPr>
            <b/>
            <sz val="9"/>
            <color indexed="81"/>
            <rFont val="細明體"/>
            <family val="3"/>
            <charset val="136"/>
          </rPr>
          <t>最高比重</t>
        </r>
        <r>
          <rPr>
            <b/>
            <sz val="9"/>
            <color indexed="81"/>
            <rFont val="Tahoma"/>
            <family val="2"/>
          </rPr>
          <t xml:space="preserve">:
</t>
        </r>
        <r>
          <rPr>
            <sz val="9"/>
            <color indexed="81"/>
            <rFont val="細明體"/>
            <family val="3"/>
            <charset val="136"/>
          </rPr>
          <t>化學、組合科學</t>
        </r>
        <r>
          <rPr>
            <sz val="9"/>
            <color indexed="81"/>
            <rFont val="Tahoma"/>
            <family val="2"/>
          </rPr>
          <t>(</t>
        </r>
        <r>
          <rPr>
            <sz val="9"/>
            <color indexed="81"/>
            <rFont val="細明體"/>
            <family val="3"/>
            <charset val="136"/>
          </rPr>
          <t>化學</t>
        </r>
        <r>
          <rPr>
            <sz val="9"/>
            <color indexed="81"/>
            <rFont val="Tahoma"/>
            <family val="2"/>
          </rPr>
          <t>)</t>
        </r>
      </text>
    </comment>
    <comment ref="M51" authorId="0" shapeId="0" xr:uid="{00000000-0006-0000-0900-000055000000}">
      <text>
        <r>
          <rPr>
            <sz val="9"/>
            <color indexed="81"/>
            <rFont val="Tahoma"/>
            <family val="2"/>
          </rPr>
          <t>If necessary
(Only selected applicants will be invited to the interview)</t>
        </r>
      </text>
    </comment>
    <comment ref="E52" authorId="0" shapeId="0" xr:uid="{00000000-0006-0000-0900-000056000000}">
      <text>
        <r>
          <rPr>
            <b/>
            <sz val="9"/>
            <color indexed="81"/>
            <rFont val="細明體"/>
            <family val="3"/>
            <charset val="136"/>
          </rPr>
          <t>最高比重</t>
        </r>
        <r>
          <rPr>
            <b/>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、物理、組合科學</t>
        </r>
        <r>
          <rPr>
            <sz val="9"/>
            <color indexed="81"/>
            <rFont val="Tahoma"/>
            <family val="2"/>
          </rPr>
          <t>(</t>
        </r>
        <r>
          <rPr>
            <sz val="9"/>
            <color indexed="81"/>
            <rFont val="細明體"/>
            <family val="3"/>
            <charset val="136"/>
          </rPr>
          <t>物理</t>
        </r>
        <r>
          <rPr>
            <sz val="9"/>
            <color indexed="81"/>
            <rFont val="Tahoma"/>
            <family val="2"/>
          </rPr>
          <t>)</t>
        </r>
      </text>
    </comment>
    <comment ref="M52" authorId="0" shapeId="0" xr:uid="{00000000-0006-0000-0900-000057000000}">
      <text>
        <r>
          <rPr>
            <sz val="9"/>
            <color indexed="81"/>
            <rFont val="Tahoma"/>
            <family val="2"/>
          </rPr>
          <t>To be confirmed
(</t>
        </r>
        <r>
          <rPr>
            <b/>
            <sz val="9"/>
            <color indexed="81"/>
            <rFont val="Tahoma"/>
            <family val="2"/>
          </rPr>
          <t>Band A and B</t>
        </r>
        <r>
          <rPr>
            <sz val="9"/>
            <color indexed="81"/>
            <rFont val="Tahoma"/>
            <family val="2"/>
          </rPr>
          <t xml:space="preserve"> applicants may be invited to attend an interview.)</t>
        </r>
      </text>
    </comment>
    <comment ref="E53" authorId="0" shapeId="0" xr:uid="{00000000-0006-0000-0900-000058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E54" authorId="0" shapeId="0" xr:uid="{00000000-0006-0000-0900-000059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、生物、化學、物理、組合科學、</t>
        </r>
        <r>
          <rPr>
            <sz val="9"/>
            <color indexed="81"/>
            <rFont val="Tahoma"/>
            <family val="2"/>
          </rPr>
          <t>ICT</t>
        </r>
      </text>
    </comment>
    <comment ref="M54" authorId="0" shapeId="0" xr:uid="{00000000-0006-0000-0900-00005A000000}">
      <text>
        <r>
          <rPr>
            <sz val="9"/>
            <color indexed="81"/>
            <rFont val="Tahoma"/>
            <family val="2"/>
          </rPr>
          <t xml:space="preserve">To be confirmed
(Selected </t>
        </r>
        <r>
          <rPr>
            <b/>
            <sz val="9"/>
            <color indexed="81"/>
            <rFont val="Tahoma"/>
            <family val="2"/>
          </rPr>
          <t>Band A, B and C</t>
        </r>
        <r>
          <rPr>
            <sz val="9"/>
            <color indexed="81"/>
            <rFont val="Tahoma"/>
            <family val="2"/>
          </rPr>
          <t xml:space="preserve"> applicants will be invited for interview.)</t>
        </r>
      </text>
    </comment>
    <comment ref="E56" authorId="0" shapeId="0" xr:uid="{00000000-0006-0000-0900-00005B000000}">
      <text>
        <r>
          <rPr>
            <b/>
            <sz val="9"/>
            <color indexed="81"/>
            <rFont val="細明體"/>
            <family val="3"/>
            <charset val="136"/>
          </rPr>
          <t>最高比重</t>
        </r>
        <r>
          <rPr>
            <b/>
            <sz val="9"/>
            <color indexed="81"/>
            <rFont val="Tahoma"/>
            <family val="2"/>
          </rPr>
          <t xml:space="preserve">:
</t>
        </r>
        <r>
          <rPr>
            <sz val="9"/>
            <color indexed="81"/>
            <rFont val="細明體"/>
            <family val="3"/>
            <charset val="136"/>
          </rPr>
          <t>英文、數學、生物、化學、物理、組合科學、</t>
        </r>
        <r>
          <rPr>
            <sz val="9"/>
            <color indexed="81"/>
            <rFont val="Tahoma"/>
            <family val="2"/>
          </rPr>
          <t>ICT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Chan</author>
    <author>Michael</author>
    <author>SHEK, Kam Ming</author>
  </authors>
  <commentList>
    <comment ref="J1" authorId="0" shapeId="0" xr:uid="{00000000-0006-0000-0A00-000001000000}">
      <text>
        <r>
          <rPr>
            <b/>
            <sz val="9"/>
            <color indexed="81"/>
            <rFont val="細明體"/>
            <family val="3"/>
            <charset val="136"/>
          </rPr>
          <t xml:space="preserve">可選擇：
</t>
        </r>
        <r>
          <rPr>
            <b/>
            <sz val="9"/>
            <color indexed="81"/>
            <rFont val="Tahoma"/>
            <family val="2"/>
          </rPr>
          <t>UQ/Median/LQ</t>
        </r>
        <r>
          <rPr>
            <sz val="9"/>
            <color indexed="81"/>
            <rFont val="Tahoma"/>
            <family val="2"/>
          </rPr>
          <t xml:space="preserve">
</t>
        </r>
      </text>
    </comment>
    <comment ref="E3" authorId="0" shapeId="0" xr:uid="{00000000-0006-0000-0A00-000002000000}">
      <text>
        <r>
          <rPr>
            <sz val="9"/>
            <color indexed="81"/>
            <rFont val="細明體"/>
            <family val="3"/>
            <charset val="136"/>
          </rPr>
          <t>中文有較高比重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N4" authorId="1" shapeId="0" xr:uid="{00000000-0006-0000-0A00-000003000000}">
      <text>
        <r>
          <rPr>
            <sz val="9"/>
            <color indexed="81"/>
            <rFont val="Tahoma"/>
            <family val="2"/>
          </rPr>
          <t>(On a selective basis)</t>
        </r>
      </text>
    </comment>
    <comment ref="N5" authorId="1" shapeId="0" xr:uid="{00000000-0006-0000-0A00-000004000000}">
      <text>
        <r>
          <rPr>
            <sz val="9"/>
            <color indexed="81"/>
            <rFont val="Tahoma"/>
            <family val="2"/>
          </rPr>
          <t xml:space="preserve">(On a selective basis)
</t>
        </r>
      </text>
    </comment>
    <comment ref="C6" authorId="0" shapeId="0" xr:uid="{00000000-0006-0000-0A00-000005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英語文學</t>
        </r>
        <r>
          <rPr>
            <sz val="9"/>
            <color indexed="81"/>
            <rFont val="Tahoma"/>
            <family val="2"/>
          </rPr>
          <t xml:space="preserve"> </t>
        </r>
        <r>
          <rPr>
            <sz val="9"/>
            <color indexed="81"/>
            <rFont val="細明體"/>
            <family val="3"/>
            <charset val="136"/>
          </rPr>
          <t>者</t>
        </r>
      </text>
    </comment>
    <comment ref="E6" authorId="0" shapeId="0" xr:uid="{00000000-0006-0000-0A00-000006000000}">
      <text>
        <r>
          <rPr>
            <b/>
            <sz val="9"/>
            <color indexed="81"/>
            <rFont val="Tahoma"/>
            <family val="2"/>
          </rPr>
          <t>2021</t>
        </r>
        <r>
          <rPr>
            <b/>
            <sz val="9"/>
            <color indexed="81"/>
            <rFont val="細明體"/>
            <family val="3"/>
            <charset val="136"/>
          </rPr>
          <t>年會以</t>
        </r>
        <r>
          <rPr>
            <b/>
            <sz val="9"/>
            <color indexed="81"/>
            <rFont val="Tahoma"/>
            <family val="2"/>
          </rPr>
          <t>Best 5</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r>
          <rPr>
            <b/>
            <sz val="9"/>
            <color indexed="81"/>
            <rFont val="Tahoma"/>
            <family val="2"/>
          </rPr>
          <t xml:space="preserve">
</t>
        </r>
        <r>
          <rPr>
            <sz val="9"/>
            <color indexed="81"/>
            <rFont val="細明體"/>
            <family val="3"/>
            <charset val="136"/>
          </rPr>
          <t>英文有較高比重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N6" authorId="1" shapeId="0" xr:uid="{00000000-0006-0000-0A00-000007000000}">
      <text>
        <r>
          <rPr>
            <b/>
            <sz val="9"/>
            <color indexed="81"/>
            <rFont val="細明體"/>
            <family val="3"/>
            <charset val="136"/>
          </rPr>
          <t>前</t>
        </r>
        <r>
          <rPr>
            <b/>
            <sz val="9"/>
            <color indexed="81"/>
            <rFont val="Tahoma"/>
            <family val="2"/>
          </rPr>
          <t>:</t>
        </r>
        <r>
          <rPr>
            <sz val="9"/>
            <color indexed="81"/>
            <rFont val="Tahoma"/>
            <family val="2"/>
          </rPr>
          <t xml:space="preserve"> 20-21 May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C7" authorId="0" shapeId="0" xr:uid="{00000000-0006-0000-0A00-000008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視覺藝術</t>
        </r>
        <r>
          <rPr>
            <sz val="9"/>
            <color indexed="81"/>
            <rFont val="Tahoma"/>
            <family val="2"/>
          </rPr>
          <t xml:space="preserve"> </t>
        </r>
        <r>
          <rPr>
            <sz val="9"/>
            <color indexed="81"/>
            <rFont val="細明體"/>
            <family val="3"/>
            <charset val="136"/>
          </rPr>
          <t>者</t>
        </r>
      </text>
    </comment>
    <comment ref="N7" authorId="1" shapeId="0" xr:uid="{00000000-0006-0000-0A00-000009000000}">
      <text>
        <r>
          <rPr>
            <sz val="9"/>
            <color indexed="81"/>
            <rFont val="Tahoma"/>
            <family val="2"/>
          </rPr>
          <t>(On a selective basis)</t>
        </r>
      </text>
    </comment>
    <comment ref="N9" authorId="1" shapeId="0" xr:uid="{00000000-0006-0000-0A00-00000A000000}">
      <text>
        <r>
          <rPr>
            <sz val="9"/>
            <color indexed="81"/>
            <rFont val="Tahoma"/>
            <family val="2"/>
          </rPr>
          <t>(On a selective basis)</t>
        </r>
      </text>
    </comment>
    <comment ref="C11" authorId="0" shapeId="0" xr:uid="{00000000-0006-0000-0A00-00000B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音樂</t>
        </r>
        <r>
          <rPr>
            <sz val="9"/>
            <color indexed="81"/>
            <rFont val="Tahoma"/>
            <family val="2"/>
          </rPr>
          <t xml:space="preserve"> </t>
        </r>
        <r>
          <rPr>
            <sz val="9"/>
            <color indexed="81"/>
            <rFont val="細明體"/>
            <family val="3"/>
            <charset val="136"/>
          </rPr>
          <t>者</t>
        </r>
      </text>
    </comment>
    <comment ref="M11" authorId="0" shapeId="0" xr:uid="{00000000-0006-0000-0A00-00000C000000}">
      <text>
        <r>
          <rPr>
            <sz val="9"/>
            <color indexed="81"/>
            <rFont val="Tahoma"/>
            <family val="2"/>
          </rPr>
          <t xml:space="preserve">Applicants should have attained a level of proficiency in their main instrument/ voice at or above </t>
        </r>
        <r>
          <rPr>
            <b/>
            <sz val="9"/>
            <color indexed="81"/>
            <rFont val="Tahoma"/>
            <family val="2"/>
          </rPr>
          <t>Grade 8 (ABRSM/ Trinity College)</t>
        </r>
        <r>
          <rPr>
            <sz val="9"/>
            <color indexed="81"/>
            <rFont val="Tahoma"/>
            <family val="2"/>
          </rPr>
          <t>.</t>
        </r>
      </text>
    </comment>
    <comment ref="N11" authorId="1" shapeId="0" xr:uid="{00000000-0006-0000-0A00-00000D000000}">
      <text>
        <r>
          <rPr>
            <sz val="9"/>
            <color indexed="81"/>
            <rFont val="Tahoma"/>
            <family val="2"/>
          </rPr>
          <t xml:space="preserve">(1) Audition video submission deadline: 31 May
(2) Entrance Test: 31 May
(3) Interview: Jun or early Jul
</t>
        </r>
      </text>
    </comment>
    <comment ref="E12" authorId="0" shapeId="0" xr:uid="{00000000-0006-0000-0A00-00000E000000}">
      <text>
        <r>
          <rPr>
            <b/>
            <sz val="9"/>
            <color indexed="81"/>
            <rFont val="細明體"/>
            <family val="3"/>
            <charset val="136"/>
          </rPr>
          <t>包含中文、英文</t>
        </r>
      </text>
    </comment>
    <comment ref="N12" authorId="1" shapeId="0" xr:uid="{00000000-0006-0000-0A00-00000F000000}">
      <text>
        <r>
          <rPr>
            <sz val="9"/>
            <color indexed="81"/>
            <rFont val="Tahoma"/>
            <family val="2"/>
          </rPr>
          <t>(On a selective basis)</t>
        </r>
      </text>
    </comment>
    <comment ref="L13" authorId="0" shapeId="0" xr:uid="{00000000-0006-0000-0A00-000010000000}">
      <text>
        <r>
          <rPr>
            <b/>
            <sz val="9"/>
            <color indexed="81"/>
            <rFont val="Tahoma"/>
            <family val="2"/>
          </rPr>
          <t xml:space="preserve">Combined figure </t>
        </r>
        <r>
          <rPr>
            <sz val="9"/>
            <color indexed="81"/>
            <rFont val="Tahoma"/>
            <family val="2"/>
          </rPr>
          <t xml:space="preserve">for programmes JS4109 &amp; JS4111
</t>
        </r>
      </text>
    </comment>
    <comment ref="N13" authorId="1" shapeId="0" xr:uid="{00000000-0006-0000-0A00-000011000000}">
      <text>
        <r>
          <rPr>
            <b/>
            <sz val="9"/>
            <color indexed="81"/>
            <rFont val="細明體"/>
            <family val="3"/>
            <charset val="136"/>
          </rPr>
          <t>前</t>
        </r>
        <r>
          <rPr>
            <b/>
            <sz val="9"/>
            <color indexed="81"/>
            <rFont val="Tahoma"/>
            <family val="2"/>
          </rPr>
          <t>:</t>
        </r>
        <r>
          <rPr>
            <sz val="9"/>
            <color indexed="81"/>
            <rFont val="Tahoma"/>
            <family val="2"/>
          </rPr>
          <t xml:space="preserve"> 27 May
</t>
        </r>
        <r>
          <rPr>
            <b/>
            <sz val="9"/>
            <color indexed="81"/>
            <rFont val="細明體"/>
            <family val="3"/>
            <charset val="136"/>
          </rPr>
          <t>後</t>
        </r>
        <r>
          <rPr>
            <b/>
            <sz val="9"/>
            <color indexed="81"/>
            <rFont val="Tahoma"/>
            <family val="2"/>
          </rPr>
          <t>:</t>
        </r>
        <r>
          <rPr>
            <sz val="9"/>
            <color indexed="81"/>
            <rFont val="Tahoma"/>
            <family val="2"/>
          </rPr>
          <t xml:space="preserve"> </t>
        </r>
        <r>
          <rPr>
            <sz val="9"/>
            <color indexed="81"/>
            <rFont val="Tahoma"/>
            <family val="2"/>
          </rPr>
          <t>31 Jul to early Aug
(On a selective basis)</t>
        </r>
      </text>
    </comment>
    <comment ref="M14" authorId="0" shapeId="0" xr:uid="{00000000-0006-0000-0A00-000012000000}">
      <text>
        <r>
          <rPr>
            <sz val="9"/>
            <color indexed="81"/>
            <rFont val="Tahoma"/>
            <family val="2"/>
          </rPr>
          <t xml:space="preserve">Programmes admitting less than 5 students are excluded.
</t>
        </r>
      </text>
    </comment>
    <comment ref="N14" authorId="1" shapeId="0" xr:uid="{00000000-0006-0000-0A00-000013000000}">
      <text>
        <r>
          <rPr>
            <sz val="9"/>
            <color indexed="81"/>
            <rFont val="Tahoma"/>
            <family val="2"/>
          </rPr>
          <t>30 Jul to early Aug 2021.
(On a selective basis)</t>
        </r>
      </text>
    </comment>
    <comment ref="I15" authorId="0" shapeId="0" xr:uid="{00000000-0006-0000-0A00-000014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t>
        </r>
      </text>
    </comment>
    <comment ref="N16" authorId="1" shapeId="0" xr:uid="{00000000-0006-0000-0A00-000015000000}">
      <text>
        <r>
          <rPr>
            <sz val="9"/>
            <color indexed="81"/>
            <rFont val="Tahoma"/>
            <family val="2"/>
          </rPr>
          <t xml:space="preserve">Early - mid Jun
(On a selective basis)
</t>
        </r>
      </text>
    </comment>
    <comment ref="P16" authorId="1" shapeId="0" xr:uid="{00000000-0006-0000-0A00-000016000000}">
      <text>
        <r>
          <rPr>
            <sz val="9"/>
            <color indexed="81"/>
            <rFont val="細明體"/>
            <family val="3"/>
            <charset val="136"/>
          </rPr>
          <t>優先考慮</t>
        </r>
        <r>
          <rPr>
            <sz val="9"/>
            <color indexed="81"/>
            <rFont val="Tahoma"/>
            <family val="2"/>
          </rPr>
          <t xml:space="preserve"> </t>
        </r>
        <r>
          <rPr>
            <b/>
            <sz val="9"/>
            <color indexed="81"/>
            <rFont val="細明體"/>
            <family val="3"/>
            <charset val="136"/>
          </rPr>
          <t>英文</t>
        </r>
        <r>
          <rPr>
            <sz val="9"/>
            <color indexed="81"/>
            <rFont val="Tahoma"/>
            <family val="2"/>
          </rPr>
          <t xml:space="preserve"> </t>
        </r>
        <r>
          <rPr>
            <sz val="9"/>
            <color indexed="81"/>
            <rFont val="細明體"/>
            <family val="3"/>
            <charset val="136"/>
          </rPr>
          <t>考獲</t>
        </r>
        <r>
          <rPr>
            <sz val="9"/>
            <color indexed="81"/>
            <rFont val="Tahoma"/>
            <family val="2"/>
          </rPr>
          <t>Lv.4</t>
        </r>
        <r>
          <rPr>
            <sz val="9"/>
            <color indexed="81"/>
            <rFont val="細明體"/>
            <family val="3"/>
            <charset val="136"/>
          </rPr>
          <t>或以上者</t>
        </r>
      </text>
    </comment>
    <comment ref="I17" authorId="0" shapeId="0" xr:uid="{00000000-0006-0000-0A00-000017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
# Selected applicants with more than one sitting of the HKDSE examination will be invited for interview. Penalty may be waived for applicants with outstanding interview performance.</t>
        </r>
      </text>
    </comment>
    <comment ref="N17" authorId="1" shapeId="0" xr:uid="{00000000-0006-0000-0A00-000018000000}">
      <text>
        <r>
          <rPr>
            <b/>
            <sz val="9"/>
            <color indexed="81"/>
            <rFont val="細明體"/>
            <family val="3"/>
            <charset val="136"/>
          </rPr>
          <t>前</t>
        </r>
        <r>
          <rPr>
            <b/>
            <sz val="9"/>
            <color indexed="81"/>
            <rFont val="Tahoma"/>
            <family val="2"/>
          </rPr>
          <t>:</t>
        </r>
        <r>
          <rPr>
            <sz val="9"/>
            <color indexed="81"/>
            <rFont val="Tahoma"/>
            <family val="2"/>
          </rPr>
          <t xml:space="preserve"> 15-18, 21-25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I18" authorId="0" shapeId="0" xr:uid="{00000000-0006-0000-0A00-000019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
# Selected applicants with more than one sitting of the HKDSE examination will be invited for interview. Penalty may be waived for applicants with outstanding interview performance.</t>
        </r>
      </text>
    </comment>
    <comment ref="M18" authorId="0" shapeId="0" xr:uid="{00000000-0006-0000-0A00-00001A000000}">
      <text>
        <r>
          <rPr>
            <sz val="9"/>
            <color indexed="81"/>
            <rFont val="Tahoma"/>
            <family val="2"/>
          </rPr>
          <t xml:space="preserve">A minimum </t>
        </r>
        <r>
          <rPr>
            <b/>
            <sz val="9"/>
            <color indexed="81"/>
            <rFont val="Tahoma"/>
            <family val="2"/>
          </rPr>
          <t>TOEFL score of 600</t>
        </r>
        <r>
          <rPr>
            <sz val="9"/>
            <color indexed="81"/>
            <rFont val="Tahoma"/>
            <family val="2"/>
          </rPr>
          <t xml:space="preserve"> </t>
        </r>
        <r>
          <rPr>
            <b/>
            <sz val="9"/>
            <color indexed="81"/>
            <rFont val="Tahoma"/>
            <family val="2"/>
          </rPr>
          <t>(paper)</t>
        </r>
        <r>
          <rPr>
            <sz val="9"/>
            <color indexed="81"/>
            <rFont val="Tahoma"/>
            <family val="2"/>
          </rPr>
          <t xml:space="preserve"> / </t>
        </r>
        <r>
          <rPr>
            <b/>
            <sz val="9"/>
            <color indexed="81"/>
            <rFont val="Tahoma"/>
            <family val="2"/>
          </rPr>
          <t>100 (internet)</t>
        </r>
        <r>
          <rPr>
            <sz val="9"/>
            <color indexed="81"/>
            <rFont val="Tahoma"/>
            <family val="2"/>
          </rPr>
          <t xml:space="preserve"> or a minimum </t>
        </r>
        <r>
          <rPr>
            <b/>
            <sz val="9"/>
            <color indexed="81"/>
            <rFont val="Tahoma"/>
            <family val="2"/>
          </rPr>
          <t>IELTS score of 7.0</t>
        </r>
        <r>
          <rPr>
            <sz val="9"/>
            <color indexed="81"/>
            <rFont val="Tahoma"/>
            <family val="2"/>
          </rPr>
          <t xml:space="preserve"> or native speaker documentation is required.
</t>
        </r>
      </text>
    </comment>
    <comment ref="N18" authorId="1" shapeId="0" xr:uid="{00000000-0006-0000-0A00-00001B000000}">
      <text>
        <r>
          <rPr>
            <b/>
            <sz val="9"/>
            <color indexed="81"/>
            <rFont val="細明體"/>
            <family val="3"/>
            <charset val="136"/>
          </rPr>
          <t>前</t>
        </r>
        <r>
          <rPr>
            <b/>
            <sz val="9"/>
            <color indexed="81"/>
            <rFont val="Tahoma"/>
            <family val="2"/>
          </rPr>
          <t>:</t>
        </r>
        <r>
          <rPr>
            <sz val="9"/>
            <color indexed="81"/>
            <rFont val="Tahoma"/>
            <family val="2"/>
          </rPr>
          <t xml:space="preserve"> 15-18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E19" authorId="0" shapeId="0" xr:uid="{00000000-0006-0000-0A00-00001C000000}">
      <text>
        <r>
          <rPr>
            <b/>
            <sz val="9"/>
            <color indexed="81"/>
            <rFont val="Tahoma"/>
            <family val="2"/>
          </rPr>
          <t>2021</t>
        </r>
        <r>
          <rPr>
            <b/>
            <sz val="9"/>
            <color indexed="81"/>
            <rFont val="細明體"/>
            <family val="3"/>
            <charset val="136"/>
          </rPr>
          <t xml:space="preserve">年將不會計算比重
</t>
        </r>
        <r>
          <rPr>
            <b/>
            <sz val="9"/>
            <color indexed="81"/>
            <rFont val="Tahoma"/>
            <family val="2"/>
          </rPr>
          <t xml:space="preserve">
</t>
        </r>
        <r>
          <rPr>
            <b/>
            <sz val="9"/>
            <color indexed="81"/>
            <rFont val="細明體"/>
            <family val="3"/>
            <charset val="136"/>
          </rPr>
          <t xml:space="preserve">經考慮後，
此處將以不以原有比重作估算，請注意
</t>
        </r>
        <r>
          <rPr>
            <sz val="9"/>
            <color indexed="81"/>
            <rFont val="細明體"/>
            <family val="3"/>
            <charset val="136"/>
          </rPr>
          <t xml:space="preserve">
</t>
        </r>
        <r>
          <rPr>
            <b/>
            <sz val="9"/>
            <color indexed="81"/>
            <rFont val="Tahoma"/>
            <family val="2"/>
          </rPr>
          <t>x2:</t>
        </r>
        <r>
          <rPr>
            <sz val="9"/>
            <color indexed="81"/>
            <rFont val="Tahoma"/>
            <family val="2"/>
          </rPr>
          <t xml:space="preserve"> </t>
        </r>
        <r>
          <rPr>
            <sz val="9"/>
            <color indexed="81"/>
            <rFont val="細明體"/>
            <family val="3"/>
            <charset val="136"/>
          </rPr>
          <t>旅遊及款待</t>
        </r>
      </text>
    </comment>
    <comment ref="I19" authorId="0" shapeId="0" xr:uid="{00000000-0006-0000-0A00-00001D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
# Selected applicants with more than one sitting of the HKDSE examination will be invited for interview. Penalty may be waived for applicants with outstanding interview performance.</t>
        </r>
      </text>
    </comment>
    <comment ref="N19" authorId="1" shapeId="0" xr:uid="{00000000-0006-0000-0A00-00001E000000}">
      <text>
        <r>
          <rPr>
            <sz val="9"/>
            <color indexed="81"/>
            <rFont val="Tahoma"/>
            <family val="2"/>
          </rPr>
          <t xml:space="preserve">Early Jun
(On a selective basis)
</t>
        </r>
      </text>
    </comment>
    <comment ref="E20" authorId="0" shapeId="0" xr:uid="{00000000-0006-0000-0A00-00001F000000}">
      <text>
        <r>
          <rPr>
            <b/>
            <sz val="9"/>
            <color indexed="81"/>
            <rFont val="細明體"/>
            <family val="3"/>
            <charset val="136"/>
          </rPr>
          <t>包含英文及</t>
        </r>
        <r>
          <rPr>
            <b/>
            <sz val="9"/>
            <color indexed="81"/>
            <rFont val="Tahoma"/>
            <family val="2"/>
          </rPr>
          <t xml:space="preserve"> [</t>
        </r>
        <r>
          <rPr>
            <b/>
            <sz val="9"/>
            <color indexed="81"/>
            <rFont val="細明體"/>
            <family val="3"/>
            <charset val="136"/>
          </rPr>
          <t>數學和</t>
        </r>
        <r>
          <rPr>
            <b/>
            <sz val="9"/>
            <color indexed="81"/>
            <rFont val="Tahoma"/>
            <family val="2"/>
          </rPr>
          <t>M1/2]</t>
        </r>
        <r>
          <rPr>
            <b/>
            <sz val="9"/>
            <color indexed="81"/>
            <rFont val="細明體"/>
            <family val="3"/>
            <charset val="136"/>
          </rPr>
          <t>其中最佳一科</t>
        </r>
      </text>
    </comment>
    <comment ref="I20" authorId="0" shapeId="0" xr:uid="{00000000-0006-0000-0A00-000020000000}">
      <text>
        <r>
          <rPr>
            <b/>
            <sz val="9"/>
            <color indexed="81"/>
            <rFont val="細明體"/>
            <family val="3"/>
            <charset val="136"/>
          </rPr>
          <t>重考扣分</t>
        </r>
        <r>
          <rPr>
            <b/>
            <sz val="9"/>
            <color indexed="81"/>
            <rFont val="Tahoma"/>
            <family val="2"/>
          </rPr>
          <t xml:space="preserve">: </t>
        </r>
        <r>
          <rPr>
            <sz val="9"/>
            <color indexed="81"/>
            <rFont val="Tahoma"/>
            <family val="2"/>
          </rPr>
          <t>6%</t>
        </r>
        <r>
          <rPr>
            <sz val="9"/>
            <color indexed="81"/>
            <rFont val="細明體"/>
            <family val="3"/>
            <charset val="136"/>
          </rPr>
          <t>至</t>
        </r>
        <r>
          <rPr>
            <sz val="9"/>
            <color indexed="81"/>
            <rFont val="Tahoma"/>
            <family val="2"/>
          </rPr>
          <t>10%
(</t>
        </r>
        <r>
          <rPr>
            <sz val="9"/>
            <color indexed="81"/>
            <rFont val="細明體"/>
            <family val="3"/>
            <charset val="136"/>
          </rPr>
          <t>此處作</t>
        </r>
        <r>
          <rPr>
            <sz val="9"/>
            <color indexed="81"/>
            <rFont val="Tahoma"/>
            <family val="2"/>
          </rPr>
          <t>10%)
# Selected applicants with more than one sitting of the HKDSE examination will be invited for interview. Penalty may be waived for applicants with outstanding interview performance.</t>
        </r>
      </text>
    </comment>
    <comment ref="N20" authorId="1" shapeId="0" xr:uid="{00000000-0006-0000-0A00-000021000000}">
      <text>
        <r>
          <rPr>
            <b/>
            <sz val="9"/>
            <color indexed="81"/>
            <rFont val="細明體"/>
            <family val="3"/>
            <charset val="136"/>
          </rPr>
          <t>前</t>
        </r>
        <r>
          <rPr>
            <b/>
            <sz val="9"/>
            <color indexed="81"/>
            <rFont val="Tahoma"/>
            <family val="2"/>
          </rPr>
          <t>:</t>
        </r>
        <r>
          <rPr>
            <sz val="9"/>
            <color indexed="81"/>
            <rFont val="Tahoma"/>
            <family val="2"/>
          </rPr>
          <t xml:space="preserve"> 28 Jun - 17 Jul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Q20" authorId="1" shapeId="0" xr:uid="{00000000-0006-0000-0A00-000022000000}">
      <text>
        <r>
          <rPr>
            <sz val="9"/>
            <color indexed="81"/>
            <rFont val="細明體"/>
            <family val="3"/>
            <charset val="136"/>
          </rPr>
          <t>若</t>
        </r>
        <r>
          <rPr>
            <b/>
            <sz val="9"/>
            <color indexed="81"/>
            <rFont val="細明體"/>
            <family val="3"/>
            <charset val="136"/>
          </rPr>
          <t>數學科</t>
        </r>
        <r>
          <rPr>
            <sz val="9"/>
            <color indexed="81"/>
            <rFont val="細明體"/>
            <family val="3"/>
            <charset val="136"/>
          </rPr>
          <t>只考獲</t>
        </r>
        <r>
          <rPr>
            <sz val="9"/>
            <color indexed="81"/>
            <rFont val="Tahoma"/>
            <family val="2"/>
          </rPr>
          <t>Lv.4</t>
        </r>
        <r>
          <rPr>
            <sz val="9"/>
            <color indexed="81"/>
            <rFont val="細明體"/>
            <family val="3"/>
            <charset val="136"/>
          </rPr>
          <t>或以下，</t>
        </r>
        <r>
          <rPr>
            <b/>
            <sz val="9"/>
            <color indexed="81"/>
            <rFont val="Tahoma"/>
            <family val="2"/>
          </rPr>
          <t>M1/2</t>
        </r>
        <r>
          <rPr>
            <sz val="9"/>
            <color indexed="81"/>
            <rFont val="細明體"/>
            <family val="3"/>
            <charset val="136"/>
          </rPr>
          <t>需考獲</t>
        </r>
        <r>
          <rPr>
            <sz val="9"/>
            <color indexed="81"/>
            <rFont val="Tahoma"/>
            <family val="2"/>
          </rPr>
          <t xml:space="preserve">Lv.5 </t>
        </r>
      </text>
    </comment>
    <comment ref="S20" authorId="1" shapeId="0" xr:uid="{00000000-0006-0000-0A00-000023000000}">
      <text>
        <r>
          <rPr>
            <sz val="9"/>
            <color indexed="81"/>
            <rFont val="細明體"/>
            <family val="3"/>
            <charset val="136"/>
          </rPr>
          <t>若</t>
        </r>
        <r>
          <rPr>
            <b/>
            <sz val="9"/>
            <color indexed="81"/>
            <rFont val="細明體"/>
            <family val="3"/>
            <charset val="136"/>
          </rPr>
          <t>數學科</t>
        </r>
        <r>
          <rPr>
            <sz val="9"/>
            <color indexed="81"/>
            <rFont val="細明體"/>
            <family val="3"/>
            <charset val="136"/>
          </rPr>
          <t>只考獲</t>
        </r>
        <r>
          <rPr>
            <sz val="9"/>
            <color indexed="81"/>
            <rFont val="Tahoma"/>
            <family val="2"/>
          </rPr>
          <t>Lv.4</t>
        </r>
        <r>
          <rPr>
            <sz val="9"/>
            <color indexed="81"/>
            <rFont val="細明體"/>
            <family val="3"/>
            <charset val="136"/>
          </rPr>
          <t>或以下，</t>
        </r>
        <r>
          <rPr>
            <b/>
            <sz val="9"/>
            <color indexed="81"/>
            <rFont val="Tahoma"/>
            <family val="2"/>
          </rPr>
          <t>M1/2</t>
        </r>
        <r>
          <rPr>
            <sz val="9"/>
            <color indexed="81"/>
            <rFont val="細明體"/>
            <family val="3"/>
            <charset val="136"/>
          </rPr>
          <t>需考獲</t>
        </r>
        <r>
          <rPr>
            <sz val="9"/>
            <color indexed="81"/>
            <rFont val="Tahoma"/>
            <family val="2"/>
          </rPr>
          <t xml:space="preserve">Lv.5 </t>
        </r>
      </text>
    </comment>
    <comment ref="T20" authorId="1" shapeId="0" xr:uid="{00000000-0006-0000-0A00-000024000000}">
      <text>
        <r>
          <rPr>
            <sz val="9"/>
            <color indexed="81"/>
            <rFont val="細明體"/>
            <family val="3"/>
            <charset val="136"/>
          </rPr>
          <t>若</t>
        </r>
        <r>
          <rPr>
            <b/>
            <sz val="9"/>
            <color indexed="81"/>
            <rFont val="細明體"/>
            <family val="3"/>
            <charset val="136"/>
          </rPr>
          <t>數學科</t>
        </r>
        <r>
          <rPr>
            <sz val="9"/>
            <color indexed="81"/>
            <rFont val="細明體"/>
            <family val="3"/>
            <charset val="136"/>
          </rPr>
          <t>只考獲</t>
        </r>
        <r>
          <rPr>
            <sz val="9"/>
            <color indexed="81"/>
            <rFont val="Tahoma"/>
            <family val="2"/>
          </rPr>
          <t>Lv.4</t>
        </r>
        <r>
          <rPr>
            <sz val="9"/>
            <color indexed="81"/>
            <rFont val="細明體"/>
            <family val="3"/>
            <charset val="136"/>
          </rPr>
          <t>或以下，</t>
        </r>
        <r>
          <rPr>
            <b/>
            <sz val="9"/>
            <color indexed="81"/>
            <rFont val="Tahoma"/>
            <family val="2"/>
          </rPr>
          <t>M1/2</t>
        </r>
        <r>
          <rPr>
            <sz val="9"/>
            <color indexed="81"/>
            <rFont val="細明體"/>
            <family val="3"/>
            <charset val="136"/>
          </rPr>
          <t>需考獲</t>
        </r>
        <r>
          <rPr>
            <sz val="9"/>
            <color indexed="81"/>
            <rFont val="Tahoma"/>
            <family val="2"/>
          </rPr>
          <t xml:space="preserve">Lv.5 </t>
        </r>
      </text>
    </comment>
    <comment ref="I21" authorId="0" shapeId="0" xr:uid="{00000000-0006-0000-0A00-000025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
# Selected applicants with more than one sitting of the HKDSE examination will be invited for interview. Penalty may be waived for applicants with outstanding interview performance.</t>
        </r>
      </text>
    </comment>
    <comment ref="N21" authorId="1" shapeId="0" xr:uid="{00000000-0006-0000-0A00-000026000000}">
      <text>
        <r>
          <rPr>
            <b/>
            <sz val="9"/>
            <color indexed="81"/>
            <rFont val="細明體"/>
            <family val="3"/>
            <charset val="136"/>
          </rPr>
          <t>前</t>
        </r>
        <r>
          <rPr>
            <b/>
            <sz val="9"/>
            <color indexed="81"/>
            <rFont val="Tahoma"/>
            <family val="2"/>
          </rPr>
          <t>:</t>
        </r>
        <r>
          <rPr>
            <sz val="9"/>
            <color indexed="81"/>
            <rFont val="Tahoma"/>
            <family val="2"/>
          </rPr>
          <t xml:space="preserve"> 21-25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E22" authorId="0" shapeId="0" xr:uid="{00000000-0006-0000-0A00-000027000000}">
      <text>
        <r>
          <rPr>
            <b/>
            <sz val="9"/>
            <color indexed="81"/>
            <rFont val="Tahoma"/>
            <family val="2"/>
          </rPr>
          <t>2021</t>
        </r>
        <r>
          <rPr>
            <b/>
            <sz val="9"/>
            <color indexed="81"/>
            <rFont val="細明體"/>
            <family val="3"/>
            <charset val="136"/>
          </rPr>
          <t xml:space="preserve">年將以新比重收生
</t>
        </r>
        <r>
          <rPr>
            <sz val="9"/>
            <color indexed="81"/>
            <rFont val="Tahoma"/>
            <family val="2"/>
          </rPr>
          <t>(</t>
        </r>
        <r>
          <rPr>
            <b/>
            <sz val="9"/>
            <color indexed="81"/>
            <rFont val="Tahoma"/>
            <family val="2"/>
          </rPr>
          <t>x2</t>
        </r>
        <r>
          <rPr>
            <sz val="9"/>
            <color indexed="81"/>
            <rFont val="Tahoma"/>
            <family val="2"/>
          </rPr>
          <t xml:space="preserve">: </t>
        </r>
        <r>
          <rPr>
            <sz val="9"/>
            <color indexed="81"/>
            <rFont val="細明體"/>
            <family val="3"/>
            <charset val="136"/>
          </rPr>
          <t xml:space="preserve">英文、數學
</t>
        </r>
        <r>
          <rPr>
            <b/>
            <sz val="9"/>
            <color indexed="81"/>
            <rFont val="Tahoma"/>
            <family val="2"/>
          </rPr>
          <t xml:space="preserve">x1.5: </t>
        </r>
        <r>
          <rPr>
            <sz val="9"/>
            <color indexed="81"/>
            <rFont val="Tahoma"/>
            <family val="2"/>
          </rPr>
          <t>[M1/2</t>
        </r>
        <r>
          <rPr>
            <sz val="9"/>
            <color indexed="81"/>
            <rFont val="細明體"/>
            <family val="3"/>
            <charset val="136"/>
          </rPr>
          <t>、化學、物理或經濟</t>
        </r>
        <r>
          <rPr>
            <sz val="9"/>
            <color indexed="81"/>
            <rFont val="Tahoma"/>
            <family val="2"/>
          </rPr>
          <t xml:space="preserve">] </t>
        </r>
        <r>
          <rPr>
            <sz val="9"/>
            <color indexed="81"/>
            <rFont val="細明體"/>
            <family val="3"/>
            <charset val="136"/>
          </rPr>
          <t>其中最佳一科</t>
        </r>
        <r>
          <rPr>
            <sz val="9"/>
            <color indexed="81"/>
            <rFont val="Tahoma"/>
            <family val="2"/>
          </rPr>
          <t>)</t>
        </r>
        <r>
          <rPr>
            <b/>
            <sz val="9"/>
            <color indexed="81"/>
            <rFont val="細明體"/>
            <family val="3"/>
            <charset val="136"/>
          </rPr>
          <t xml:space="preserve">
此處仍以原有比重作估算，請注意</t>
        </r>
        <r>
          <rPr>
            <b/>
            <sz val="9"/>
            <color indexed="81"/>
            <rFont val="Tahoma"/>
            <family val="2"/>
          </rPr>
          <t xml:space="preserve">
x2: </t>
        </r>
        <r>
          <rPr>
            <sz val="9"/>
            <color indexed="81"/>
            <rFont val="細明體"/>
            <family val="3"/>
            <charset val="136"/>
          </rPr>
          <t xml:space="preserve">英文、數學
</t>
        </r>
        <r>
          <rPr>
            <b/>
            <sz val="9"/>
            <color indexed="81"/>
            <rFont val="Tahoma"/>
            <family val="2"/>
          </rPr>
          <t xml:space="preserve">x1.5: </t>
        </r>
        <r>
          <rPr>
            <sz val="9"/>
            <color indexed="81"/>
            <rFont val="Tahoma"/>
            <family val="2"/>
          </rPr>
          <t>[M1/2</t>
        </r>
        <r>
          <rPr>
            <sz val="9"/>
            <color indexed="81"/>
            <rFont val="細明體"/>
            <family val="3"/>
            <charset val="136"/>
          </rPr>
          <t>、化學或物理</t>
        </r>
        <r>
          <rPr>
            <sz val="9"/>
            <color indexed="81"/>
            <rFont val="Tahoma"/>
            <family val="2"/>
          </rPr>
          <t xml:space="preserve">] </t>
        </r>
        <r>
          <rPr>
            <sz val="9"/>
            <color indexed="81"/>
            <rFont val="細明體"/>
            <family val="3"/>
            <charset val="136"/>
          </rPr>
          <t>其中最佳一科</t>
        </r>
      </text>
    </comment>
    <comment ref="I22" authorId="0" shapeId="0" xr:uid="{00000000-0006-0000-0A00-000028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
# Selected applicants with more than one sitting of the HKDSE examination will be invited for interview. Penalty may be waived for applicants with outstanding interview performance.</t>
        </r>
      </text>
    </comment>
    <comment ref="N22" authorId="1" shapeId="0" xr:uid="{00000000-0006-0000-0A00-000029000000}">
      <text>
        <r>
          <rPr>
            <b/>
            <sz val="9"/>
            <color indexed="81"/>
            <rFont val="細明體"/>
            <family val="3"/>
            <charset val="136"/>
          </rPr>
          <t>前</t>
        </r>
        <r>
          <rPr>
            <b/>
            <sz val="9"/>
            <color indexed="81"/>
            <rFont val="Tahoma"/>
            <family val="2"/>
          </rPr>
          <t>:</t>
        </r>
        <r>
          <rPr>
            <sz val="9"/>
            <color indexed="81"/>
            <rFont val="Tahoma"/>
            <family val="2"/>
          </rPr>
          <t xml:space="preserve"> 15-18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E23" authorId="2" shapeId="0" xr:uid="{00000000-0006-0000-0A00-00002A000000}">
      <text>
        <r>
          <rPr>
            <b/>
            <sz val="9"/>
            <color indexed="81"/>
            <rFont val="Tahoma"/>
            <family val="2"/>
          </rPr>
          <t>2021</t>
        </r>
        <r>
          <rPr>
            <b/>
            <sz val="9"/>
            <color indexed="81"/>
            <rFont val="細明體"/>
            <family val="3"/>
            <charset val="136"/>
          </rPr>
          <t>年將以</t>
        </r>
        <r>
          <rPr>
            <b/>
            <sz val="9"/>
            <color indexed="81"/>
            <rFont val="Tahoma"/>
            <family val="2"/>
          </rPr>
          <t>Best 5 (</t>
        </r>
        <r>
          <rPr>
            <b/>
            <sz val="9"/>
            <color indexed="81"/>
            <rFont val="細明體"/>
            <family val="3"/>
            <charset val="136"/>
          </rPr>
          <t>包含英文</t>
        </r>
        <r>
          <rPr>
            <b/>
            <sz val="9"/>
            <color indexed="81"/>
            <rFont val="Tahoma"/>
            <family val="2"/>
          </rPr>
          <t>)</t>
        </r>
        <r>
          <rPr>
            <b/>
            <sz val="9"/>
            <color indexed="81"/>
            <rFont val="細明體"/>
            <family val="3"/>
            <charset val="136"/>
          </rPr>
          <t>收生
此處仍以</t>
        </r>
        <r>
          <rPr>
            <b/>
            <sz val="9"/>
            <color indexed="81"/>
            <rFont val="Tahoma"/>
            <family val="2"/>
          </rPr>
          <t>4C2X</t>
        </r>
        <r>
          <rPr>
            <b/>
            <sz val="9"/>
            <color indexed="81"/>
            <rFont val="細明體"/>
            <family val="3"/>
            <charset val="136"/>
          </rPr>
          <t>作估算，請注意</t>
        </r>
      </text>
    </comment>
    <comment ref="N23" authorId="1" shapeId="0" xr:uid="{00000000-0006-0000-0A00-00002B000000}">
      <text>
        <r>
          <rPr>
            <b/>
            <sz val="9"/>
            <color indexed="81"/>
            <rFont val="細明體"/>
            <family val="3"/>
            <charset val="136"/>
          </rPr>
          <t>前</t>
        </r>
        <r>
          <rPr>
            <b/>
            <sz val="9"/>
            <color indexed="81"/>
            <rFont val="Tahoma"/>
            <family val="2"/>
          </rPr>
          <t>:</t>
        </r>
        <r>
          <rPr>
            <sz val="9"/>
            <color indexed="81"/>
            <rFont val="Tahoma"/>
            <family val="2"/>
          </rPr>
          <t xml:space="preserve"> 15-18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Q23" authorId="0" shapeId="0" xr:uid="{00000000-0006-0000-0A00-00002C000000}">
      <text>
        <r>
          <rPr>
            <sz val="9"/>
            <color indexed="81"/>
            <rFont val="細明體"/>
            <family val="3"/>
            <charset val="136"/>
          </rPr>
          <t>優先考慮</t>
        </r>
        <r>
          <rPr>
            <sz val="9"/>
            <color indexed="81"/>
            <rFont val="Tahoma"/>
            <family val="2"/>
          </rPr>
          <t xml:space="preserve"> </t>
        </r>
        <r>
          <rPr>
            <b/>
            <sz val="9"/>
            <color indexed="81"/>
            <rFont val="細明體"/>
            <family val="3"/>
            <charset val="136"/>
          </rPr>
          <t>數學</t>
        </r>
        <r>
          <rPr>
            <sz val="9"/>
            <color indexed="81"/>
            <rFont val="Tahoma"/>
            <family val="2"/>
          </rPr>
          <t xml:space="preserve"> </t>
        </r>
        <r>
          <rPr>
            <sz val="9"/>
            <color indexed="81"/>
            <rFont val="細明體"/>
            <family val="3"/>
            <charset val="136"/>
          </rPr>
          <t>考獲</t>
        </r>
        <r>
          <rPr>
            <sz val="9"/>
            <color indexed="81"/>
            <rFont val="Tahoma"/>
            <family val="2"/>
          </rPr>
          <t>Lv.4</t>
        </r>
        <r>
          <rPr>
            <sz val="9"/>
            <color indexed="81"/>
            <rFont val="細明體"/>
            <family val="3"/>
            <charset val="136"/>
          </rPr>
          <t>或以上者</t>
        </r>
      </text>
    </comment>
    <comment ref="E24" authorId="0" shapeId="0" xr:uid="{00000000-0006-0000-0A00-00002D000000}">
      <text>
        <r>
          <rPr>
            <b/>
            <sz val="9"/>
            <color indexed="81"/>
            <rFont val="Tahoma"/>
            <family val="2"/>
          </rPr>
          <t xml:space="preserve">x2: </t>
        </r>
        <r>
          <rPr>
            <sz val="9"/>
            <color indexed="81"/>
            <rFont val="細明體"/>
            <family val="3"/>
            <charset val="136"/>
          </rPr>
          <t>英文、通識</t>
        </r>
        <r>
          <rPr>
            <sz val="9"/>
            <color indexed="81"/>
            <rFont val="Tahoma"/>
            <family val="2"/>
          </rPr>
          <t xml:space="preserve">
</t>
        </r>
        <r>
          <rPr>
            <b/>
            <sz val="9"/>
            <color indexed="81"/>
            <rFont val="Tahoma"/>
            <family val="2"/>
          </rPr>
          <t xml:space="preserve">x 1.5: </t>
        </r>
        <r>
          <rPr>
            <sz val="9"/>
            <color indexed="81"/>
            <rFont val="細明體"/>
            <family val="3"/>
            <charset val="136"/>
          </rPr>
          <t>中文</t>
        </r>
      </text>
    </comment>
    <comment ref="I24" authorId="0" shapeId="0" xr:uid="{00000000-0006-0000-0A00-00002E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t>
        </r>
      </text>
    </comment>
    <comment ref="N24" authorId="1" shapeId="0" xr:uid="{00000000-0006-0000-0A00-00002F000000}">
      <text>
        <r>
          <rPr>
            <b/>
            <sz val="9"/>
            <color indexed="81"/>
            <rFont val="細明體"/>
            <family val="3"/>
            <charset val="136"/>
          </rPr>
          <t>前</t>
        </r>
        <r>
          <rPr>
            <b/>
            <sz val="9"/>
            <color indexed="81"/>
            <rFont val="Tahoma"/>
            <family val="2"/>
          </rPr>
          <t>:</t>
        </r>
        <r>
          <rPr>
            <sz val="9"/>
            <color indexed="81"/>
            <rFont val="Tahoma"/>
            <family val="2"/>
          </rPr>
          <t xml:space="preserve"> 2-4, 7-8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E25" authorId="0" shapeId="0" xr:uid="{00000000-0006-0000-0A00-000030000000}">
      <text>
        <r>
          <rPr>
            <b/>
            <sz val="9"/>
            <color indexed="81"/>
            <rFont val="Tahoma"/>
            <family val="2"/>
          </rPr>
          <t>2021</t>
        </r>
        <r>
          <rPr>
            <b/>
            <sz val="9"/>
            <color indexed="81"/>
            <rFont val="細明體"/>
            <family val="3"/>
            <charset val="136"/>
          </rPr>
          <t xml:space="preserve">年將以新比重收生
</t>
        </r>
        <r>
          <rPr>
            <sz val="9"/>
            <color indexed="81"/>
            <rFont val="Tahoma"/>
            <family val="2"/>
          </rPr>
          <t>(</t>
        </r>
        <r>
          <rPr>
            <b/>
            <sz val="9"/>
            <color indexed="81"/>
            <rFont val="Tahoma"/>
            <family val="2"/>
          </rPr>
          <t xml:space="preserve">x2: </t>
        </r>
        <r>
          <rPr>
            <sz val="9"/>
            <color indexed="81"/>
            <rFont val="細明體"/>
            <family val="3"/>
            <charset val="136"/>
          </rPr>
          <t xml:space="preserve">英文、數學
</t>
        </r>
        <r>
          <rPr>
            <b/>
            <sz val="9"/>
            <color indexed="81"/>
            <rFont val="Tahoma"/>
            <family val="2"/>
          </rPr>
          <t>x1.5:</t>
        </r>
        <r>
          <rPr>
            <sz val="9"/>
            <color indexed="81"/>
            <rFont val="Tahoma"/>
            <family val="2"/>
          </rPr>
          <t xml:space="preserve"> [M1/2</t>
        </r>
        <r>
          <rPr>
            <sz val="9"/>
            <color indexed="81"/>
            <rFont val="細明體"/>
            <family val="3"/>
            <charset val="136"/>
          </rPr>
          <t>、化學、物理及經濟</t>
        </r>
        <r>
          <rPr>
            <sz val="9"/>
            <color indexed="81"/>
            <rFont val="Tahoma"/>
            <family val="2"/>
          </rPr>
          <t>]</t>
        </r>
        <r>
          <rPr>
            <sz val="9"/>
            <color indexed="81"/>
            <rFont val="細明體"/>
            <family val="3"/>
            <charset val="136"/>
          </rPr>
          <t>其中最佳一科</t>
        </r>
        <r>
          <rPr>
            <sz val="9"/>
            <color indexed="81"/>
            <rFont val="Tahoma"/>
            <family val="2"/>
          </rPr>
          <t xml:space="preserve"> )</t>
        </r>
        <r>
          <rPr>
            <b/>
            <sz val="9"/>
            <color indexed="81"/>
            <rFont val="Tahoma"/>
            <family val="2"/>
          </rPr>
          <t xml:space="preserve">
</t>
        </r>
        <r>
          <rPr>
            <b/>
            <sz val="9"/>
            <color indexed="81"/>
            <rFont val="細明體"/>
            <family val="3"/>
            <charset val="136"/>
          </rPr>
          <t xml:space="preserve">
此處將以原有比重作估算，請注意
</t>
        </r>
        <r>
          <rPr>
            <sz val="9"/>
            <color indexed="81"/>
            <rFont val="細明體"/>
            <family val="3"/>
            <charset val="136"/>
          </rPr>
          <t xml:space="preserve">
</t>
        </r>
        <r>
          <rPr>
            <b/>
            <sz val="9"/>
            <color indexed="81"/>
            <rFont val="Tahoma"/>
            <family val="2"/>
          </rPr>
          <t xml:space="preserve">x2: </t>
        </r>
        <r>
          <rPr>
            <sz val="9"/>
            <color indexed="81"/>
            <rFont val="細明體"/>
            <family val="3"/>
            <charset val="136"/>
          </rPr>
          <t>英文、數學、</t>
        </r>
        <r>
          <rPr>
            <sz val="9"/>
            <color indexed="81"/>
            <rFont val="Tahoma"/>
            <family val="2"/>
          </rPr>
          <t>M1/2</t>
        </r>
      </text>
    </comment>
    <comment ref="N25" authorId="1" shapeId="0" xr:uid="{00000000-0006-0000-0A00-000031000000}">
      <text>
        <r>
          <rPr>
            <b/>
            <sz val="9"/>
            <color indexed="81"/>
            <rFont val="細明體"/>
            <family val="3"/>
            <charset val="136"/>
          </rPr>
          <t>前</t>
        </r>
        <r>
          <rPr>
            <b/>
            <sz val="9"/>
            <color indexed="81"/>
            <rFont val="Tahoma"/>
            <family val="2"/>
          </rPr>
          <t>:</t>
        </r>
        <r>
          <rPr>
            <sz val="9"/>
            <color indexed="81"/>
            <rFont val="Tahoma"/>
            <family val="2"/>
          </rPr>
          <t xml:space="preserve"> 15-18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I26" authorId="0" shapeId="0" xr:uid="{00000000-0006-0000-0A00-000032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t>
        </r>
      </text>
    </comment>
    <comment ref="N26" authorId="1" shapeId="0" xr:uid="{00000000-0006-0000-0A00-000033000000}">
      <text>
        <r>
          <rPr>
            <sz val="9"/>
            <color indexed="81"/>
            <rFont val="Tahoma"/>
            <family val="2"/>
          </rPr>
          <t>(On a selective basis)</t>
        </r>
      </text>
    </comment>
    <comment ref="E27" authorId="0" shapeId="0" xr:uid="{00000000-0006-0000-0A00-000034000000}">
      <text>
        <r>
          <rPr>
            <b/>
            <sz val="9"/>
            <color indexed="81"/>
            <rFont val="細明體"/>
            <family val="3"/>
            <charset val="136"/>
          </rPr>
          <t xml:space="preserve">包含中文
</t>
        </r>
        <r>
          <rPr>
            <b/>
            <sz val="9"/>
            <color indexed="81"/>
            <rFont val="Tahoma"/>
            <family val="2"/>
          </rPr>
          <t xml:space="preserve">
</t>
        </r>
        <r>
          <rPr>
            <sz val="9"/>
            <color indexed="81"/>
            <rFont val="細明體"/>
            <family val="3"/>
            <charset val="136"/>
          </rPr>
          <t>中文有較高比重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I27" authorId="0" shapeId="0" xr:uid="{00000000-0006-0000-0A00-000035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t>
        </r>
      </text>
    </comment>
    <comment ref="N27" authorId="1" shapeId="0" xr:uid="{00000000-0006-0000-0A00-000036000000}">
      <text>
        <r>
          <rPr>
            <sz val="9"/>
            <color indexed="81"/>
            <rFont val="Tahoma"/>
            <family val="2"/>
          </rPr>
          <t>(On a selective basis)</t>
        </r>
      </text>
    </comment>
    <comment ref="E28" authorId="0" shapeId="0" xr:uid="{00000000-0006-0000-0A00-000037000000}">
      <text>
        <r>
          <rPr>
            <b/>
            <sz val="9"/>
            <color indexed="81"/>
            <rFont val="細明體"/>
            <family val="3"/>
            <charset val="136"/>
          </rPr>
          <t xml:space="preserve">包含英文
</t>
        </r>
        <r>
          <rPr>
            <b/>
            <sz val="9"/>
            <color indexed="81"/>
            <rFont val="Tahoma"/>
            <family val="2"/>
          </rPr>
          <t xml:space="preserve">
</t>
        </r>
        <r>
          <rPr>
            <sz val="9"/>
            <color indexed="81"/>
            <rFont val="細明體"/>
            <family val="3"/>
            <charset val="136"/>
          </rPr>
          <t>英文有較高比重</t>
        </r>
        <r>
          <rPr>
            <sz val="9"/>
            <color indexed="81"/>
            <rFont val="Tahoma"/>
            <family val="2"/>
          </rPr>
          <t xml:space="preserve">
(</t>
        </r>
        <r>
          <rPr>
            <sz val="9"/>
            <color indexed="81"/>
            <rFont val="細明體"/>
            <family val="3"/>
            <charset val="136"/>
          </rPr>
          <t>此處作</t>
        </r>
        <r>
          <rPr>
            <sz val="9"/>
            <color indexed="81"/>
            <rFont val="Tahoma"/>
            <family val="2"/>
          </rPr>
          <t>x1.5)</t>
        </r>
      </text>
    </comment>
    <comment ref="I28" authorId="0" shapeId="0" xr:uid="{00000000-0006-0000-0A00-000038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t>
        </r>
      </text>
    </comment>
    <comment ref="N28" authorId="1" shapeId="0" xr:uid="{00000000-0006-0000-0A00-000039000000}">
      <text>
        <r>
          <rPr>
            <sz val="9"/>
            <color indexed="81"/>
            <rFont val="Tahoma"/>
            <family val="2"/>
          </rPr>
          <t>(On a selective basis)</t>
        </r>
      </text>
    </comment>
    <comment ref="E29" authorId="0" shapeId="0" xr:uid="{00000000-0006-0000-0A00-00003A000000}">
      <text>
        <r>
          <rPr>
            <b/>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、中文、英文</t>
        </r>
      </text>
    </comment>
    <comment ref="I29" authorId="0" shapeId="0" xr:uid="{00000000-0006-0000-0A00-00003B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t>
        </r>
      </text>
    </comment>
    <comment ref="N29" authorId="1" shapeId="0" xr:uid="{00000000-0006-0000-0A00-00003C000000}">
      <text>
        <r>
          <rPr>
            <sz val="9"/>
            <color indexed="81"/>
            <rFont val="Tahoma"/>
            <family val="2"/>
          </rPr>
          <t>(On a selective basis)</t>
        </r>
      </text>
    </comment>
    <comment ref="T29" authorId="1" shapeId="0" xr:uid="{00000000-0006-0000-0A00-00003D000000}">
      <text>
        <r>
          <rPr>
            <sz val="9"/>
            <color indexed="81"/>
            <rFont val="細明體"/>
            <family val="3"/>
            <charset val="136"/>
          </rPr>
          <t>其中一科必須為</t>
        </r>
        <r>
          <rPr>
            <sz val="9"/>
            <color indexed="81"/>
            <rFont val="Tahoma"/>
            <family val="2"/>
          </rPr>
          <t xml:space="preserve"> </t>
        </r>
        <r>
          <rPr>
            <b/>
            <sz val="9"/>
            <color indexed="81"/>
            <rFont val="Tahoma"/>
            <family val="2"/>
          </rPr>
          <t>M1/2</t>
        </r>
      </text>
    </comment>
    <comment ref="N30" authorId="1" shapeId="0" xr:uid="{00000000-0006-0000-0A00-00003E000000}">
      <text>
        <r>
          <rPr>
            <sz val="9"/>
            <color indexed="81"/>
            <rFont val="Tahoma"/>
            <family val="2"/>
          </rPr>
          <t>(On a selective basis)</t>
        </r>
      </text>
    </comment>
    <comment ref="C31" authorId="0" shapeId="0" xr:uid="{00000000-0006-0000-0A00-00003F000000}">
      <text>
        <r>
          <rPr>
            <b/>
            <sz val="9"/>
            <color indexed="81"/>
            <rFont val="細明體"/>
            <family val="3"/>
            <charset val="136"/>
          </rPr>
          <t>優先考慮修讀以下科目者</t>
        </r>
        <r>
          <rPr>
            <b/>
            <sz val="9"/>
            <color indexed="81"/>
            <rFont val="Tahoma"/>
            <family val="2"/>
          </rPr>
          <t xml:space="preserve">:
</t>
        </r>
        <r>
          <rPr>
            <sz val="9"/>
            <color indexed="81"/>
            <rFont val="Tahoma"/>
            <family val="2"/>
          </rPr>
          <t xml:space="preserve">- M1/2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DAT
- ICT</t>
        </r>
      </text>
    </comment>
    <comment ref="E31" authorId="0" shapeId="0" xr:uid="{00000000-0006-0000-0A00-000040000000}">
      <text>
        <r>
          <rPr>
            <b/>
            <sz val="9"/>
            <color indexed="81"/>
            <rFont val="Tahoma"/>
            <family val="2"/>
          </rPr>
          <t xml:space="preserve">x1.75: </t>
        </r>
        <r>
          <rPr>
            <sz val="9"/>
            <color indexed="81"/>
            <rFont val="Tahoma"/>
            <family val="2"/>
          </rPr>
          <t xml:space="preserve">M1/2
</t>
        </r>
        <r>
          <rPr>
            <b/>
            <sz val="9"/>
            <color indexed="81"/>
            <rFont val="Tahoma"/>
            <family val="2"/>
          </rPr>
          <t>x1.5:</t>
        </r>
        <r>
          <rPr>
            <sz val="9"/>
            <color indexed="81"/>
            <rFont val="Tahoma"/>
            <family val="2"/>
          </rPr>
          <t xml:space="preserve"> </t>
        </r>
        <r>
          <rPr>
            <sz val="9"/>
            <color indexed="81"/>
            <rFont val="細明體"/>
            <family val="3"/>
            <charset val="136"/>
          </rPr>
          <t>數學、物理、生物、化學、組合科學、</t>
        </r>
        <r>
          <rPr>
            <sz val="9"/>
            <color indexed="81"/>
            <rFont val="Tahoma"/>
            <family val="2"/>
          </rPr>
          <t>ICT</t>
        </r>
        <r>
          <rPr>
            <sz val="9"/>
            <color indexed="81"/>
            <rFont val="細明體"/>
            <family val="3"/>
            <charset val="136"/>
          </rPr>
          <t>、</t>
        </r>
        <r>
          <rPr>
            <sz val="9"/>
            <color indexed="81"/>
            <rFont val="Tahoma"/>
            <family val="2"/>
          </rPr>
          <t xml:space="preserve">DAT
</t>
        </r>
        <r>
          <rPr>
            <b/>
            <sz val="9"/>
            <color indexed="81"/>
            <rFont val="Tahoma"/>
            <family val="2"/>
          </rPr>
          <t xml:space="preserve">x0.5: </t>
        </r>
        <r>
          <rPr>
            <sz val="9"/>
            <color indexed="81"/>
            <rFont val="細明體"/>
            <family val="3"/>
            <charset val="136"/>
          </rPr>
          <t>通識</t>
        </r>
      </text>
    </comment>
    <comment ref="N31" authorId="1" shapeId="0" xr:uid="{00000000-0006-0000-0A00-000041000000}">
      <text>
        <r>
          <rPr>
            <sz val="9"/>
            <color indexed="81"/>
            <rFont val="Tahoma"/>
            <family val="2"/>
          </rPr>
          <t xml:space="preserve">Jun
(On a selective basis)
</t>
        </r>
      </text>
    </comment>
    <comment ref="S31" authorId="1" shapeId="0" xr:uid="{00000000-0006-0000-0A00-000042000000}">
      <text>
        <r>
          <rPr>
            <b/>
            <sz val="9"/>
            <color indexed="81"/>
            <rFont val="細明體"/>
            <family val="3"/>
            <charset val="136"/>
          </rPr>
          <t>以下一科</t>
        </r>
        <r>
          <rPr>
            <b/>
            <sz val="9"/>
            <color indexed="81"/>
            <rFont val="Tahoma"/>
            <family val="2"/>
          </rPr>
          <t xml:space="preserve">:
- </t>
        </r>
        <r>
          <rPr>
            <sz val="9"/>
            <color indexed="81"/>
            <rFont val="Tahoma"/>
            <family val="2"/>
          </rPr>
          <t xml:space="preserve">M1/M2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組合科學</t>
        </r>
      </text>
    </comment>
    <comment ref="C32" authorId="0" shapeId="0" xr:uid="{00000000-0006-0000-0A00-000043000000}">
      <text>
        <r>
          <rPr>
            <b/>
            <sz val="9"/>
            <color indexed="81"/>
            <rFont val="細明體"/>
            <family val="3"/>
            <charset val="136"/>
          </rPr>
          <t>優先考慮修讀以下科目者</t>
        </r>
        <r>
          <rPr>
            <b/>
            <sz val="9"/>
            <color indexed="81"/>
            <rFont val="Tahoma"/>
            <family val="2"/>
          </rPr>
          <t>:</t>
        </r>
        <r>
          <rPr>
            <sz val="9"/>
            <color indexed="81"/>
            <rFont val="Tahoma"/>
            <family val="2"/>
          </rPr>
          <t xml:space="preserve">
- M1/2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經濟
</t>
        </r>
        <r>
          <rPr>
            <sz val="9"/>
            <color indexed="81"/>
            <rFont val="Tahoma"/>
            <family val="2"/>
          </rPr>
          <t xml:space="preserve">- </t>
        </r>
        <r>
          <rPr>
            <sz val="9"/>
            <color indexed="81"/>
            <rFont val="細明體"/>
            <family val="3"/>
            <charset val="136"/>
          </rPr>
          <t xml:space="preserve">組合科學
</t>
        </r>
        <r>
          <rPr>
            <sz val="9"/>
            <color indexed="81"/>
            <rFont val="Tahoma"/>
            <family val="2"/>
          </rPr>
          <t>- BAFS
- ICT</t>
        </r>
      </text>
    </comment>
    <comment ref="E32" authorId="0" shapeId="0" xr:uid="{00000000-0006-0000-0A00-000044000000}">
      <text>
        <r>
          <rPr>
            <b/>
            <sz val="9"/>
            <color indexed="81"/>
            <rFont val="Tahoma"/>
            <family val="2"/>
          </rPr>
          <t>x1.75:</t>
        </r>
        <r>
          <rPr>
            <sz val="9"/>
            <color indexed="81"/>
            <rFont val="Tahoma"/>
            <family val="2"/>
          </rPr>
          <t xml:space="preserve"> </t>
        </r>
        <r>
          <rPr>
            <sz val="9"/>
            <color indexed="81"/>
            <rFont val="細明體"/>
            <family val="3"/>
            <charset val="136"/>
          </rPr>
          <t>數學、</t>
        </r>
        <r>
          <rPr>
            <sz val="9"/>
            <color indexed="81"/>
            <rFont val="Tahoma"/>
            <family val="2"/>
          </rPr>
          <t xml:space="preserve">M1/2
</t>
        </r>
        <r>
          <rPr>
            <b/>
            <sz val="9"/>
            <color indexed="81"/>
            <rFont val="Tahoma"/>
            <family val="2"/>
          </rPr>
          <t>x1.5:</t>
        </r>
        <r>
          <rPr>
            <sz val="9"/>
            <color indexed="81"/>
            <rFont val="Tahoma"/>
            <family val="2"/>
          </rPr>
          <t xml:space="preserve"> </t>
        </r>
        <r>
          <rPr>
            <sz val="9"/>
            <color indexed="81"/>
            <rFont val="細明體"/>
            <family val="3"/>
            <charset val="136"/>
          </rPr>
          <t>物理、生物、化學、組合科學、經濟、</t>
        </r>
        <r>
          <rPr>
            <sz val="9"/>
            <color indexed="81"/>
            <rFont val="Tahoma"/>
            <family val="2"/>
          </rPr>
          <t>BAFS</t>
        </r>
        <r>
          <rPr>
            <sz val="9"/>
            <color indexed="81"/>
            <rFont val="細明體"/>
            <family val="3"/>
            <charset val="136"/>
          </rPr>
          <t>、</t>
        </r>
        <r>
          <rPr>
            <sz val="9"/>
            <color indexed="81"/>
            <rFont val="Tahoma"/>
            <family val="2"/>
          </rPr>
          <t xml:space="preserve">ICT
</t>
        </r>
        <r>
          <rPr>
            <b/>
            <sz val="9"/>
            <color indexed="81"/>
            <rFont val="Tahoma"/>
            <family val="2"/>
          </rPr>
          <t>x1.25:</t>
        </r>
        <r>
          <rPr>
            <sz val="9"/>
            <color indexed="81"/>
            <rFont val="Tahoma"/>
            <family val="2"/>
          </rPr>
          <t xml:space="preserve"> </t>
        </r>
        <r>
          <rPr>
            <sz val="9"/>
            <color indexed="81"/>
            <rFont val="細明體"/>
            <family val="3"/>
            <charset val="136"/>
          </rPr>
          <t>中文、英文</t>
        </r>
      </text>
    </comment>
    <comment ref="N32" authorId="1" shapeId="0" xr:uid="{00000000-0006-0000-0A00-000045000000}">
      <text>
        <r>
          <rPr>
            <sz val="9"/>
            <color indexed="81"/>
            <rFont val="Tahoma"/>
            <family val="2"/>
          </rPr>
          <t>Late May to early Jun
(On a selective basis)</t>
        </r>
      </text>
    </comment>
    <comment ref="E33" authorId="0" shapeId="0" xr:uid="{00000000-0006-0000-0A00-000046000000}">
      <text>
        <r>
          <rPr>
            <b/>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、物理</t>
        </r>
      </text>
    </comment>
    <comment ref="N33" authorId="1" shapeId="0" xr:uid="{00000000-0006-0000-0A00-000047000000}">
      <text>
        <r>
          <rPr>
            <sz val="9"/>
            <color indexed="81"/>
            <rFont val="Tahoma"/>
            <family val="2"/>
          </rPr>
          <t>Late May to Jun
(On a selective basis)</t>
        </r>
      </text>
    </comment>
    <comment ref="S33" authorId="1" shapeId="0" xr:uid="{00000000-0006-0000-0A00-000048000000}">
      <text>
        <r>
          <rPr>
            <b/>
            <sz val="9"/>
            <color indexed="81"/>
            <rFont val="細明體"/>
            <family val="3"/>
            <charset val="136"/>
          </rPr>
          <t>以下一科</t>
        </r>
        <r>
          <rPr>
            <b/>
            <sz val="9"/>
            <color indexed="81"/>
            <rFont val="Tahoma"/>
            <family val="2"/>
          </rPr>
          <t>:</t>
        </r>
        <r>
          <rPr>
            <sz val="9"/>
            <color indexed="81"/>
            <rFont val="Tahoma"/>
            <family val="2"/>
          </rPr>
          <t xml:space="preserve">
- M1/M2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ICT</t>
        </r>
        <r>
          <rPr>
            <sz val="9"/>
            <color indexed="81"/>
            <rFont val="細明體"/>
            <family val="3"/>
            <charset val="136"/>
          </rPr>
          <t xml:space="preserve">
</t>
        </r>
        <r>
          <rPr>
            <sz val="9"/>
            <color indexed="81"/>
            <rFont val="Tahoma"/>
            <family val="2"/>
          </rPr>
          <t xml:space="preserve">- </t>
        </r>
        <r>
          <rPr>
            <sz val="9"/>
            <color indexed="81"/>
            <rFont val="細明體"/>
            <family val="3"/>
            <charset val="136"/>
          </rPr>
          <t>組合科學</t>
        </r>
      </text>
    </comment>
    <comment ref="E34" authorId="0" shapeId="0" xr:uid="{00000000-0006-0000-0A00-000049000000}">
      <text>
        <r>
          <rPr>
            <b/>
            <sz val="9"/>
            <color indexed="81"/>
            <rFont val="Tahoma"/>
            <family val="2"/>
          </rPr>
          <t xml:space="preserve">x1.5: </t>
        </r>
        <r>
          <rPr>
            <sz val="9"/>
            <color indexed="81"/>
            <rFont val="細明體"/>
            <family val="3"/>
            <charset val="136"/>
          </rPr>
          <t>英文、物理、生物、化學、組合科學
、</t>
        </r>
        <r>
          <rPr>
            <sz val="9"/>
            <color indexed="81"/>
            <rFont val="Tahoma"/>
            <family val="2"/>
          </rPr>
          <t>[</t>
        </r>
        <r>
          <rPr>
            <sz val="9"/>
            <color indexed="81"/>
            <rFont val="細明體"/>
            <family val="3"/>
            <charset val="136"/>
          </rPr>
          <t>數學、</t>
        </r>
        <r>
          <rPr>
            <sz val="9"/>
            <color indexed="81"/>
            <rFont val="Tahoma"/>
            <family val="2"/>
          </rPr>
          <t>M1/2]</t>
        </r>
        <r>
          <rPr>
            <sz val="9"/>
            <color indexed="81"/>
            <rFont val="細明體"/>
            <family val="3"/>
            <charset val="136"/>
          </rPr>
          <t>其中最佳一科</t>
        </r>
      </text>
    </comment>
    <comment ref="N34" authorId="1" shapeId="0" xr:uid="{00000000-0006-0000-0A00-00004A000000}">
      <text>
        <r>
          <rPr>
            <b/>
            <sz val="9"/>
            <color indexed="81"/>
            <rFont val="細明體"/>
            <family val="3"/>
            <charset val="136"/>
          </rPr>
          <t>前</t>
        </r>
        <r>
          <rPr>
            <b/>
            <sz val="9"/>
            <color indexed="81"/>
            <rFont val="Tahoma"/>
            <family val="2"/>
          </rPr>
          <t>:</t>
        </r>
        <r>
          <rPr>
            <sz val="9"/>
            <color indexed="81"/>
            <rFont val="Tahoma"/>
            <family val="2"/>
          </rPr>
          <t xml:space="preserve"> 25-26 May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S34" authorId="1" shapeId="0" xr:uid="{00000000-0006-0000-0A00-00004B000000}">
      <text>
        <r>
          <rPr>
            <b/>
            <sz val="9"/>
            <color indexed="81"/>
            <rFont val="細明體"/>
            <family val="3"/>
            <charset val="136"/>
          </rPr>
          <t>以下一科</t>
        </r>
        <r>
          <rPr>
            <b/>
            <sz val="9"/>
            <color indexed="81"/>
            <rFont val="Tahoma"/>
            <family val="2"/>
          </rPr>
          <t>:</t>
        </r>
        <r>
          <rPr>
            <sz val="9"/>
            <color indexed="81"/>
            <rFont val="Tahoma"/>
            <family val="2"/>
          </rPr>
          <t xml:space="preserve">
- M1/M2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組合科學</t>
        </r>
      </text>
    </comment>
    <comment ref="E35" authorId="0" shapeId="0" xr:uid="{00000000-0006-0000-0A00-00004C000000}">
      <text>
        <r>
          <rPr>
            <b/>
            <sz val="9"/>
            <color indexed="81"/>
            <rFont val="Tahoma"/>
            <family val="2"/>
          </rPr>
          <t xml:space="preserve">x1.5: </t>
        </r>
        <r>
          <rPr>
            <sz val="9"/>
            <color indexed="81"/>
            <rFont val="細明體"/>
            <family val="3"/>
            <charset val="136"/>
          </rPr>
          <t>數學、</t>
        </r>
        <r>
          <rPr>
            <sz val="9"/>
            <color indexed="81"/>
            <rFont val="Tahoma"/>
            <family val="2"/>
          </rPr>
          <t>M1/2</t>
        </r>
        <r>
          <rPr>
            <sz val="9"/>
            <color indexed="81"/>
            <rFont val="細明體"/>
            <family val="3"/>
            <charset val="136"/>
          </rPr>
          <t>、物理、生物、化學、組合科學、</t>
        </r>
        <r>
          <rPr>
            <sz val="9"/>
            <color indexed="81"/>
            <rFont val="Tahoma"/>
            <family val="2"/>
          </rPr>
          <t>DAT</t>
        </r>
        <r>
          <rPr>
            <sz val="9"/>
            <color indexed="81"/>
            <rFont val="細明體"/>
            <family val="3"/>
            <charset val="136"/>
          </rPr>
          <t>、</t>
        </r>
        <r>
          <rPr>
            <sz val="9"/>
            <color indexed="81"/>
            <rFont val="Tahoma"/>
            <family val="2"/>
          </rPr>
          <t xml:space="preserve">ICT
</t>
        </r>
        <r>
          <rPr>
            <b/>
            <sz val="9"/>
            <color indexed="81"/>
            <rFont val="Tahoma"/>
            <family val="2"/>
          </rPr>
          <t>x1.2:</t>
        </r>
        <r>
          <rPr>
            <sz val="9"/>
            <color indexed="81"/>
            <rFont val="Tahoma"/>
            <family val="2"/>
          </rPr>
          <t xml:space="preserve"> </t>
        </r>
        <r>
          <rPr>
            <sz val="9"/>
            <color indexed="81"/>
            <rFont val="細明體"/>
            <family val="3"/>
            <charset val="136"/>
          </rPr>
          <t xml:space="preserve">經濟、地理
</t>
        </r>
        <r>
          <rPr>
            <b/>
            <sz val="9"/>
            <color indexed="81"/>
            <rFont val="Tahoma"/>
            <family val="2"/>
          </rPr>
          <t xml:space="preserve">x0.5: </t>
        </r>
        <r>
          <rPr>
            <sz val="9"/>
            <color indexed="81"/>
            <rFont val="細明體"/>
            <family val="3"/>
            <charset val="136"/>
          </rPr>
          <t>通識</t>
        </r>
      </text>
    </comment>
    <comment ref="N35" authorId="1" shapeId="0" xr:uid="{00000000-0006-0000-0A00-00004D000000}">
      <text>
        <r>
          <rPr>
            <sz val="9"/>
            <color indexed="81"/>
            <rFont val="Tahoma"/>
            <family val="2"/>
          </rPr>
          <t>May - Jun
(On a selective basis)</t>
        </r>
      </text>
    </comment>
    <comment ref="S35" authorId="1" shapeId="0" xr:uid="{00000000-0006-0000-0A00-00004E000000}">
      <text>
        <r>
          <rPr>
            <b/>
            <sz val="9"/>
            <color indexed="81"/>
            <rFont val="細明體"/>
            <family val="3"/>
            <charset val="136"/>
          </rPr>
          <t>以下一科</t>
        </r>
        <r>
          <rPr>
            <b/>
            <sz val="9"/>
            <color indexed="81"/>
            <rFont val="Tahoma"/>
            <family val="2"/>
          </rPr>
          <t xml:space="preserve">:
</t>
        </r>
        <r>
          <rPr>
            <sz val="9"/>
            <color indexed="81"/>
            <rFont val="Tahoma"/>
            <family val="2"/>
          </rPr>
          <t xml:space="preserve">- M1/M2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ICT
- DAT</t>
        </r>
        <r>
          <rPr>
            <sz val="9"/>
            <color indexed="81"/>
            <rFont val="細明體"/>
            <family val="3"/>
            <charset val="136"/>
          </rPr>
          <t xml:space="preserve">
</t>
        </r>
        <r>
          <rPr>
            <sz val="9"/>
            <color indexed="81"/>
            <rFont val="Tahoma"/>
            <family val="2"/>
          </rPr>
          <t xml:space="preserve">- </t>
        </r>
        <r>
          <rPr>
            <sz val="9"/>
            <color indexed="81"/>
            <rFont val="細明體"/>
            <family val="3"/>
            <charset val="136"/>
          </rPr>
          <t>組合科學</t>
        </r>
      </text>
    </comment>
    <comment ref="C36" authorId="0" shapeId="0" xr:uid="{00000000-0006-0000-0A00-00004F000000}">
      <text>
        <r>
          <rPr>
            <b/>
            <sz val="9"/>
            <color indexed="81"/>
            <rFont val="細明體"/>
            <family val="3"/>
            <charset val="136"/>
          </rPr>
          <t>優先考慮修讀以下科目者</t>
        </r>
        <r>
          <rPr>
            <b/>
            <sz val="9"/>
            <color indexed="81"/>
            <rFont val="Tahoma"/>
            <family val="2"/>
          </rPr>
          <t xml:space="preserve">:
</t>
        </r>
        <r>
          <rPr>
            <sz val="9"/>
            <color indexed="81"/>
            <rFont val="Tahoma"/>
            <family val="2"/>
          </rPr>
          <t xml:space="preserve">- M1/2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組合科學</t>
        </r>
        <r>
          <rPr>
            <sz val="9"/>
            <color indexed="81"/>
            <rFont val="Tahoma"/>
            <family val="2"/>
          </rPr>
          <t xml:space="preserve">
- ICT</t>
        </r>
      </text>
    </comment>
    <comment ref="E36" authorId="0" shapeId="0" xr:uid="{00000000-0006-0000-0A00-000050000000}">
      <text>
        <r>
          <rPr>
            <b/>
            <sz val="9"/>
            <color indexed="81"/>
            <rFont val="Tahoma"/>
            <family val="2"/>
          </rPr>
          <t>x1.75:</t>
        </r>
        <r>
          <rPr>
            <sz val="9"/>
            <color indexed="81"/>
            <rFont val="Tahoma"/>
            <family val="2"/>
          </rPr>
          <t xml:space="preserve"> </t>
        </r>
        <r>
          <rPr>
            <sz val="9"/>
            <color indexed="81"/>
            <rFont val="細明體"/>
            <family val="3"/>
            <charset val="136"/>
          </rPr>
          <t>數學、</t>
        </r>
        <r>
          <rPr>
            <sz val="9"/>
            <color indexed="81"/>
            <rFont val="Tahoma"/>
            <family val="2"/>
          </rPr>
          <t xml:space="preserve">M1/2
</t>
        </r>
        <r>
          <rPr>
            <b/>
            <sz val="9"/>
            <color indexed="81"/>
            <rFont val="Tahoma"/>
            <family val="2"/>
          </rPr>
          <t>x1.5:</t>
        </r>
        <r>
          <rPr>
            <sz val="9"/>
            <color indexed="81"/>
            <rFont val="Tahoma"/>
            <family val="2"/>
          </rPr>
          <t xml:space="preserve"> </t>
        </r>
        <r>
          <rPr>
            <sz val="9"/>
            <color indexed="81"/>
            <rFont val="細明體"/>
            <family val="3"/>
            <charset val="136"/>
          </rPr>
          <t>物理、生物、化學、組合科學、</t>
        </r>
        <r>
          <rPr>
            <sz val="9"/>
            <color indexed="81"/>
            <rFont val="Tahoma"/>
            <family val="2"/>
          </rPr>
          <t xml:space="preserve">ICT
</t>
        </r>
        <r>
          <rPr>
            <b/>
            <sz val="9"/>
            <color indexed="81"/>
            <rFont val="Tahoma"/>
            <family val="2"/>
          </rPr>
          <t xml:space="preserve">
x1.25:</t>
        </r>
        <r>
          <rPr>
            <sz val="9"/>
            <color indexed="81"/>
            <rFont val="Tahoma"/>
            <family val="2"/>
          </rPr>
          <t xml:space="preserve"> </t>
        </r>
        <r>
          <rPr>
            <sz val="9"/>
            <color indexed="81"/>
            <rFont val="細明體"/>
            <family val="3"/>
            <charset val="136"/>
          </rPr>
          <t>中文、英文</t>
        </r>
      </text>
    </comment>
    <comment ref="N36" authorId="1" shapeId="0" xr:uid="{00000000-0006-0000-0A00-000051000000}">
      <text>
        <r>
          <rPr>
            <sz val="9"/>
            <color indexed="81"/>
            <rFont val="Tahoma"/>
            <family val="2"/>
          </rPr>
          <t>Jun
(On a selective basis)</t>
        </r>
      </text>
    </comment>
    <comment ref="Q36" authorId="1" shapeId="0" xr:uid="{00000000-0006-0000-0A00-000052000000}">
      <text>
        <r>
          <rPr>
            <b/>
            <sz val="9"/>
            <color indexed="81"/>
            <rFont val="細明體"/>
            <family val="3"/>
            <charset val="136"/>
          </rPr>
          <t>數學科考獲</t>
        </r>
        <r>
          <rPr>
            <b/>
            <sz val="9"/>
            <color indexed="81"/>
            <rFont val="Tahoma"/>
            <family val="2"/>
          </rPr>
          <t xml:space="preserve"> Lv.4</t>
        </r>
        <r>
          <rPr>
            <sz val="9"/>
            <color indexed="81"/>
            <rFont val="Tahoma"/>
            <family val="2"/>
          </rPr>
          <t xml:space="preserve"> </t>
        </r>
        <r>
          <rPr>
            <sz val="9"/>
            <color indexed="81"/>
            <rFont val="細明體"/>
            <family val="3"/>
            <charset val="136"/>
          </rPr>
          <t>及</t>
        </r>
        <r>
          <rPr>
            <sz val="9"/>
            <color indexed="81"/>
            <rFont val="Tahoma"/>
            <family val="2"/>
          </rPr>
          <t xml:space="preserve"> </t>
        </r>
        <r>
          <rPr>
            <sz val="9"/>
            <color indexed="81"/>
            <rFont val="細明體"/>
            <family val="3"/>
            <charset val="136"/>
          </rPr>
          <t>其他科目考獲</t>
        </r>
        <r>
          <rPr>
            <b/>
            <sz val="9"/>
            <color indexed="81"/>
            <rFont val="細明體"/>
            <family val="3"/>
            <charset val="136"/>
          </rPr>
          <t>優異成績</t>
        </r>
        <r>
          <rPr>
            <sz val="9"/>
            <color indexed="81"/>
            <rFont val="細明體"/>
            <family val="3"/>
            <charset val="136"/>
          </rPr>
          <t>的考生
將會按個別情況考慮</t>
        </r>
      </text>
    </comment>
    <comment ref="C37" authorId="0" shapeId="0" xr:uid="{00000000-0006-0000-0A00-000053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化學</t>
        </r>
        <r>
          <rPr>
            <sz val="9"/>
            <color indexed="81"/>
            <rFont val="細明體"/>
            <family val="3"/>
            <charset val="136"/>
          </rPr>
          <t>、</t>
        </r>
        <r>
          <rPr>
            <b/>
            <sz val="9"/>
            <color indexed="81"/>
            <rFont val="細明體"/>
            <family val="3"/>
            <charset val="136"/>
          </rPr>
          <t>生物</t>
        </r>
        <r>
          <rPr>
            <b/>
            <sz val="9"/>
            <color indexed="81"/>
            <rFont val="Tahoma"/>
            <family val="2"/>
          </rPr>
          <t xml:space="preserve"> </t>
        </r>
        <r>
          <rPr>
            <sz val="9"/>
            <color indexed="81"/>
            <rFont val="細明體"/>
            <family val="3"/>
            <charset val="136"/>
          </rPr>
          <t>者
及
優先考慮修讀</t>
        </r>
        <r>
          <rPr>
            <sz val="9"/>
            <color indexed="81"/>
            <rFont val="Tahoma"/>
            <family val="2"/>
          </rPr>
          <t xml:space="preserve"> </t>
        </r>
        <r>
          <rPr>
            <b/>
            <sz val="9"/>
            <color indexed="81"/>
            <rFont val="細明體"/>
            <family val="3"/>
            <charset val="136"/>
          </rPr>
          <t>第三科選修</t>
        </r>
        <r>
          <rPr>
            <sz val="9"/>
            <color indexed="81"/>
            <rFont val="Tahoma"/>
            <family val="2"/>
          </rPr>
          <t xml:space="preserve"> </t>
        </r>
        <r>
          <rPr>
            <sz val="9"/>
            <color indexed="81"/>
            <rFont val="細明體"/>
            <family val="3"/>
            <charset val="136"/>
          </rPr>
          <t>及</t>
        </r>
        <r>
          <rPr>
            <sz val="9"/>
            <color indexed="81"/>
            <rFont val="Tahoma"/>
            <family val="2"/>
          </rPr>
          <t>/</t>
        </r>
        <r>
          <rPr>
            <sz val="9"/>
            <color indexed="81"/>
            <rFont val="細明體"/>
            <family val="3"/>
            <charset val="136"/>
          </rPr>
          <t>或</t>
        </r>
        <r>
          <rPr>
            <b/>
            <sz val="9"/>
            <color indexed="81"/>
            <rFont val="Tahoma"/>
            <family val="2"/>
          </rPr>
          <t xml:space="preserve"> M1/2</t>
        </r>
        <r>
          <rPr>
            <sz val="9"/>
            <color indexed="81"/>
            <rFont val="Tahoma"/>
            <family val="2"/>
          </rPr>
          <t xml:space="preserve"> </t>
        </r>
      </text>
    </comment>
    <comment ref="E37" authorId="0" shapeId="0" xr:uid="{00000000-0006-0000-0A00-000054000000}">
      <text>
        <r>
          <rPr>
            <sz val="9"/>
            <color indexed="81"/>
            <rFont val="Tahoma"/>
            <family val="2"/>
          </rPr>
          <t>M1/2</t>
        </r>
        <r>
          <rPr>
            <sz val="9"/>
            <color indexed="81"/>
            <rFont val="細明體"/>
            <family val="3"/>
            <charset val="136"/>
          </rPr>
          <t>並不會被計算作選修，
但可以</t>
        </r>
        <r>
          <rPr>
            <sz val="9"/>
            <color indexed="81"/>
            <rFont val="Tahoma"/>
            <family val="2"/>
          </rPr>
          <t xml:space="preserve"> </t>
        </r>
        <r>
          <rPr>
            <sz val="9"/>
            <color indexed="81"/>
            <rFont val="細明體"/>
            <family val="3"/>
            <charset val="136"/>
          </rPr>
          <t>與</t>
        </r>
        <r>
          <rPr>
            <sz val="9"/>
            <color indexed="81"/>
            <rFont val="Tahoma"/>
            <family val="2"/>
          </rPr>
          <t xml:space="preserve"> </t>
        </r>
        <r>
          <rPr>
            <b/>
            <sz val="9"/>
            <color indexed="81"/>
            <rFont val="Tahoma"/>
            <family val="2"/>
          </rPr>
          <t>7</t>
        </r>
        <r>
          <rPr>
            <b/>
            <sz val="9"/>
            <color indexed="81"/>
            <rFont val="細明體"/>
            <family val="3"/>
            <charset val="136"/>
          </rPr>
          <t>科中最低分科目</t>
        </r>
        <r>
          <rPr>
            <sz val="9"/>
            <color indexed="81"/>
            <rFont val="Tahoma"/>
            <family val="2"/>
          </rPr>
          <t xml:space="preserve"> </t>
        </r>
        <r>
          <rPr>
            <sz val="9"/>
            <color indexed="81"/>
            <rFont val="細明體"/>
            <family val="3"/>
            <charset val="136"/>
          </rPr>
          <t>以</t>
        </r>
        <r>
          <rPr>
            <sz val="9"/>
            <color indexed="81"/>
            <rFont val="Tahoma"/>
            <family val="2"/>
          </rPr>
          <t xml:space="preserve"> 
</t>
        </r>
        <r>
          <rPr>
            <sz val="9"/>
            <color indexed="81"/>
            <rFont val="細明體"/>
            <family val="3"/>
            <charset val="136"/>
          </rPr>
          <t>下列公式</t>
        </r>
        <r>
          <rPr>
            <sz val="9"/>
            <color indexed="81"/>
            <rFont val="Tahoma"/>
            <family val="2"/>
          </rPr>
          <t xml:space="preserve"> </t>
        </r>
        <r>
          <rPr>
            <sz val="9"/>
            <color indexed="81"/>
            <rFont val="細明體"/>
            <family val="3"/>
            <charset val="136"/>
          </rPr>
          <t>合併計算︰</t>
        </r>
        <r>
          <rPr>
            <sz val="9"/>
            <color indexed="81"/>
            <rFont val="Tahoma"/>
            <family val="2"/>
          </rPr>
          <t xml:space="preserve">
(M1/2 + </t>
        </r>
        <r>
          <rPr>
            <sz val="9"/>
            <color indexed="81"/>
            <rFont val="細明體"/>
            <family val="3"/>
            <charset val="136"/>
          </rPr>
          <t>該科目</t>
        </r>
        <r>
          <rPr>
            <sz val="9"/>
            <color indexed="81"/>
            <rFont val="Tahoma"/>
            <family val="2"/>
          </rPr>
          <t>)/2</t>
        </r>
      </text>
    </comment>
    <comment ref="I37" authorId="0" shapeId="0" xr:uid="{00000000-0006-0000-0A00-000055000000}">
      <text>
        <r>
          <rPr>
            <b/>
            <sz val="9"/>
            <color indexed="81"/>
            <rFont val="細明體"/>
            <family val="3"/>
            <charset val="136"/>
          </rPr>
          <t>重考扣分</t>
        </r>
        <r>
          <rPr>
            <b/>
            <sz val="9"/>
            <color indexed="81"/>
            <rFont val="Tahoma"/>
            <family val="2"/>
          </rPr>
          <t xml:space="preserve">: </t>
        </r>
        <r>
          <rPr>
            <sz val="9"/>
            <color indexed="81"/>
            <rFont val="Tahoma"/>
            <family val="2"/>
          </rPr>
          <t>6%</t>
        </r>
        <r>
          <rPr>
            <sz val="9"/>
            <color indexed="81"/>
            <rFont val="細明體"/>
            <family val="3"/>
            <charset val="136"/>
          </rPr>
          <t>至</t>
        </r>
        <r>
          <rPr>
            <sz val="9"/>
            <color indexed="81"/>
            <rFont val="Tahoma"/>
            <family val="2"/>
          </rPr>
          <t>10%
(</t>
        </r>
        <r>
          <rPr>
            <sz val="9"/>
            <color indexed="81"/>
            <rFont val="細明體"/>
            <family val="3"/>
            <charset val="136"/>
          </rPr>
          <t>此處作</t>
        </r>
        <r>
          <rPr>
            <sz val="9"/>
            <color indexed="81"/>
            <rFont val="Tahoma"/>
            <family val="2"/>
          </rPr>
          <t>10%)</t>
        </r>
      </text>
    </comment>
    <comment ref="L37" authorId="0" shapeId="0" xr:uid="{00000000-0006-0000-0A00-000056000000}">
      <text>
        <r>
          <rPr>
            <b/>
            <sz val="9"/>
            <color indexed="81"/>
            <rFont val="Tahoma"/>
            <family val="2"/>
          </rPr>
          <t>Combined figure</t>
        </r>
        <r>
          <rPr>
            <sz val="9"/>
            <color indexed="81"/>
            <rFont val="Tahoma"/>
            <family val="2"/>
          </rPr>
          <t xml:space="preserve"> for programmes</t>
        </r>
        <r>
          <rPr>
            <b/>
            <sz val="9"/>
            <color indexed="81"/>
            <rFont val="Tahoma"/>
            <family val="2"/>
          </rPr>
          <t xml:space="preserve"> </t>
        </r>
        <r>
          <rPr>
            <sz val="9"/>
            <color indexed="81"/>
            <rFont val="Tahoma"/>
            <family val="2"/>
          </rPr>
          <t xml:space="preserve">JS4501 &amp; JS4502
</t>
        </r>
      </text>
    </comment>
    <comment ref="N37" authorId="1" shapeId="0" xr:uid="{00000000-0006-0000-0A00-000057000000}">
      <text>
        <r>
          <rPr>
            <b/>
            <sz val="9"/>
            <color indexed="81"/>
            <rFont val="細明體"/>
            <family val="3"/>
            <charset val="136"/>
          </rPr>
          <t>前</t>
        </r>
        <r>
          <rPr>
            <b/>
            <sz val="9"/>
            <color indexed="81"/>
            <rFont val="Tahoma"/>
            <family val="2"/>
          </rPr>
          <t>:</t>
        </r>
        <r>
          <rPr>
            <sz val="9"/>
            <color indexed="81"/>
            <rFont val="Tahoma"/>
            <family val="2"/>
          </rPr>
          <t xml:space="preserve"> 21, 28 May &amp; 4, 22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S37" authorId="1" shapeId="0" xr:uid="{00000000-0006-0000-0A00-000058000000}">
      <text>
        <r>
          <rPr>
            <b/>
            <sz val="9"/>
            <color indexed="81"/>
            <rFont val="細明體"/>
            <family val="3"/>
            <charset val="136"/>
          </rPr>
          <t>以下一科</t>
        </r>
        <r>
          <rPr>
            <b/>
            <sz val="9"/>
            <color indexed="81"/>
            <rFont val="Tahoma"/>
            <family val="2"/>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生物</t>
        </r>
      </text>
    </comment>
    <comment ref="C38" authorId="0" shapeId="0" xr:uid="{00000000-0006-0000-0A00-000059000000}">
      <text>
        <r>
          <rPr>
            <sz val="9"/>
            <color indexed="81"/>
            <rFont val="細明體"/>
            <family val="3"/>
            <charset val="136"/>
          </rPr>
          <t>優先考慮修讀</t>
        </r>
        <r>
          <rPr>
            <sz val="9"/>
            <color indexed="81"/>
            <rFont val="Tahoma"/>
            <family val="2"/>
          </rPr>
          <t xml:space="preserve"> </t>
        </r>
        <r>
          <rPr>
            <b/>
            <sz val="9"/>
            <color indexed="81"/>
            <rFont val="細明體"/>
            <family val="3"/>
            <charset val="136"/>
          </rPr>
          <t>化學</t>
        </r>
        <r>
          <rPr>
            <sz val="9"/>
            <color indexed="81"/>
            <rFont val="細明體"/>
            <family val="3"/>
            <charset val="136"/>
          </rPr>
          <t>、</t>
        </r>
        <r>
          <rPr>
            <b/>
            <sz val="9"/>
            <color indexed="81"/>
            <rFont val="細明體"/>
            <family val="3"/>
            <charset val="136"/>
          </rPr>
          <t>生物</t>
        </r>
        <r>
          <rPr>
            <sz val="9"/>
            <color indexed="81"/>
            <rFont val="Tahoma"/>
            <family val="2"/>
          </rPr>
          <t xml:space="preserve"> </t>
        </r>
        <r>
          <rPr>
            <sz val="9"/>
            <color indexed="81"/>
            <rFont val="細明體"/>
            <family val="3"/>
            <charset val="136"/>
          </rPr>
          <t>者
及
優先考慮修讀</t>
        </r>
        <r>
          <rPr>
            <b/>
            <sz val="9"/>
            <color indexed="81"/>
            <rFont val="Tahoma"/>
            <family val="2"/>
          </rPr>
          <t xml:space="preserve"> </t>
        </r>
        <r>
          <rPr>
            <b/>
            <sz val="9"/>
            <color indexed="81"/>
            <rFont val="細明體"/>
            <family val="3"/>
            <charset val="136"/>
          </rPr>
          <t>第三科選修</t>
        </r>
        <r>
          <rPr>
            <b/>
            <sz val="9"/>
            <color indexed="81"/>
            <rFont val="Tahoma"/>
            <family val="2"/>
          </rPr>
          <t xml:space="preserve"> </t>
        </r>
        <r>
          <rPr>
            <sz val="9"/>
            <color indexed="81"/>
            <rFont val="細明體"/>
            <family val="3"/>
            <charset val="136"/>
          </rPr>
          <t>及</t>
        </r>
        <r>
          <rPr>
            <sz val="9"/>
            <color indexed="81"/>
            <rFont val="Tahoma"/>
            <family val="2"/>
          </rPr>
          <t>/</t>
        </r>
        <r>
          <rPr>
            <sz val="9"/>
            <color indexed="81"/>
            <rFont val="細明體"/>
            <family val="3"/>
            <charset val="136"/>
          </rPr>
          <t>或</t>
        </r>
        <r>
          <rPr>
            <sz val="9"/>
            <color indexed="81"/>
            <rFont val="Tahoma"/>
            <family val="2"/>
          </rPr>
          <t xml:space="preserve"> </t>
        </r>
        <r>
          <rPr>
            <b/>
            <sz val="9"/>
            <color indexed="81"/>
            <rFont val="Tahoma"/>
            <family val="2"/>
          </rPr>
          <t>M1/2</t>
        </r>
        <r>
          <rPr>
            <sz val="9"/>
            <color indexed="81"/>
            <rFont val="Tahoma"/>
            <family val="2"/>
          </rPr>
          <t xml:space="preserve"> 
</t>
        </r>
        <r>
          <rPr>
            <sz val="9"/>
            <color indexed="81"/>
            <rFont val="細明體"/>
            <family val="3"/>
            <charset val="136"/>
          </rPr>
          <t xml:space="preserve">及
</t>
        </r>
        <r>
          <rPr>
            <sz val="9"/>
            <color indexed="81"/>
            <rFont val="Tahoma"/>
            <family val="2"/>
          </rPr>
          <t>7</t>
        </r>
        <r>
          <rPr>
            <sz val="9"/>
            <color indexed="81"/>
            <rFont val="細明體"/>
            <family val="3"/>
            <charset val="136"/>
          </rPr>
          <t>科合共大於</t>
        </r>
        <r>
          <rPr>
            <b/>
            <sz val="9"/>
            <color indexed="81"/>
            <rFont val="Tahoma"/>
            <family val="2"/>
          </rPr>
          <t>46</t>
        </r>
        <r>
          <rPr>
            <b/>
            <sz val="9"/>
            <color indexed="81"/>
            <rFont val="細明體"/>
            <family val="3"/>
            <charset val="136"/>
          </rPr>
          <t>分</t>
        </r>
        <r>
          <rPr>
            <sz val="9"/>
            <color indexed="81"/>
            <rFont val="細明體"/>
            <family val="3"/>
            <charset val="136"/>
          </rPr>
          <t>，及</t>
        </r>
        <r>
          <rPr>
            <b/>
            <sz val="9"/>
            <color indexed="81"/>
            <rFont val="Tahoma"/>
            <family val="2"/>
          </rPr>
          <t>4</t>
        </r>
        <r>
          <rPr>
            <b/>
            <sz val="9"/>
            <color indexed="81"/>
            <rFont val="細明體"/>
            <family val="3"/>
            <charset val="136"/>
          </rPr>
          <t>科</t>
        </r>
        <r>
          <rPr>
            <b/>
            <sz val="9"/>
            <color indexed="81"/>
            <rFont val="Tahoma"/>
            <family val="2"/>
          </rPr>
          <t>5**</t>
        </r>
      </text>
    </comment>
    <comment ref="E38" authorId="0" shapeId="0" xr:uid="{00000000-0006-0000-0A00-00005A000000}">
      <text>
        <r>
          <rPr>
            <sz val="9"/>
            <color indexed="81"/>
            <rFont val="Tahoma"/>
            <family val="2"/>
          </rPr>
          <t>M1/2</t>
        </r>
        <r>
          <rPr>
            <sz val="9"/>
            <color indexed="81"/>
            <rFont val="細明體"/>
            <family val="3"/>
            <charset val="136"/>
          </rPr>
          <t>並不會被計算作選修，
但可以</t>
        </r>
        <r>
          <rPr>
            <sz val="9"/>
            <color indexed="81"/>
            <rFont val="Tahoma"/>
            <family val="2"/>
          </rPr>
          <t xml:space="preserve"> </t>
        </r>
        <r>
          <rPr>
            <sz val="9"/>
            <color indexed="81"/>
            <rFont val="細明體"/>
            <family val="3"/>
            <charset val="136"/>
          </rPr>
          <t>與</t>
        </r>
        <r>
          <rPr>
            <sz val="9"/>
            <color indexed="81"/>
            <rFont val="Tahoma"/>
            <family val="2"/>
          </rPr>
          <t xml:space="preserve"> </t>
        </r>
        <r>
          <rPr>
            <b/>
            <sz val="9"/>
            <color indexed="81"/>
            <rFont val="Tahoma"/>
            <family val="2"/>
          </rPr>
          <t>7</t>
        </r>
        <r>
          <rPr>
            <b/>
            <sz val="9"/>
            <color indexed="81"/>
            <rFont val="細明體"/>
            <family val="3"/>
            <charset val="136"/>
          </rPr>
          <t>科中最低分科目</t>
        </r>
        <r>
          <rPr>
            <sz val="9"/>
            <color indexed="81"/>
            <rFont val="Tahoma"/>
            <family val="2"/>
          </rPr>
          <t xml:space="preserve"> </t>
        </r>
        <r>
          <rPr>
            <sz val="9"/>
            <color indexed="81"/>
            <rFont val="細明體"/>
            <family val="3"/>
            <charset val="136"/>
          </rPr>
          <t>以</t>
        </r>
        <r>
          <rPr>
            <sz val="9"/>
            <color indexed="81"/>
            <rFont val="Tahoma"/>
            <family val="2"/>
          </rPr>
          <t xml:space="preserve"> 
</t>
        </r>
        <r>
          <rPr>
            <sz val="9"/>
            <color indexed="81"/>
            <rFont val="細明體"/>
            <family val="3"/>
            <charset val="136"/>
          </rPr>
          <t>下列公式</t>
        </r>
        <r>
          <rPr>
            <sz val="9"/>
            <color indexed="81"/>
            <rFont val="Tahoma"/>
            <family val="2"/>
          </rPr>
          <t xml:space="preserve"> </t>
        </r>
        <r>
          <rPr>
            <sz val="9"/>
            <color indexed="81"/>
            <rFont val="細明體"/>
            <family val="3"/>
            <charset val="136"/>
          </rPr>
          <t>合併計算︰</t>
        </r>
        <r>
          <rPr>
            <sz val="9"/>
            <color indexed="81"/>
            <rFont val="Tahoma"/>
            <family val="2"/>
          </rPr>
          <t xml:space="preserve">
(M1/2 + </t>
        </r>
        <r>
          <rPr>
            <sz val="9"/>
            <color indexed="81"/>
            <rFont val="細明體"/>
            <family val="3"/>
            <charset val="136"/>
          </rPr>
          <t>該科目</t>
        </r>
        <r>
          <rPr>
            <sz val="9"/>
            <color indexed="81"/>
            <rFont val="Tahoma"/>
            <family val="2"/>
          </rPr>
          <t>)/2</t>
        </r>
      </text>
    </comment>
    <comment ref="I38" authorId="0" shapeId="0" xr:uid="{00000000-0006-0000-0A00-00005B000000}">
      <text>
        <r>
          <rPr>
            <sz val="9"/>
            <color indexed="81"/>
            <rFont val="Tahoma"/>
            <family val="2"/>
          </rPr>
          <t xml:space="preserve">Additional requirements: </t>
        </r>
        <r>
          <rPr>
            <b/>
            <sz val="9"/>
            <color indexed="81"/>
            <rFont val="Tahoma"/>
            <family val="2"/>
          </rPr>
          <t xml:space="preserve">
Total score &gt; 46</t>
        </r>
        <r>
          <rPr>
            <sz val="9"/>
            <color indexed="81"/>
            <rFont val="Tahoma"/>
            <family val="2"/>
          </rPr>
          <t xml:space="preserve"> in 7 subjects with </t>
        </r>
        <r>
          <rPr>
            <b/>
            <sz val="9"/>
            <color indexed="81"/>
            <rFont val="Tahoma"/>
            <family val="2"/>
          </rPr>
          <t>5** in ANY 4 subjects</t>
        </r>
        <r>
          <rPr>
            <sz val="9"/>
            <color indexed="81"/>
            <rFont val="Tahoma"/>
            <family val="2"/>
          </rPr>
          <t xml:space="preserve">
</t>
        </r>
        <r>
          <rPr>
            <b/>
            <sz val="9"/>
            <color indexed="81"/>
            <rFont val="細明體"/>
            <family val="3"/>
            <charset val="136"/>
          </rPr>
          <t>重考扣分</t>
        </r>
        <r>
          <rPr>
            <b/>
            <sz val="9"/>
            <color indexed="81"/>
            <rFont val="Tahoma"/>
            <family val="2"/>
          </rPr>
          <t>:</t>
        </r>
        <r>
          <rPr>
            <sz val="9"/>
            <color indexed="81"/>
            <rFont val="Tahoma"/>
            <family val="2"/>
          </rPr>
          <t xml:space="preserve"> 6%</t>
        </r>
        <r>
          <rPr>
            <sz val="9"/>
            <color indexed="81"/>
            <rFont val="細明體"/>
            <family val="3"/>
            <charset val="136"/>
          </rPr>
          <t>至</t>
        </r>
        <r>
          <rPr>
            <sz val="9"/>
            <color indexed="81"/>
            <rFont val="Tahoma"/>
            <family val="2"/>
          </rPr>
          <t>10%
(</t>
        </r>
        <r>
          <rPr>
            <sz val="9"/>
            <color indexed="81"/>
            <rFont val="細明體"/>
            <family val="3"/>
            <charset val="136"/>
          </rPr>
          <t>此處作</t>
        </r>
        <r>
          <rPr>
            <sz val="9"/>
            <color indexed="81"/>
            <rFont val="Tahoma"/>
            <family val="2"/>
          </rPr>
          <t>10%)</t>
        </r>
      </text>
    </comment>
    <comment ref="L38" authorId="0" shapeId="0" xr:uid="{00000000-0006-0000-0A00-00005C000000}">
      <text>
        <r>
          <rPr>
            <b/>
            <sz val="9"/>
            <color indexed="81"/>
            <rFont val="Tahoma"/>
            <family val="2"/>
          </rPr>
          <t xml:space="preserve">Intake quota 30-50 </t>
        </r>
        <r>
          <rPr>
            <sz val="9"/>
            <color indexed="81"/>
            <rFont val="Tahoma"/>
            <family val="2"/>
          </rPr>
          <t xml:space="preserve">(combined figure of 265 for programmes JS4501 and JS4502)
</t>
        </r>
      </text>
    </comment>
    <comment ref="N38" authorId="1" shapeId="0" xr:uid="{00000000-0006-0000-0A00-00005D000000}">
      <text>
        <r>
          <rPr>
            <b/>
            <sz val="9"/>
            <color indexed="81"/>
            <rFont val="細明體"/>
            <family val="3"/>
            <charset val="136"/>
          </rPr>
          <t>前</t>
        </r>
        <r>
          <rPr>
            <b/>
            <sz val="9"/>
            <color indexed="81"/>
            <rFont val="Tahoma"/>
            <family val="2"/>
          </rPr>
          <t>:</t>
        </r>
        <r>
          <rPr>
            <sz val="9"/>
            <color indexed="81"/>
            <rFont val="Tahoma"/>
            <family val="2"/>
          </rPr>
          <t xml:space="preserve"> 21, 28 May &amp; 4, 22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S38" authorId="1" shapeId="0" xr:uid="{00000000-0006-0000-0A00-00005E000000}">
      <text>
        <r>
          <rPr>
            <b/>
            <sz val="9"/>
            <color indexed="81"/>
            <rFont val="細明體"/>
            <family val="3"/>
            <charset val="136"/>
          </rPr>
          <t>以下一科</t>
        </r>
        <r>
          <rPr>
            <b/>
            <sz val="9"/>
            <color indexed="81"/>
            <rFont val="Tahoma"/>
            <family val="2"/>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生物</t>
        </r>
      </text>
    </comment>
    <comment ref="C39" authorId="0" shapeId="0" xr:uid="{00000000-0006-0000-0A00-00005F000000}">
      <text>
        <r>
          <rPr>
            <b/>
            <sz val="9"/>
            <color indexed="81"/>
            <rFont val="細明體"/>
            <family val="3"/>
            <charset val="136"/>
          </rPr>
          <t>優先考慮修讀以下科目者</t>
        </r>
        <r>
          <rPr>
            <b/>
            <sz val="9"/>
            <color indexed="81"/>
            <rFont val="Tahoma"/>
            <family val="2"/>
          </rPr>
          <t>:</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E39" authorId="0" shapeId="0" xr:uid="{00000000-0006-0000-0A00-000060000000}">
      <text>
        <r>
          <rPr>
            <b/>
            <sz val="9"/>
            <color indexed="81"/>
            <rFont val="細明體"/>
            <family val="3"/>
            <charset val="136"/>
          </rPr>
          <t>較高比重科目</t>
        </r>
        <r>
          <rPr>
            <b/>
            <sz val="9"/>
            <color indexed="81"/>
            <rFont val="Tahoma"/>
            <family val="2"/>
          </rPr>
          <t>:</t>
        </r>
        <r>
          <rPr>
            <sz val="9"/>
            <color indexed="81"/>
            <rFont val="Tahoma"/>
            <family val="2"/>
          </rPr>
          <t xml:space="preserve">
</t>
        </r>
        <r>
          <rPr>
            <sz val="9"/>
            <color indexed="81"/>
            <rFont val="細明體"/>
            <family val="3"/>
            <charset val="136"/>
          </rPr>
          <t>物理、生物、化學、組合科學、綜合科學</t>
        </r>
        <r>
          <rPr>
            <sz val="9"/>
            <color indexed="81"/>
            <rFont val="Tahoma"/>
            <family val="2"/>
          </rPr>
          <t xml:space="preserve">
(</t>
        </r>
        <r>
          <rPr>
            <sz val="9"/>
            <color indexed="81"/>
            <rFont val="細明體"/>
            <family val="3"/>
            <charset val="136"/>
          </rPr>
          <t>此處作</t>
        </r>
        <r>
          <rPr>
            <sz val="9"/>
            <color indexed="81"/>
            <rFont val="Tahoma"/>
            <family val="2"/>
          </rPr>
          <t>x1.5)</t>
        </r>
      </text>
    </comment>
    <comment ref="N39" authorId="1" shapeId="0" xr:uid="{00000000-0006-0000-0A00-000061000000}">
      <text>
        <r>
          <rPr>
            <sz val="9"/>
            <color indexed="81"/>
            <rFont val="Tahoma"/>
            <family val="2"/>
          </rPr>
          <t>(On a selective basis)</t>
        </r>
      </text>
    </comment>
    <comment ref="I40" authorId="0" shapeId="0" xr:uid="{00000000-0006-0000-0A00-000062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t>
        </r>
      </text>
    </comment>
    <comment ref="N40" authorId="1" shapeId="0" xr:uid="{00000000-0006-0000-0A00-000063000000}">
      <text>
        <r>
          <rPr>
            <b/>
            <sz val="9"/>
            <color indexed="81"/>
            <rFont val="細明體"/>
            <family val="3"/>
            <charset val="136"/>
          </rPr>
          <t>前</t>
        </r>
        <r>
          <rPr>
            <b/>
            <sz val="9"/>
            <color indexed="81"/>
            <rFont val="Tahoma"/>
            <family val="2"/>
          </rPr>
          <t>:</t>
        </r>
        <r>
          <rPr>
            <sz val="9"/>
            <color indexed="81"/>
            <rFont val="Tahoma"/>
            <family val="2"/>
          </rPr>
          <t xml:space="preserve"> 22-24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C42" authorId="0" shapeId="0" xr:uid="{00000000-0006-0000-0A00-000064000000}">
      <text>
        <r>
          <rPr>
            <b/>
            <sz val="9"/>
            <color indexed="81"/>
            <rFont val="細明體"/>
            <family val="3"/>
            <charset val="136"/>
          </rPr>
          <t>優先考慮修讀以下科目者</t>
        </r>
        <r>
          <rPr>
            <b/>
            <sz val="9"/>
            <color indexed="81"/>
            <rFont val="Tahoma"/>
            <family val="2"/>
          </rPr>
          <t xml:space="preserve">:
</t>
        </r>
        <r>
          <rPr>
            <sz val="9"/>
            <color indexed="81"/>
            <rFont val="Tahoma"/>
            <family val="2"/>
          </rPr>
          <t xml:space="preserve">-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N42" authorId="1" shapeId="0" xr:uid="{00000000-0006-0000-0A00-000065000000}">
      <text>
        <r>
          <rPr>
            <b/>
            <sz val="9"/>
            <color indexed="81"/>
            <rFont val="細明體"/>
            <family val="3"/>
            <charset val="136"/>
          </rPr>
          <t>前</t>
        </r>
        <r>
          <rPr>
            <b/>
            <sz val="9"/>
            <color indexed="81"/>
            <rFont val="Tahoma"/>
            <family val="2"/>
          </rPr>
          <t>:</t>
        </r>
        <r>
          <rPr>
            <sz val="9"/>
            <color indexed="81"/>
            <rFont val="Tahoma"/>
            <family val="2"/>
          </rPr>
          <t xml:space="preserve"> </t>
        </r>
        <r>
          <rPr>
            <sz val="9"/>
            <color indexed="81"/>
            <rFont val="細明體"/>
            <family val="3"/>
            <charset val="136"/>
          </rPr>
          <t>未公佈</t>
        </r>
        <r>
          <rPr>
            <sz val="9"/>
            <color indexed="81"/>
            <rFont val="Tahoma"/>
            <family val="2"/>
          </rPr>
          <t xml:space="preserve">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C43" authorId="0" shapeId="0" xr:uid="{00000000-0006-0000-0A00-000066000000}">
      <text>
        <r>
          <rPr>
            <sz val="9"/>
            <color indexed="81"/>
            <rFont val="細明體"/>
            <family val="3"/>
            <charset val="136"/>
          </rPr>
          <t>只考慮</t>
        </r>
        <r>
          <rPr>
            <b/>
            <sz val="9"/>
            <color indexed="81"/>
            <rFont val="細明體"/>
            <family val="3"/>
            <charset val="136"/>
          </rPr>
          <t>甲類科目</t>
        </r>
      </text>
    </comment>
    <comment ref="N43" authorId="1" shapeId="0" xr:uid="{00000000-0006-0000-0A00-000067000000}">
      <text>
        <r>
          <rPr>
            <sz val="9"/>
            <color indexed="81"/>
            <rFont val="Tahoma"/>
            <family val="2"/>
          </rPr>
          <t>(On a selective basis)</t>
        </r>
      </text>
    </comment>
    <comment ref="S43" authorId="1" shapeId="0" xr:uid="{00000000-0006-0000-0A00-000068000000}">
      <text>
        <r>
          <rPr>
            <b/>
            <sz val="9"/>
            <color indexed="81"/>
            <rFont val="細明體"/>
            <family val="3"/>
            <charset val="136"/>
          </rPr>
          <t>以下一科</t>
        </r>
        <r>
          <rPr>
            <b/>
            <sz val="9"/>
            <color indexed="81"/>
            <rFont val="Tahoma"/>
            <family val="2"/>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生物</t>
        </r>
      </text>
    </comment>
    <comment ref="C44" authorId="0" shapeId="0" xr:uid="{00000000-0006-0000-0A00-000069000000}">
      <text>
        <r>
          <rPr>
            <b/>
            <sz val="9"/>
            <color indexed="81"/>
            <rFont val="細明體"/>
            <family val="3"/>
            <charset val="136"/>
          </rPr>
          <t xml:space="preserve">只考慮甲類科目
</t>
        </r>
        <r>
          <rPr>
            <sz val="9"/>
            <color indexed="81"/>
            <rFont val="細明體"/>
            <family val="3"/>
            <charset val="136"/>
          </rPr>
          <t>及</t>
        </r>
        <r>
          <rPr>
            <b/>
            <sz val="9"/>
            <color indexed="81"/>
            <rFont val="Tahoma"/>
            <family val="2"/>
          </rPr>
          <t xml:space="preserve">
</t>
        </r>
        <r>
          <rPr>
            <b/>
            <sz val="9"/>
            <color indexed="81"/>
            <rFont val="細明體"/>
            <family val="3"/>
            <charset val="136"/>
          </rPr>
          <t>優先考慮修讀以下科目者</t>
        </r>
        <r>
          <rPr>
            <b/>
            <sz val="9"/>
            <color indexed="81"/>
            <rFont val="Tahoma"/>
            <family val="2"/>
          </rPr>
          <t xml:space="preserve">:
</t>
        </r>
        <r>
          <rPr>
            <sz val="9"/>
            <color indexed="81"/>
            <rFont val="Tahoma"/>
            <family val="2"/>
          </rPr>
          <t xml:space="preserve">- M1/2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經濟
</t>
        </r>
        <r>
          <rPr>
            <sz val="9"/>
            <color indexed="81"/>
            <rFont val="Tahoma"/>
            <family val="2"/>
          </rPr>
          <t xml:space="preserve">- </t>
        </r>
        <r>
          <rPr>
            <sz val="9"/>
            <color indexed="81"/>
            <rFont val="細明體"/>
            <family val="3"/>
            <charset val="136"/>
          </rPr>
          <t xml:space="preserve">地理
</t>
        </r>
        <r>
          <rPr>
            <sz val="9"/>
            <color indexed="81"/>
            <rFont val="Tahoma"/>
            <family val="2"/>
          </rPr>
          <t>- ICT</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t>
        </r>
        <r>
          <rPr>
            <sz val="9"/>
            <color indexed="81"/>
            <rFont val="細明體"/>
            <family val="3"/>
            <charset val="136"/>
          </rPr>
          <t>科技與生活</t>
        </r>
      </text>
    </comment>
    <comment ref="E44" authorId="0" shapeId="0" xr:uid="{00000000-0006-0000-0A00-00006A000000}">
      <text>
        <r>
          <rPr>
            <b/>
            <sz val="9"/>
            <color indexed="81"/>
            <rFont val="Tahoma"/>
            <family val="2"/>
          </rPr>
          <t xml:space="preserve">x2: </t>
        </r>
        <r>
          <rPr>
            <sz val="9"/>
            <color indexed="81"/>
            <rFont val="細明體"/>
            <family val="3"/>
            <charset val="136"/>
          </rPr>
          <t>數學、</t>
        </r>
        <r>
          <rPr>
            <sz val="9"/>
            <color indexed="81"/>
            <rFont val="Tahoma"/>
            <family val="2"/>
          </rPr>
          <t>M1/2</t>
        </r>
        <r>
          <rPr>
            <sz val="9"/>
            <color indexed="81"/>
            <rFont val="細明體"/>
            <family val="3"/>
            <charset val="136"/>
          </rPr>
          <t xml:space="preserve">、物理、生物、化學、組合科學、綜合科學
</t>
        </r>
        <r>
          <rPr>
            <b/>
            <sz val="9"/>
            <color indexed="81"/>
            <rFont val="Tahoma"/>
            <family val="2"/>
          </rPr>
          <t>x1.5:</t>
        </r>
        <r>
          <rPr>
            <sz val="9"/>
            <color indexed="81"/>
            <rFont val="Tahoma"/>
            <family val="2"/>
          </rPr>
          <t xml:space="preserve"> </t>
        </r>
        <r>
          <rPr>
            <sz val="9"/>
            <color indexed="81"/>
            <rFont val="細明體"/>
            <family val="3"/>
            <charset val="136"/>
          </rPr>
          <t>中文或英文、經濟、地理、</t>
        </r>
        <r>
          <rPr>
            <sz val="9"/>
            <color indexed="81"/>
            <rFont val="Tahoma"/>
            <family val="2"/>
          </rPr>
          <t>ICT</t>
        </r>
        <r>
          <rPr>
            <sz val="9"/>
            <color indexed="81"/>
            <rFont val="細明體"/>
            <family val="3"/>
            <charset val="136"/>
          </rPr>
          <t>、科技與生活</t>
        </r>
        <r>
          <rPr>
            <sz val="9"/>
            <color indexed="81"/>
            <rFont val="Tahoma"/>
            <family val="2"/>
          </rPr>
          <t xml:space="preserve">
</t>
        </r>
        <r>
          <rPr>
            <b/>
            <sz val="9"/>
            <color indexed="81"/>
            <rFont val="Tahoma"/>
            <family val="2"/>
          </rPr>
          <t xml:space="preserve">
</t>
        </r>
        <r>
          <rPr>
            <b/>
            <sz val="9"/>
            <color indexed="81"/>
            <rFont val="細明體"/>
            <family val="3"/>
            <charset val="136"/>
          </rPr>
          <t>註</t>
        </r>
        <r>
          <rPr>
            <b/>
            <sz val="9"/>
            <color indexed="81"/>
            <rFont val="Tahoma"/>
            <family val="2"/>
          </rPr>
          <t xml:space="preserve">: </t>
        </r>
        <r>
          <rPr>
            <b/>
            <sz val="9"/>
            <color indexed="81"/>
            <rFont val="細明體"/>
            <family val="3"/>
            <charset val="136"/>
          </rPr>
          <t>只有最多三科將會用以計算比重</t>
        </r>
      </text>
    </comment>
    <comment ref="N44" authorId="1" shapeId="0" xr:uid="{00000000-0006-0000-0A00-00006B000000}">
      <text>
        <r>
          <rPr>
            <b/>
            <sz val="9"/>
            <color indexed="81"/>
            <rFont val="細明體"/>
            <family val="3"/>
            <charset val="136"/>
          </rPr>
          <t>前</t>
        </r>
        <r>
          <rPr>
            <b/>
            <sz val="9"/>
            <color indexed="81"/>
            <rFont val="Tahoma"/>
            <family val="2"/>
          </rPr>
          <t>:</t>
        </r>
        <r>
          <rPr>
            <sz val="9"/>
            <color indexed="81"/>
            <rFont val="Tahoma"/>
            <family val="2"/>
          </rPr>
          <t xml:space="preserve"> 24-27 May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S44" authorId="1" shapeId="0" xr:uid="{00000000-0006-0000-0A00-00006C000000}">
      <text>
        <r>
          <rPr>
            <b/>
            <sz val="9"/>
            <color indexed="81"/>
            <rFont val="細明體"/>
            <family val="3"/>
            <charset val="136"/>
          </rPr>
          <t>以下一科</t>
        </r>
        <r>
          <rPr>
            <b/>
            <sz val="9"/>
            <color indexed="81"/>
            <rFont val="Tahoma"/>
            <family val="2"/>
          </rPr>
          <t>:</t>
        </r>
        <r>
          <rPr>
            <sz val="9"/>
            <color indexed="81"/>
            <rFont val="Tahoma"/>
            <family val="2"/>
          </rPr>
          <t xml:space="preserve">
- M1/M2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綜合科學</t>
        </r>
      </text>
    </comment>
    <comment ref="E45" authorId="0" shapeId="0" xr:uid="{00000000-0006-0000-0A00-00006D000000}">
      <text>
        <r>
          <rPr>
            <b/>
            <sz val="9"/>
            <color indexed="81"/>
            <rFont val="細明體"/>
            <family val="3"/>
            <charset val="136"/>
          </rPr>
          <t>較高比重科目</t>
        </r>
        <r>
          <rPr>
            <b/>
            <sz val="9"/>
            <color indexed="81"/>
            <rFont val="Tahoma"/>
            <family val="2"/>
          </rPr>
          <t>:</t>
        </r>
        <r>
          <rPr>
            <sz val="9"/>
            <color indexed="81"/>
            <rFont val="Tahoma"/>
            <family val="2"/>
          </rPr>
          <t xml:space="preserve">
</t>
        </r>
        <r>
          <rPr>
            <sz val="9"/>
            <color indexed="81"/>
            <rFont val="細明體"/>
            <family val="3"/>
            <charset val="136"/>
          </rPr>
          <t>英文、數學、</t>
        </r>
        <r>
          <rPr>
            <sz val="9"/>
            <color indexed="81"/>
            <rFont val="Tahoma"/>
            <family val="2"/>
          </rPr>
          <t>M1/2</t>
        </r>
        <r>
          <rPr>
            <sz val="9"/>
            <color indexed="81"/>
            <rFont val="細明體"/>
            <family val="3"/>
            <charset val="136"/>
          </rPr>
          <t>、物理、生物、化學、組合科學、綜合科學、地理</t>
        </r>
        <r>
          <rPr>
            <sz val="9"/>
            <color indexed="81"/>
            <rFont val="Tahoma"/>
            <family val="2"/>
          </rPr>
          <t xml:space="preserve">
(</t>
        </r>
        <r>
          <rPr>
            <sz val="9"/>
            <color indexed="81"/>
            <rFont val="細明體"/>
            <family val="3"/>
            <charset val="136"/>
          </rPr>
          <t>此處作</t>
        </r>
        <r>
          <rPr>
            <sz val="9"/>
            <color indexed="81"/>
            <rFont val="Tahoma"/>
            <family val="2"/>
          </rPr>
          <t>x1.5)</t>
        </r>
      </text>
    </comment>
    <comment ref="N45" authorId="1" shapeId="0" xr:uid="{00000000-0006-0000-0A00-00006E000000}">
      <text>
        <r>
          <rPr>
            <sz val="9"/>
            <color indexed="81"/>
            <rFont val="Tahoma"/>
            <family val="2"/>
          </rPr>
          <t>24-25 May
(On a selective basis)</t>
        </r>
      </text>
    </comment>
    <comment ref="S45" authorId="1" shapeId="0" xr:uid="{00000000-0006-0000-0A00-00006F000000}">
      <text>
        <r>
          <rPr>
            <b/>
            <sz val="9"/>
            <color indexed="81"/>
            <rFont val="細明體"/>
            <family val="3"/>
            <charset val="136"/>
          </rPr>
          <t>以下一科</t>
        </r>
        <r>
          <rPr>
            <b/>
            <sz val="9"/>
            <color indexed="81"/>
            <rFont val="Tahoma"/>
            <family val="2"/>
          </rPr>
          <t xml:space="preserve">:
</t>
        </r>
        <r>
          <rPr>
            <sz val="9"/>
            <color indexed="81"/>
            <rFont val="Tahoma"/>
            <family val="2"/>
          </rPr>
          <t>- M1/M2</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地理</t>
        </r>
      </text>
    </comment>
    <comment ref="T45" authorId="1" shapeId="0" xr:uid="{00000000-0006-0000-0A00-000070000000}">
      <text>
        <r>
          <rPr>
            <b/>
            <sz val="9"/>
            <color indexed="81"/>
            <rFont val="細明體"/>
            <family val="3"/>
            <charset val="136"/>
          </rPr>
          <t>以下一科</t>
        </r>
        <r>
          <rPr>
            <b/>
            <sz val="9"/>
            <color indexed="81"/>
            <rFont val="Tahoma"/>
            <family val="2"/>
          </rPr>
          <t>:</t>
        </r>
        <r>
          <rPr>
            <sz val="9"/>
            <color indexed="81"/>
            <rFont val="Tahoma"/>
            <family val="2"/>
          </rPr>
          <t xml:space="preserve">
- M1/M2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t>
        </r>
        <r>
          <rPr>
            <sz val="9"/>
            <color indexed="81"/>
            <rFont val="細明體"/>
            <family val="3"/>
            <charset val="136"/>
          </rPr>
          <t>地理</t>
        </r>
      </text>
    </comment>
    <comment ref="C46" authorId="0" shapeId="0" xr:uid="{00000000-0006-0000-0A00-000071000000}">
      <text>
        <r>
          <rPr>
            <sz val="9"/>
            <color indexed="81"/>
            <rFont val="細明體"/>
            <family val="3"/>
            <charset val="136"/>
          </rPr>
          <t>優先考慮</t>
        </r>
        <r>
          <rPr>
            <sz val="9"/>
            <color indexed="81"/>
            <rFont val="Tahoma"/>
            <family val="2"/>
          </rPr>
          <t xml:space="preserve"> </t>
        </r>
        <r>
          <rPr>
            <b/>
            <sz val="9"/>
            <color indexed="81"/>
            <rFont val="Tahoma"/>
            <family val="2"/>
          </rPr>
          <t>M1/2</t>
        </r>
        <r>
          <rPr>
            <sz val="9"/>
            <color indexed="81"/>
            <rFont val="Tahoma"/>
            <family val="2"/>
          </rPr>
          <t xml:space="preserve"> </t>
        </r>
        <r>
          <rPr>
            <sz val="9"/>
            <color indexed="81"/>
            <rFont val="細明體"/>
            <family val="3"/>
            <charset val="136"/>
          </rPr>
          <t>成績優異者</t>
        </r>
      </text>
    </comment>
    <comment ref="E46" authorId="0" shapeId="0" xr:uid="{00000000-0006-0000-0A00-000072000000}">
      <text>
        <r>
          <rPr>
            <sz val="9"/>
            <color indexed="81"/>
            <rFont val="Tahoma"/>
            <family val="2"/>
          </rPr>
          <t xml:space="preserve">M1/2 </t>
        </r>
        <r>
          <rPr>
            <sz val="9"/>
            <color indexed="81"/>
            <rFont val="細明體"/>
            <family val="3"/>
            <charset val="136"/>
          </rPr>
          <t xml:space="preserve">有更高比重
</t>
        </r>
        <r>
          <rPr>
            <sz val="9"/>
            <color indexed="81"/>
            <rFont val="Tahoma"/>
            <family val="2"/>
          </rPr>
          <t>(</t>
        </r>
        <r>
          <rPr>
            <sz val="9"/>
            <color indexed="81"/>
            <rFont val="細明體"/>
            <family val="3"/>
            <charset val="136"/>
          </rPr>
          <t>此處作</t>
        </r>
        <r>
          <rPr>
            <sz val="9"/>
            <color indexed="81"/>
            <rFont val="Tahoma"/>
            <family val="2"/>
          </rPr>
          <t>x2)</t>
        </r>
      </text>
    </comment>
    <comment ref="N46" authorId="1" shapeId="0" xr:uid="{00000000-0006-0000-0A00-000073000000}">
      <text>
        <r>
          <rPr>
            <sz val="9"/>
            <color indexed="81"/>
            <rFont val="Tahoma"/>
            <family val="2"/>
          </rPr>
          <t>31 May - 2 Jun
(On a selective basis)</t>
        </r>
      </text>
    </comment>
    <comment ref="S46" authorId="1" shapeId="0" xr:uid="{00000000-0006-0000-0A00-000074000000}">
      <text>
        <r>
          <rPr>
            <b/>
            <sz val="9"/>
            <color indexed="81"/>
            <rFont val="細明體"/>
            <family val="3"/>
            <charset val="136"/>
          </rPr>
          <t>以下一科</t>
        </r>
        <r>
          <rPr>
            <b/>
            <sz val="9"/>
            <color indexed="81"/>
            <rFont val="Tahoma"/>
            <family val="2"/>
          </rPr>
          <t>:</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物理
</t>
        </r>
        <r>
          <rPr>
            <sz val="9"/>
            <color indexed="81"/>
            <rFont val="Tahoma"/>
            <family val="2"/>
          </rPr>
          <t xml:space="preserve">- </t>
        </r>
        <r>
          <rPr>
            <sz val="9"/>
            <color indexed="81"/>
            <rFont val="細明體"/>
            <family val="3"/>
            <charset val="136"/>
          </rPr>
          <t xml:space="preserve">經濟
</t>
        </r>
        <r>
          <rPr>
            <sz val="9"/>
            <color indexed="81"/>
            <rFont val="Tahoma"/>
            <family val="2"/>
          </rPr>
          <t xml:space="preserve">- </t>
        </r>
        <r>
          <rPr>
            <sz val="9"/>
            <color indexed="81"/>
            <rFont val="細明體"/>
            <family val="3"/>
            <charset val="136"/>
          </rPr>
          <t xml:space="preserve">地理
</t>
        </r>
        <r>
          <rPr>
            <sz val="9"/>
            <color indexed="81"/>
            <rFont val="Tahoma"/>
            <family val="2"/>
          </rPr>
          <t>- ICT</t>
        </r>
        <r>
          <rPr>
            <sz val="9"/>
            <color indexed="81"/>
            <rFont val="細明體"/>
            <family val="3"/>
            <charset val="136"/>
          </rPr>
          <t xml:space="preserve">
</t>
        </r>
        <r>
          <rPr>
            <sz val="9"/>
            <color indexed="81"/>
            <rFont val="Tahoma"/>
            <family val="2"/>
          </rPr>
          <t xml:space="preserve">-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t>
        </r>
        <r>
          <rPr>
            <sz val="9"/>
            <color indexed="81"/>
            <rFont val="細明體"/>
            <family val="3"/>
            <charset val="136"/>
          </rPr>
          <t>科技與生活</t>
        </r>
        <r>
          <rPr>
            <sz val="9"/>
            <color indexed="81"/>
            <rFont val="Tahoma"/>
            <family val="2"/>
          </rPr>
          <t xml:space="preserve"> (</t>
        </r>
        <r>
          <rPr>
            <sz val="9"/>
            <color indexed="81"/>
            <rFont val="細明體"/>
            <family val="3"/>
            <charset val="136"/>
          </rPr>
          <t>食品科學與科技</t>
        </r>
        <r>
          <rPr>
            <sz val="9"/>
            <color indexed="81"/>
            <rFont val="Tahoma"/>
            <family val="2"/>
          </rPr>
          <t>)</t>
        </r>
      </text>
    </comment>
    <comment ref="T46" authorId="1" shapeId="0" xr:uid="{00000000-0006-0000-0A00-000075000000}">
      <text>
        <r>
          <rPr>
            <sz val="9"/>
            <color indexed="81"/>
            <rFont val="細明體"/>
            <family val="3"/>
            <charset val="136"/>
          </rPr>
          <t>必須修讀</t>
        </r>
        <r>
          <rPr>
            <b/>
            <sz val="9"/>
            <color indexed="81"/>
            <rFont val="Tahoma"/>
            <family val="2"/>
          </rPr>
          <t>M1/2</t>
        </r>
      </text>
    </comment>
    <comment ref="C47" authorId="0" shapeId="0" xr:uid="{00000000-0006-0000-0A00-000076000000}">
      <text>
        <r>
          <rPr>
            <sz val="9"/>
            <color indexed="81"/>
            <rFont val="細明體"/>
            <family val="3"/>
            <charset val="136"/>
          </rPr>
          <t>優先考慮修讀</t>
        </r>
        <r>
          <rPr>
            <sz val="9"/>
            <color indexed="81"/>
            <rFont val="Tahoma"/>
            <family val="2"/>
          </rPr>
          <t xml:space="preserve"> M1/2 </t>
        </r>
        <r>
          <rPr>
            <sz val="9"/>
            <color indexed="81"/>
            <rFont val="細明體"/>
            <family val="3"/>
            <charset val="136"/>
          </rPr>
          <t>者</t>
        </r>
      </text>
    </comment>
    <comment ref="E47" authorId="0" shapeId="0" xr:uid="{00000000-0006-0000-0A00-000077000000}">
      <text>
        <r>
          <rPr>
            <b/>
            <sz val="9"/>
            <color indexed="81"/>
            <rFont val="細明體"/>
            <family val="3"/>
            <charset val="136"/>
          </rPr>
          <t>較高比重科目</t>
        </r>
        <r>
          <rPr>
            <b/>
            <sz val="9"/>
            <color indexed="81"/>
            <rFont val="Tahoma"/>
            <family val="2"/>
          </rPr>
          <t>:</t>
        </r>
        <r>
          <rPr>
            <sz val="9"/>
            <color indexed="81"/>
            <rFont val="Tahoma"/>
            <family val="2"/>
          </rPr>
          <t xml:space="preserve">
</t>
        </r>
        <r>
          <rPr>
            <sz val="9"/>
            <color indexed="81"/>
            <rFont val="細明體"/>
            <family val="3"/>
            <charset val="136"/>
          </rPr>
          <t>數學、</t>
        </r>
        <r>
          <rPr>
            <sz val="9"/>
            <color indexed="81"/>
            <rFont val="Tahoma"/>
            <family val="2"/>
          </rPr>
          <t>M1/2</t>
        </r>
        <r>
          <rPr>
            <sz val="9"/>
            <color indexed="81"/>
            <rFont val="細明體"/>
            <family val="3"/>
            <charset val="136"/>
          </rPr>
          <t>、物理</t>
        </r>
        <r>
          <rPr>
            <sz val="9"/>
            <color indexed="81"/>
            <rFont val="Tahoma"/>
            <family val="2"/>
          </rPr>
          <t xml:space="preserve">
(</t>
        </r>
        <r>
          <rPr>
            <sz val="9"/>
            <color indexed="81"/>
            <rFont val="細明體"/>
            <family val="3"/>
            <charset val="136"/>
          </rPr>
          <t>此處作</t>
        </r>
        <r>
          <rPr>
            <sz val="9"/>
            <color indexed="81"/>
            <rFont val="Tahoma"/>
            <family val="2"/>
          </rPr>
          <t>x1.5)</t>
        </r>
      </text>
    </comment>
    <comment ref="N47" authorId="1" shapeId="0" xr:uid="{00000000-0006-0000-0A00-000078000000}">
      <text>
        <r>
          <rPr>
            <sz val="9"/>
            <color indexed="81"/>
            <rFont val="Tahoma"/>
            <family val="2"/>
          </rPr>
          <t>27-28 May
(On a selective basis)</t>
        </r>
      </text>
    </comment>
    <comment ref="S47" authorId="1" shapeId="0" xr:uid="{00000000-0006-0000-0A00-000079000000}">
      <text>
        <r>
          <rPr>
            <sz val="9"/>
            <color indexed="81"/>
            <rFont val="細明體"/>
            <family val="3"/>
            <charset val="136"/>
          </rPr>
          <t>必須修讀</t>
        </r>
        <r>
          <rPr>
            <b/>
            <sz val="9"/>
            <color indexed="81"/>
            <rFont val="細明體"/>
            <family val="3"/>
            <charset val="136"/>
          </rPr>
          <t xml:space="preserve"> 物理</t>
        </r>
      </text>
    </comment>
    <comment ref="T47" authorId="1" shapeId="0" xr:uid="{00000000-0006-0000-0A00-00007A000000}">
      <text>
        <r>
          <rPr>
            <b/>
            <sz val="9"/>
            <color indexed="81"/>
            <rFont val="細明體"/>
            <family val="3"/>
            <charset val="136"/>
          </rPr>
          <t>以下一科</t>
        </r>
        <r>
          <rPr>
            <b/>
            <sz val="9"/>
            <color indexed="81"/>
            <rFont val="Tahoma"/>
            <family val="2"/>
          </rPr>
          <t xml:space="preserve">:
</t>
        </r>
        <r>
          <rPr>
            <sz val="9"/>
            <color indexed="81"/>
            <rFont val="Tahoma"/>
            <family val="2"/>
          </rPr>
          <t>- M1/2 (</t>
        </r>
        <r>
          <rPr>
            <sz val="9"/>
            <color indexed="81"/>
            <rFont val="細明體"/>
            <family val="3"/>
            <charset val="136"/>
          </rPr>
          <t>優先考慮</t>
        </r>
        <r>
          <rPr>
            <sz val="9"/>
            <color indexed="81"/>
            <rFont val="Tahoma"/>
            <family val="2"/>
          </rPr>
          <t xml:space="preserve">)
- </t>
        </r>
        <r>
          <rPr>
            <sz val="9"/>
            <color indexed="81"/>
            <rFont val="細明體"/>
            <family val="3"/>
            <charset val="136"/>
          </rPr>
          <t xml:space="preserve">生物
</t>
        </r>
        <r>
          <rPr>
            <sz val="9"/>
            <color indexed="81"/>
            <rFont val="Tahoma"/>
            <family val="2"/>
          </rPr>
          <t xml:space="preserve">- </t>
        </r>
        <r>
          <rPr>
            <sz val="9"/>
            <color indexed="81"/>
            <rFont val="細明體"/>
            <family val="3"/>
            <charset val="136"/>
          </rPr>
          <t xml:space="preserve">化學
</t>
        </r>
        <r>
          <rPr>
            <sz val="9"/>
            <color indexed="81"/>
            <rFont val="Tahoma"/>
            <family val="2"/>
          </rPr>
          <t xml:space="preserve">- </t>
        </r>
        <r>
          <rPr>
            <sz val="9"/>
            <color indexed="81"/>
            <rFont val="細明體"/>
            <family val="3"/>
            <charset val="136"/>
          </rPr>
          <t xml:space="preserve">經濟
</t>
        </r>
        <r>
          <rPr>
            <sz val="9"/>
            <color indexed="81"/>
            <rFont val="Tahoma"/>
            <family val="2"/>
          </rPr>
          <t xml:space="preserve">- </t>
        </r>
        <r>
          <rPr>
            <sz val="9"/>
            <color indexed="81"/>
            <rFont val="細明體"/>
            <family val="3"/>
            <charset val="136"/>
          </rPr>
          <t xml:space="preserve">地理
</t>
        </r>
        <r>
          <rPr>
            <sz val="9"/>
            <color indexed="81"/>
            <rFont val="Tahoma"/>
            <family val="2"/>
          </rPr>
          <t xml:space="preserve">- ICT
- </t>
        </r>
        <r>
          <rPr>
            <sz val="9"/>
            <color indexed="81"/>
            <rFont val="細明體"/>
            <family val="3"/>
            <charset val="136"/>
          </rPr>
          <t xml:space="preserve">組合科學
</t>
        </r>
        <r>
          <rPr>
            <sz val="9"/>
            <color indexed="81"/>
            <rFont val="Tahoma"/>
            <family val="2"/>
          </rPr>
          <t xml:space="preserve">- </t>
        </r>
        <r>
          <rPr>
            <sz val="9"/>
            <color indexed="81"/>
            <rFont val="細明體"/>
            <family val="3"/>
            <charset val="136"/>
          </rPr>
          <t xml:space="preserve">綜合科學
</t>
        </r>
        <r>
          <rPr>
            <sz val="9"/>
            <color indexed="81"/>
            <rFont val="Tahoma"/>
            <family val="2"/>
          </rPr>
          <t xml:space="preserve">- </t>
        </r>
        <r>
          <rPr>
            <sz val="9"/>
            <color indexed="81"/>
            <rFont val="細明體"/>
            <family val="3"/>
            <charset val="136"/>
          </rPr>
          <t>科技與生活</t>
        </r>
        <r>
          <rPr>
            <sz val="9"/>
            <color indexed="81"/>
            <rFont val="Tahoma"/>
            <family val="2"/>
          </rPr>
          <t xml:space="preserve"> (</t>
        </r>
        <r>
          <rPr>
            <sz val="9"/>
            <color indexed="81"/>
            <rFont val="細明體"/>
            <family val="3"/>
            <charset val="136"/>
          </rPr>
          <t>食品科學與科技</t>
        </r>
        <r>
          <rPr>
            <sz val="9"/>
            <color indexed="81"/>
            <rFont val="Tahoma"/>
            <family val="2"/>
          </rPr>
          <t>)</t>
        </r>
      </text>
    </comment>
    <comment ref="C48" authorId="0" shapeId="0" xr:uid="{00000000-0006-0000-0A00-00007B000000}">
      <text>
        <r>
          <rPr>
            <sz val="9"/>
            <color indexed="81"/>
            <rFont val="細明體"/>
            <family val="3"/>
            <charset val="136"/>
          </rPr>
          <t>只考慮</t>
        </r>
        <r>
          <rPr>
            <b/>
            <sz val="9"/>
            <color indexed="81"/>
            <rFont val="細明體"/>
            <family val="3"/>
            <charset val="136"/>
          </rPr>
          <t>甲類科目</t>
        </r>
      </text>
    </comment>
    <comment ref="E48" authorId="0" shapeId="0" xr:uid="{00000000-0006-0000-0A00-00007C000000}">
      <text>
        <r>
          <rPr>
            <b/>
            <sz val="9"/>
            <color indexed="81"/>
            <rFont val="Tahoma"/>
            <family val="2"/>
          </rPr>
          <t xml:space="preserve">x2: </t>
        </r>
        <r>
          <rPr>
            <sz val="9"/>
            <color indexed="81"/>
            <rFont val="細明體"/>
            <family val="3"/>
            <charset val="136"/>
          </rPr>
          <t>數學、</t>
        </r>
        <r>
          <rPr>
            <sz val="9"/>
            <color indexed="81"/>
            <rFont val="Tahoma"/>
            <family val="2"/>
          </rPr>
          <t>M1/2</t>
        </r>
      </text>
    </comment>
    <comment ref="N48" authorId="1" shapeId="0" xr:uid="{00000000-0006-0000-0A00-00007D000000}">
      <text>
        <r>
          <rPr>
            <sz val="9"/>
            <color indexed="81"/>
            <rFont val="Tahoma"/>
            <family val="2"/>
          </rPr>
          <t>9 Jun
(On a selective basis)</t>
        </r>
      </text>
    </comment>
    <comment ref="S48" authorId="1" shapeId="0" xr:uid="{00000000-0006-0000-0A00-00007E000000}">
      <text>
        <r>
          <rPr>
            <sz val="9"/>
            <color indexed="81"/>
            <rFont val="細明體"/>
            <family val="3"/>
            <charset val="136"/>
          </rPr>
          <t>只限甲類科目</t>
        </r>
      </text>
    </comment>
    <comment ref="T48" authorId="1" shapeId="0" xr:uid="{00000000-0006-0000-0A00-00007F000000}">
      <text>
        <r>
          <rPr>
            <sz val="9"/>
            <color indexed="81"/>
            <rFont val="細明體"/>
            <family val="3"/>
            <charset val="136"/>
          </rPr>
          <t xml:space="preserve">必須修讀 </t>
        </r>
        <r>
          <rPr>
            <b/>
            <sz val="9"/>
            <color indexed="81"/>
            <rFont val="Tahoma"/>
            <family val="2"/>
          </rPr>
          <t>M1/2</t>
        </r>
      </text>
    </comment>
    <comment ref="E49" authorId="0" shapeId="0" xr:uid="{00000000-0006-0000-0A00-000080000000}">
      <text>
        <r>
          <rPr>
            <b/>
            <sz val="9"/>
            <color indexed="81"/>
            <rFont val="Tahoma"/>
            <family val="2"/>
          </rPr>
          <t>x1.3:</t>
        </r>
        <r>
          <rPr>
            <sz val="9"/>
            <color indexed="81"/>
            <rFont val="Tahoma"/>
            <family val="2"/>
          </rPr>
          <t xml:space="preserve"> </t>
        </r>
        <r>
          <rPr>
            <sz val="9"/>
            <color indexed="81"/>
            <rFont val="細明體"/>
            <family val="3"/>
            <charset val="136"/>
          </rPr>
          <t>英文</t>
        </r>
      </text>
    </comment>
    <comment ref="N49" authorId="1" shapeId="0" xr:uid="{00000000-0006-0000-0A00-000081000000}">
      <text>
        <r>
          <rPr>
            <sz val="9"/>
            <color indexed="81"/>
            <rFont val="Tahoma"/>
            <family val="2"/>
          </rPr>
          <t>(On a selective basis)</t>
        </r>
      </text>
    </comment>
    <comment ref="C50" authorId="0" shapeId="0" xr:uid="{00000000-0006-0000-0A00-000082000000}">
      <text>
        <r>
          <rPr>
            <sz val="9"/>
            <color indexed="81"/>
            <rFont val="細明體"/>
            <family val="3"/>
            <charset val="136"/>
          </rPr>
          <t>此課程鼓勵</t>
        </r>
        <r>
          <rPr>
            <sz val="9"/>
            <color indexed="81"/>
            <rFont val="細明體"/>
            <family val="3"/>
            <charset val="136"/>
          </rPr>
          <t>申請人向學校遞交</t>
        </r>
        <r>
          <rPr>
            <sz val="9"/>
            <color indexed="81"/>
            <rFont val="Tahoma"/>
            <family val="2"/>
          </rPr>
          <t xml:space="preserve"> </t>
        </r>
        <r>
          <rPr>
            <b/>
            <sz val="9"/>
            <color indexed="81"/>
            <rFont val="細明體"/>
            <family val="3"/>
            <charset val="136"/>
          </rPr>
          <t>設計作品集</t>
        </r>
        <r>
          <rPr>
            <sz val="9"/>
            <color indexed="81"/>
            <rFont val="細明體"/>
            <family val="3"/>
            <charset val="136"/>
          </rPr>
          <t>。</t>
        </r>
        <r>
          <rPr>
            <sz val="9"/>
            <color indexed="81"/>
            <rFont val="Tahoma"/>
            <family val="2"/>
          </rPr>
          <t xml:space="preserve"> </t>
        </r>
        <r>
          <rPr>
            <sz val="9"/>
            <color indexed="81"/>
            <rFont val="細明體"/>
            <family val="3"/>
            <charset val="136"/>
          </rPr>
          <t>詳情請細閱學校網站。</t>
        </r>
        <r>
          <rPr>
            <sz val="9"/>
            <color indexed="81"/>
            <rFont val="Tahoma"/>
            <family val="2"/>
          </rPr>
          <t xml:space="preserve">
www.arch.cuhk.edu.hk/programme/bachelor-social-science-architectural-studies.
</t>
        </r>
      </text>
    </comment>
    <comment ref="E50" authorId="0" shapeId="0" xr:uid="{00000000-0006-0000-0A00-000083000000}">
      <text>
        <r>
          <rPr>
            <b/>
            <sz val="9"/>
            <color indexed="81"/>
            <rFont val="Tahoma"/>
            <family val="2"/>
          </rPr>
          <t>2021</t>
        </r>
        <r>
          <rPr>
            <b/>
            <sz val="9"/>
            <color indexed="81"/>
            <rFont val="細明體"/>
            <family val="3"/>
            <charset val="136"/>
          </rPr>
          <t xml:space="preserve">年將以新比重收生
</t>
        </r>
        <r>
          <rPr>
            <sz val="9"/>
            <color indexed="81"/>
            <rFont val="Tahoma"/>
            <family val="2"/>
          </rPr>
          <t>(</t>
        </r>
        <r>
          <rPr>
            <b/>
            <sz val="9"/>
            <color indexed="81"/>
            <rFont val="Tahoma"/>
            <family val="2"/>
          </rPr>
          <t>x1.5:</t>
        </r>
        <r>
          <rPr>
            <sz val="9"/>
            <color indexed="81"/>
            <rFont val="Tahoma"/>
            <family val="2"/>
          </rPr>
          <t xml:space="preserve"> </t>
        </r>
        <r>
          <rPr>
            <sz val="9"/>
            <color indexed="81"/>
            <rFont val="細明體"/>
            <family val="3"/>
            <charset val="136"/>
          </rPr>
          <t>英文</t>
        </r>
        <r>
          <rPr>
            <sz val="9"/>
            <color indexed="81"/>
            <rFont val="Tahoma"/>
            <family val="2"/>
          </rPr>
          <t>)</t>
        </r>
        <r>
          <rPr>
            <b/>
            <sz val="9"/>
            <color indexed="81"/>
            <rFont val="Tahoma"/>
            <family val="2"/>
          </rPr>
          <t xml:space="preserve">
</t>
        </r>
        <r>
          <rPr>
            <b/>
            <sz val="9"/>
            <color indexed="81"/>
            <rFont val="細明體"/>
            <family val="3"/>
            <charset val="136"/>
          </rPr>
          <t xml:space="preserve">此處將以原有比重作估算，請注意
</t>
        </r>
        <r>
          <rPr>
            <b/>
            <sz val="9"/>
            <color indexed="81"/>
            <rFont val="Tahoma"/>
            <family val="2"/>
          </rPr>
          <t>x1.5:</t>
        </r>
        <r>
          <rPr>
            <sz val="9"/>
            <color indexed="81"/>
            <rFont val="Tahoma"/>
            <family val="2"/>
          </rPr>
          <t xml:space="preserve"> </t>
        </r>
        <r>
          <rPr>
            <sz val="9"/>
            <color indexed="81"/>
            <rFont val="細明體"/>
            <family val="3"/>
            <charset val="136"/>
          </rPr>
          <t>英文、數學</t>
        </r>
      </text>
    </comment>
    <comment ref="M50" authorId="0" shapeId="0" xr:uid="{00000000-0006-0000-0A00-000084000000}">
      <text>
        <r>
          <rPr>
            <sz val="9"/>
            <color indexed="81"/>
            <rFont val="Tahoma"/>
            <family val="2"/>
          </rPr>
          <t xml:space="preserve">Applicants are not required but encouraged to </t>
        </r>
        <r>
          <rPr>
            <b/>
            <sz val="9"/>
            <color indexed="81"/>
            <rFont val="Tahoma"/>
            <family val="2"/>
          </rPr>
          <t>submit a design portfolio</t>
        </r>
        <r>
          <rPr>
            <sz val="9"/>
            <color indexed="81"/>
            <rFont val="Tahoma"/>
            <family val="2"/>
          </rPr>
          <t xml:space="preserve"> to the General Office of the School of Architecture directly. Portfolio guidelines and additional information can be found on the School website 
www.arch.cuhk.edu.hk/programme/bachelor-social-science-architectural-studies.
</t>
        </r>
      </text>
    </comment>
    <comment ref="E51" authorId="0" shapeId="0" xr:uid="{00000000-0006-0000-0A00-000085000000}">
      <text>
        <r>
          <rPr>
            <b/>
            <sz val="9"/>
            <color indexed="81"/>
            <rFont val="Tahoma"/>
            <family val="2"/>
          </rPr>
          <t xml:space="preserve">x1.5: </t>
        </r>
        <r>
          <rPr>
            <sz val="9"/>
            <color indexed="81"/>
            <rFont val="細明體"/>
            <family val="3"/>
            <charset val="136"/>
          </rPr>
          <t>數學、</t>
        </r>
        <r>
          <rPr>
            <sz val="9"/>
            <color indexed="81"/>
            <rFont val="Tahoma"/>
            <family val="2"/>
          </rPr>
          <t xml:space="preserve"> [M1/2</t>
        </r>
        <r>
          <rPr>
            <sz val="9"/>
            <color indexed="81"/>
            <rFont val="細明體"/>
            <family val="3"/>
            <charset val="136"/>
          </rPr>
          <t>、物理、化學及經濟</t>
        </r>
        <r>
          <rPr>
            <sz val="9"/>
            <color indexed="81"/>
            <rFont val="Tahoma"/>
            <family val="2"/>
          </rPr>
          <t xml:space="preserve">] </t>
        </r>
        <r>
          <rPr>
            <sz val="9"/>
            <color indexed="81"/>
            <rFont val="細明體"/>
            <family val="3"/>
            <charset val="136"/>
          </rPr>
          <t>其中最佳一科</t>
        </r>
      </text>
    </comment>
    <comment ref="N51" authorId="1" shapeId="0" xr:uid="{00000000-0006-0000-0A00-000086000000}">
      <text>
        <r>
          <rPr>
            <b/>
            <sz val="9"/>
            <color indexed="81"/>
            <rFont val="細明體"/>
            <family val="3"/>
            <charset val="136"/>
          </rPr>
          <t>前</t>
        </r>
        <r>
          <rPr>
            <b/>
            <sz val="9"/>
            <color indexed="81"/>
            <rFont val="Tahoma"/>
            <family val="2"/>
          </rPr>
          <t>:</t>
        </r>
        <r>
          <rPr>
            <sz val="9"/>
            <color indexed="81"/>
            <rFont val="Tahoma"/>
            <family val="2"/>
          </rPr>
          <t xml:space="preserve"> </t>
        </r>
        <r>
          <rPr>
            <sz val="9"/>
            <color indexed="81"/>
            <rFont val="細明體"/>
            <family val="3"/>
            <charset val="136"/>
          </rPr>
          <t>未公佈</t>
        </r>
        <r>
          <rPr>
            <sz val="9"/>
            <color indexed="81"/>
            <rFont val="Tahoma"/>
            <family val="2"/>
          </rPr>
          <t xml:space="preserve">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E52" authorId="0" shapeId="0" xr:uid="{00000000-0006-0000-0A00-000087000000}">
      <text>
        <r>
          <rPr>
            <b/>
            <sz val="9"/>
            <color indexed="81"/>
            <rFont val="Tahoma"/>
            <family val="2"/>
          </rPr>
          <t xml:space="preserve">x1.5: </t>
        </r>
        <r>
          <rPr>
            <sz val="9"/>
            <color indexed="81"/>
            <rFont val="細明體"/>
            <family val="3"/>
            <charset val="136"/>
          </rPr>
          <t>英文</t>
        </r>
      </text>
    </comment>
    <comment ref="N52" authorId="1" shapeId="0" xr:uid="{00000000-0006-0000-0A00-000088000000}">
      <text>
        <r>
          <rPr>
            <sz val="9"/>
            <color indexed="81"/>
            <rFont val="Tahoma"/>
            <family val="2"/>
          </rPr>
          <t>End of May
(On a selective basis)</t>
        </r>
      </text>
    </comment>
    <comment ref="N53" authorId="1" shapeId="0" xr:uid="{00000000-0006-0000-0A00-000089000000}">
      <text>
        <r>
          <rPr>
            <sz val="9"/>
            <color indexed="81"/>
            <rFont val="Tahoma"/>
            <family val="2"/>
          </rPr>
          <t>26 May
(On a selective basis)</t>
        </r>
      </text>
    </comment>
    <comment ref="E54" authorId="0" shapeId="0" xr:uid="{00000000-0006-0000-0A00-00008A000000}">
      <text>
        <r>
          <rPr>
            <b/>
            <sz val="9"/>
            <color indexed="81"/>
            <rFont val="Tahoma"/>
            <family val="2"/>
          </rPr>
          <t xml:space="preserve">x1.5: </t>
        </r>
        <r>
          <rPr>
            <sz val="9"/>
            <color indexed="81"/>
            <rFont val="細明體"/>
            <family val="3"/>
            <charset val="136"/>
          </rPr>
          <t xml:space="preserve">英文
</t>
        </r>
        <r>
          <rPr>
            <sz val="9"/>
            <color indexed="81"/>
            <rFont val="Tahoma"/>
            <family val="2"/>
          </rPr>
          <t xml:space="preserve">
</t>
        </r>
        <r>
          <rPr>
            <b/>
            <sz val="9"/>
            <color indexed="81"/>
            <rFont val="Tahoma"/>
            <family val="2"/>
          </rPr>
          <t xml:space="preserve">x1.25: </t>
        </r>
        <r>
          <rPr>
            <sz val="9"/>
            <color indexed="81"/>
            <rFont val="細明體"/>
            <family val="3"/>
            <charset val="136"/>
          </rPr>
          <t>中文、通識</t>
        </r>
      </text>
    </comment>
    <comment ref="I54" authorId="0" shapeId="0" xr:uid="{00000000-0006-0000-0A00-00008B000000}">
      <text>
        <r>
          <rPr>
            <b/>
            <sz val="9"/>
            <color indexed="81"/>
            <rFont val="細明體"/>
            <family val="3"/>
            <charset val="136"/>
          </rPr>
          <t>重考扣分</t>
        </r>
        <r>
          <rPr>
            <b/>
            <sz val="9"/>
            <color indexed="81"/>
            <rFont val="Tahoma"/>
            <family val="2"/>
          </rPr>
          <t xml:space="preserve">: </t>
        </r>
        <r>
          <rPr>
            <sz val="9"/>
            <color indexed="81"/>
            <rFont val="Tahoma"/>
            <family val="2"/>
          </rPr>
          <t>6%</t>
        </r>
        <r>
          <rPr>
            <sz val="9"/>
            <color indexed="81"/>
            <rFont val="細明體"/>
            <family val="3"/>
            <charset val="136"/>
          </rPr>
          <t>至</t>
        </r>
        <r>
          <rPr>
            <sz val="9"/>
            <color indexed="81"/>
            <rFont val="Tahoma"/>
            <family val="2"/>
          </rPr>
          <t>10%
(</t>
        </r>
        <r>
          <rPr>
            <sz val="9"/>
            <color indexed="81"/>
            <rFont val="細明體"/>
            <family val="3"/>
            <charset val="136"/>
          </rPr>
          <t>此處作</t>
        </r>
        <r>
          <rPr>
            <sz val="9"/>
            <color indexed="81"/>
            <rFont val="Tahoma"/>
            <family val="2"/>
          </rPr>
          <t>10%)</t>
        </r>
      </text>
    </comment>
    <comment ref="N54" authorId="1" shapeId="0" xr:uid="{00000000-0006-0000-0A00-00008C000000}">
      <text>
        <r>
          <rPr>
            <sz val="9"/>
            <color indexed="81"/>
            <rFont val="Tahoma"/>
            <family val="2"/>
          </rPr>
          <t>Late May - mid Jun
(On a selective basis)</t>
        </r>
      </text>
    </comment>
    <comment ref="E55" authorId="0" shapeId="0" xr:uid="{00000000-0006-0000-0A00-00008D000000}">
      <text>
        <r>
          <rPr>
            <b/>
            <sz val="9"/>
            <color indexed="81"/>
            <rFont val="Tahoma"/>
            <family val="2"/>
          </rPr>
          <t xml:space="preserve">x1.3: </t>
        </r>
        <r>
          <rPr>
            <sz val="9"/>
            <color indexed="81"/>
            <rFont val="細明體"/>
            <family val="3"/>
            <charset val="136"/>
          </rPr>
          <t>英文、中文</t>
        </r>
      </text>
    </comment>
    <comment ref="E56" authorId="0" shapeId="0" xr:uid="{00000000-0006-0000-0A00-00008E000000}">
      <text>
        <r>
          <rPr>
            <b/>
            <sz val="9"/>
            <color indexed="81"/>
            <rFont val="Tahoma"/>
            <family val="2"/>
          </rPr>
          <t xml:space="preserve">x1.3: </t>
        </r>
        <r>
          <rPr>
            <sz val="9"/>
            <color indexed="81"/>
            <rFont val="細明體"/>
            <family val="3"/>
            <charset val="136"/>
          </rPr>
          <t>英文</t>
        </r>
      </text>
    </comment>
    <comment ref="E57" authorId="0" shapeId="0" xr:uid="{00000000-0006-0000-0A00-00008F000000}">
      <text>
        <r>
          <rPr>
            <b/>
            <sz val="9"/>
            <color indexed="81"/>
            <rFont val="Tahoma"/>
            <family val="2"/>
          </rPr>
          <t>x1.5:</t>
        </r>
        <r>
          <rPr>
            <sz val="9"/>
            <color indexed="81"/>
            <rFont val="Tahoma"/>
            <family val="2"/>
          </rPr>
          <t xml:space="preserve"> </t>
        </r>
        <r>
          <rPr>
            <sz val="9"/>
            <color indexed="81"/>
            <rFont val="細明體"/>
            <family val="3"/>
            <charset val="136"/>
          </rPr>
          <t>英文、數學</t>
        </r>
      </text>
    </comment>
    <comment ref="N58" authorId="1" shapeId="0" xr:uid="{00000000-0006-0000-0A00-000090000000}">
      <text>
        <r>
          <rPr>
            <b/>
            <sz val="9"/>
            <color indexed="81"/>
            <rFont val="細明體"/>
            <family val="3"/>
            <charset val="136"/>
          </rPr>
          <t>前</t>
        </r>
        <r>
          <rPr>
            <b/>
            <sz val="9"/>
            <color indexed="81"/>
            <rFont val="Tahoma"/>
            <family val="2"/>
          </rPr>
          <t>:</t>
        </r>
        <r>
          <rPr>
            <sz val="9"/>
            <color indexed="81"/>
            <rFont val="Tahoma"/>
            <family val="2"/>
          </rPr>
          <t xml:space="preserve"> 10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E59" authorId="0" shapeId="0" xr:uid="{00000000-0006-0000-0A00-000091000000}">
      <text>
        <r>
          <rPr>
            <b/>
            <sz val="9"/>
            <color indexed="81"/>
            <rFont val="Tahoma"/>
            <family val="2"/>
          </rPr>
          <t>x1.5:</t>
        </r>
        <r>
          <rPr>
            <sz val="9"/>
            <color indexed="81"/>
            <rFont val="Tahoma"/>
            <family val="2"/>
          </rPr>
          <t xml:space="preserve"> </t>
        </r>
        <r>
          <rPr>
            <sz val="9"/>
            <color indexed="81"/>
            <rFont val="細明體"/>
            <family val="3"/>
            <charset val="136"/>
          </rPr>
          <t>英文、通識</t>
        </r>
      </text>
    </comment>
    <comment ref="N59" authorId="1" shapeId="0" xr:uid="{00000000-0006-0000-0A00-000092000000}">
      <text>
        <r>
          <rPr>
            <b/>
            <sz val="9"/>
            <color indexed="81"/>
            <rFont val="細明體"/>
            <family val="3"/>
            <charset val="136"/>
          </rPr>
          <t>前</t>
        </r>
        <r>
          <rPr>
            <b/>
            <sz val="9"/>
            <color indexed="81"/>
            <rFont val="Tahoma"/>
            <family val="2"/>
          </rPr>
          <t>:</t>
        </r>
        <r>
          <rPr>
            <sz val="9"/>
            <color indexed="81"/>
            <rFont val="Tahoma"/>
            <family val="2"/>
          </rPr>
          <t xml:space="preserve"> </t>
        </r>
        <r>
          <rPr>
            <sz val="9"/>
            <color indexed="81"/>
            <rFont val="細明體"/>
            <family val="3"/>
            <charset val="136"/>
          </rPr>
          <t>未公佈</t>
        </r>
        <r>
          <rPr>
            <sz val="9"/>
            <color indexed="81"/>
            <rFont val="Tahoma"/>
            <family val="2"/>
          </rPr>
          <t xml:space="preserve">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E60" authorId="0" shapeId="0" xr:uid="{00000000-0006-0000-0A00-000093000000}">
      <text>
        <r>
          <rPr>
            <b/>
            <sz val="9"/>
            <color indexed="81"/>
            <rFont val="Tahoma"/>
            <family val="2"/>
          </rPr>
          <t xml:space="preserve">x1.5: </t>
        </r>
        <r>
          <rPr>
            <sz val="9"/>
            <color indexed="81"/>
            <rFont val="細明體"/>
            <family val="3"/>
            <charset val="136"/>
          </rPr>
          <t>英文</t>
        </r>
      </text>
    </comment>
    <comment ref="N60" authorId="1" shapeId="0" xr:uid="{00000000-0006-0000-0A00-000094000000}">
      <text>
        <r>
          <rPr>
            <b/>
            <sz val="9"/>
            <color indexed="81"/>
            <rFont val="細明體"/>
            <family val="3"/>
            <charset val="136"/>
          </rPr>
          <t>前</t>
        </r>
        <r>
          <rPr>
            <b/>
            <sz val="9"/>
            <color indexed="81"/>
            <rFont val="Tahoma"/>
            <family val="2"/>
          </rPr>
          <t>:</t>
        </r>
        <r>
          <rPr>
            <sz val="9"/>
            <color indexed="81"/>
            <rFont val="Tahoma"/>
            <family val="2"/>
          </rPr>
          <t xml:space="preserve"> 9, 11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N61" authorId="1" shapeId="0" xr:uid="{00000000-0006-0000-0A00-000095000000}">
      <text>
        <r>
          <rPr>
            <b/>
            <sz val="9"/>
            <color indexed="81"/>
            <rFont val="細明體"/>
            <family val="3"/>
            <charset val="136"/>
          </rPr>
          <t>前</t>
        </r>
        <r>
          <rPr>
            <b/>
            <sz val="9"/>
            <color indexed="81"/>
            <rFont val="Tahoma"/>
            <family val="2"/>
          </rPr>
          <t>:</t>
        </r>
        <r>
          <rPr>
            <sz val="9"/>
            <color indexed="81"/>
            <rFont val="Tahoma"/>
            <family val="2"/>
          </rPr>
          <t xml:space="preserve"> 21-22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 ref="E62" authorId="0" shapeId="0" xr:uid="{00000000-0006-0000-0A00-000096000000}">
      <text>
        <r>
          <rPr>
            <b/>
            <sz val="9"/>
            <color indexed="81"/>
            <rFont val="Tahoma"/>
            <family val="2"/>
          </rPr>
          <t xml:space="preserve">x2: </t>
        </r>
        <r>
          <rPr>
            <sz val="9"/>
            <color indexed="81"/>
            <rFont val="細明體"/>
            <family val="3"/>
            <charset val="136"/>
          </rPr>
          <t xml:space="preserve">英文、通識
</t>
        </r>
        <r>
          <rPr>
            <sz val="9"/>
            <color indexed="81"/>
            <rFont val="Tahoma"/>
            <family val="2"/>
          </rPr>
          <t xml:space="preserve">
</t>
        </r>
        <r>
          <rPr>
            <b/>
            <sz val="9"/>
            <color indexed="81"/>
            <rFont val="Tahoma"/>
            <family val="2"/>
          </rPr>
          <t xml:space="preserve">x1.5: </t>
        </r>
        <r>
          <rPr>
            <sz val="9"/>
            <color indexed="81"/>
            <rFont val="細明體"/>
            <family val="3"/>
            <charset val="136"/>
          </rPr>
          <t>中文</t>
        </r>
      </text>
    </comment>
    <comment ref="I62" authorId="0" shapeId="0" xr:uid="{00000000-0006-0000-0A00-000097000000}">
      <text>
        <r>
          <rPr>
            <b/>
            <sz val="9"/>
            <color indexed="81"/>
            <rFont val="細明體"/>
            <family val="3"/>
            <charset val="136"/>
          </rPr>
          <t>重考扣分</t>
        </r>
        <r>
          <rPr>
            <b/>
            <sz val="9"/>
            <color indexed="81"/>
            <rFont val="Tahoma"/>
            <family val="2"/>
          </rPr>
          <t xml:space="preserve">: </t>
        </r>
        <r>
          <rPr>
            <sz val="9"/>
            <color indexed="81"/>
            <rFont val="Tahoma"/>
            <family val="2"/>
          </rPr>
          <t>5%</t>
        </r>
        <r>
          <rPr>
            <sz val="9"/>
            <color indexed="81"/>
            <rFont val="細明體"/>
            <family val="3"/>
            <charset val="136"/>
          </rPr>
          <t>或更少</t>
        </r>
        <r>
          <rPr>
            <sz val="9"/>
            <color indexed="81"/>
            <rFont val="Tahoma"/>
            <family val="2"/>
          </rPr>
          <t xml:space="preserve">
(</t>
        </r>
        <r>
          <rPr>
            <sz val="9"/>
            <color indexed="81"/>
            <rFont val="細明體"/>
            <family val="3"/>
            <charset val="136"/>
          </rPr>
          <t>此處作</t>
        </r>
        <r>
          <rPr>
            <sz val="9"/>
            <color indexed="81"/>
            <rFont val="Tahoma"/>
            <family val="2"/>
          </rPr>
          <t>5%)</t>
        </r>
      </text>
    </comment>
    <comment ref="N62" authorId="1" shapeId="0" xr:uid="{00000000-0006-0000-0A00-000098000000}">
      <text>
        <r>
          <rPr>
            <b/>
            <sz val="9"/>
            <color indexed="81"/>
            <rFont val="細明體"/>
            <family val="3"/>
            <charset val="136"/>
          </rPr>
          <t>前</t>
        </r>
        <r>
          <rPr>
            <b/>
            <sz val="9"/>
            <color indexed="81"/>
            <rFont val="Tahoma"/>
            <family val="2"/>
          </rPr>
          <t>:</t>
        </r>
        <r>
          <rPr>
            <sz val="9"/>
            <color indexed="81"/>
            <rFont val="Tahoma"/>
            <family val="2"/>
          </rPr>
          <t xml:space="preserve"> 28 May - 3 Jun
</t>
        </r>
        <r>
          <rPr>
            <b/>
            <sz val="9"/>
            <color indexed="81"/>
            <rFont val="細明體"/>
            <family val="3"/>
            <charset val="136"/>
          </rPr>
          <t>後</t>
        </r>
        <r>
          <rPr>
            <b/>
            <sz val="9"/>
            <color indexed="81"/>
            <rFont val="Tahoma"/>
            <family val="2"/>
          </rPr>
          <t>:</t>
        </r>
        <r>
          <rPr>
            <sz val="9"/>
            <color indexed="81"/>
            <rFont val="Tahoma"/>
            <family val="2"/>
          </rPr>
          <t xml:space="preserve"> 31 Jul to early Aug
(On a selective basis)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Chan</author>
    <author>Michael</author>
  </authors>
  <commentList>
    <comment ref="E2" authorId="0" shapeId="0" xr:uid="{00000000-0006-0000-0B00-000001000000}">
      <text>
        <r>
          <rPr>
            <sz val="9"/>
            <color indexed="81"/>
            <rFont val="細明體"/>
            <family val="3"/>
            <charset val="136"/>
          </rPr>
          <t>英文</t>
        </r>
        <r>
          <rPr>
            <sz val="9"/>
            <color indexed="81"/>
            <rFont val="Tahoma"/>
            <family val="2"/>
          </rPr>
          <t xml:space="preserve"> x1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最佳兩科理科</t>
        </r>
        <r>
          <rPr>
            <sz val="9"/>
            <color indexed="81"/>
            <rFont val="Tahoma"/>
            <family val="2"/>
          </rPr>
          <t xml:space="preserve"> x1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
</t>
        </r>
        <r>
          <rPr>
            <sz val="9"/>
            <color indexed="81"/>
            <rFont val="細明體"/>
            <family val="3"/>
            <charset val="136"/>
          </rPr>
          <t>最佳一科</t>
        </r>
        <r>
          <rPr>
            <sz val="9"/>
            <color indexed="81"/>
            <rFont val="Tahoma"/>
            <family val="2"/>
          </rPr>
          <t xml:space="preserve"> x1</t>
        </r>
      </text>
    </comment>
    <comment ref="L2" authorId="0" shapeId="0" xr:uid="{00000000-0006-0000-0B00-000002000000}">
      <text>
        <r>
          <rPr>
            <b/>
            <sz val="9"/>
            <color indexed="81"/>
            <rFont val="Tahoma"/>
            <family val="2"/>
          </rPr>
          <t xml:space="preserve">Interview is compulsory for admission. </t>
        </r>
      </text>
    </comment>
    <comment ref="M2" authorId="0" shapeId="0" xr:uid="{00000000-0006-0000-0B00-000003000000}">
      <text>
        <r>
          <rPr>
            <sz val="9"/>
            <color indexed="81"/>
            <rFont val="Tahoma"/>
            <family val="2"/>
          </rPr>
          <t>Jul 2021</t>
        </r>
        <r>
          <rPr>
            <b/>
            <sz val="9"/>
            <color indexed="81"/>
            <rFont val="Tahoma"/>
            <family val="2"/>
          </rPr>
          <t xml:space="preserve">
Interview is compulsory.</t>
        </r>
      </text>
    </comment>
    <comment ref="R2" authorId="0" shapeId="0" xr:uid="{00000000-0006-0000-0B00-000004000000}">
      <text>
        <r>
          <rPr>
            <b/>
            <sz val="9"/>
            <color indexed="81"/>
            <rFont val="細明體"/>
            <family val="3"/>
            <charset val="136"/>
          </rPr>
          <t>以下兩科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text>
    </comment>
    <comment ref="S2" authorId="0" shapeId="0" xr:uid="{00000000-0006-0000-0B00-000005000000}">
      <text>
        <r>
          <rPr>
            <b/>
            <sz val="9"/>
            <color indexed="81"/>
            <rFont val="細明體"/>
            <family val="3"/>
            <charset val="136"/>
          </rPr>
          <t>以下兩科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E3" authorId="0" shapeId="0" xr:uid="{00000000-0006-0000-0B00-000006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x2:</t>
        </r>
        <r>
          <rPr>
            <b/>
            <sz val="9"/>
            <color indexed="81"/>
            <rFont val="Tahoma"/>
            <family val="2"/>
          </rPr>
          <t xml:space="preserve"> </t>
        </r>
        <r>
          <rPr>
            <sz val="9"/>
            <color indexed="81"/>
            <rFont val="Tahoma"/>
            <family val="2"/>
          </rPr>
          <t xml:space="preserve">M1/2/ </t>
        </r>
        <r>
          <rPr>
            <sz val="9"/>
            <color indexed="81"/>
            <rFont val="細明體"/>
            <family val="3"/>
            <charset val="136"/>
          </rPr>
          <t>物理</t>
        </r>
        <r>
          <rPr>
            <sz val="9"/>
            <color indexed="81"/>
            <rFont val="Tahoma"/>
            <family val="2"/>
          </rPr>
          <t xml:space="preserve">
x1.5: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text>
    </comment>
    <comment ref="K3" authorId="1" shapeId="0" xr:uid="{00000000-0006-0000-0B00-000007000000}">
      <text>
        <r>
          <rPr>
            <b/>
            <sz val="9"/>
            <color indexed="81"/>
            <rFont val="Tahoma"/>
            <family val="2"/>
          </rPr>
          <t>Combined Figure</t>
        </r>
        <r>
          <rPr>
            <sz val="9"/>
            <color indexed="81"/>
            <rFont val="Tahoma"/>
            <family val="2"/>
          </rPr>
          <t xml:space="preserve"> for JS5102 &amp; JS5103</t>
        </r>
      </text>
    </comment>
    <comment ref="M3" authorId="1" shapeId="0" xr:uid="{00000000-0006-0000-0B00-000008000000}">
      <text>
        <r>
          <rPr>
            <sz val="9"/>
            <color indexed="81"/>
            <rFont val="Tahoma"/>
            <family val="2"/>
          </rPr>
          <t>12 May 2021
(For selected candidates)</t>
        </r>
      </text>
    </comment>
    <comment ref="R3" authorId="0" shapeId="0" xr:uid="{00000000-0006-0000-0B00-000009000000}">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E4" authorId="0" shapeId="0" xr:uid="{00000000-0006-0000-0B00-00000A000000}">
      <text>
        <r>
          <rPr>
            <sz val="9"/>
            <color indexed="81"/>
            <rFont val="細明體"/>
            <family val="3"/>
            <charset val="136"/>
          </rPr>
          <t>英文</t>
        </r>
        <r>
          <rPr>
            <sz val="9"/>
            <color indexed="81"/>
            <rFont val="Tahoma"/>
            <family val="2"/>
          </rPr>
          <t xml:space="preserve"> x1.5 </t>
        </r>
        <r>
          <rPr>
            <sz val="9"/>
            <color indexed="81"/>
            <rFont val="細明體"/>
            <family val="3"/>
            <charset val="136"/>
          </rPr>
          <t>數學</t>
        </r>
        <r>
          <rPr>
            <sz val="9"/>
            <color indexed="81"/>
            <rFont val="Tahoma"/>
            <family val="2"/>
          </rPr>
          <t xml:space="preserve"> x1
+</t>
        </r>
        <r>
          <rPr>
            <sz val="9"/>
            <color indexed="81"/>
            <rFont val="細明體"/>
            <family val="3"/>
            <charset val="136"/>
          </rPr>
          <t xml:space="preserve">
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x2: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x1.5: M1/2 /</t>
        </r>
        <r>
          <rPr>
            <sz val="9"/>
            <color indexed="81"/>
            <rFont val="細明體"/>
            <family val="3"/>
            <charset val="136"/>
          </rPr>
          <t>物理</t>
        </r>
        <r>
          <rPr>
            <sz val="9"/>
            <color indexed="81"/>
            <rFont val="Tahoma"/>
            <family val="2"/>
          </rPr>
          <t>/</t>
        </r>
        <r>
          <rPr>
            <sz val="9"/>
            <color indexed="81"/>
            <rFont val="細明體"/>
            <family val="3"/>
            <charset val="136"/>
          </rPr>
          <t>組合科學</t>
        </r>
      </text>
    </comment>
    <comment ref="M4" authorId="1" shapeId="0" xr:uid="{00000000-0006-0000-0B00-00000B000000}">
      <text>
        <r>
          <rPr>
            <sz val="9"/>
            <color indexed="81"/>
            <rFont val="Tahoma"/>
            <family val="2"/>
          </rPr>
          <t>12 May 2021
(For selected candidates)</t>
        </r>
      </text>
    </comment>
    <comment ref="R4" authorId="0" shapeId="0" xr:uid="{00000000-0006-0000-0B00-00000C000000}">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E5" authorId="0" shapeId="0" xr:uid="{00000000-0006-0000-0B00-00000D000000}">
      <text>
        <r>
          <rPr>
            <b/>
            <sz val="9"/>
            <color indexed="81"/>
            <rFont val="Tahoma"/>
            <family val="2"/>
          </rPr>
          <t>2021</t>
        </r>
        <r>
          <rPr>
            <b/>
            <sz val="9"/>
            <color indexed="81"/>
            <rFont val="細明體"/>
            <family val="3"/>
            <charset val="136"/>
          </rPr>
          <t>年新科目</t>
        </r>
        <r>
          <rPr>
            <sz val="9"/>
            <color indexed="81"/>
            <rFont val="細明體"/>
            <family val="3"/>
            <charset val="136"/>
          </rPr>
          <t xml:space="preserve">
英文</t>
        </r>
        <r>
          <rPr>
            <sz val="9"/>
            <color indexed="81"/>
            <rFont val="Tahoma"/>
            <family val="2"/>
          </rPr>
          <t xml:space="preserve"> x1.5 </t>
        </r>
        <r>
          <rPr>
            <sz val="9"/>
            <color indexed="81"/>
            <rFont val="細明體"/>
            <family val="3"/>
            <charset val="136"/>
          </rPr>
          <t>數學</t>
        </r>
        <r>
          <rPr>
            <sz val="9"/>
            <color indexed="81"/>
            <rFont val="Tahoma"/>
            <family val="2"/>
          </rPr>
          <t xml:space="preserve"> x1
+
</t>
        </r>
        <r>
          <rPr>
            <sz val="9"/>
            <color indexed="81"/>
            <rFont val="細明體"/>
            <family val="3"/>
            <charset val="136"/>
          </rPr>
          <t>最佳</t>
        </r>
        <r>
          <rPr>
            <sz val="9"/>
            <color indexed="81"/>
            <rFont val="Tahoma"/>
            <family val="2"/>
          </rPr>
          <t>2</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1</t>
        </r>
        <r>
          <rPr>
            <sz val="9"/>
            <color indexed="81"/>
            <rFont val="細明體"/>
            <family val="3"/>
            <charset val="136"/>
          </rPr>
          <t>科</t>
        </r>
        <r>
          <rPr>
            <sz val="9"/>
            <color indexed="81"/>
            <rFont val="Tahoma"/>
            <family val="2"/>
          </rPr>
          <t xml:space="preserve"> </t>
        </r>
        <r>
          <rPr>
            <sz val="9"/>
            <color indexed="81"/>
            <rFont val="細明體"/>
            <family val="3"/>
            <charset val="136"/>
          </rPr>
          <t>或
最佳</t>
        </r>
        <r>
          <rPr>
            <sz val="9"/>
            <color indexed="81"/>
            <rFont val="Tahoma"/>
            <family val="2"/>
          </rPr>
          <t>1</t>
        </r>
        <r>
          <rPr>
            <sz val="9"/>
            <color indexed="81"/>
            <rFont val="細明體"/>
            <family val="3"/>
            <charset val="136"/>
          </rPr>
          <t>科理科</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 xml:space="preserve">科
</t>
        </r>
        <r>
          <rPr>
            <sz val="9"/>
            <color indexed="81"/>
            <rFont val="Tahoma"/>
            <family val="2"/>
          </rPr>
          <t xml:space="preserve">x2: M1/2/ </t>
        </r>
        <r>
          <rPr>
            <sz val="9"/>
            <color indexed="81"/>
            <rFont val="細明體"/>
            <family val="3"/>
            <charset val="136"/>
          </rPr>
          <t>物理</t>
        </r>
        <r>
          <rPr>
            <sz val="9"/>
            <color indexed="81"/>
            <rFont val="Tahoma"/>
            <family val="2"/>
          </rPr>
          <t xml:space="preserve">
x1.5: </t>
        </r>
        <r>
          <rPr>
            <sz val="9"/>
            <color indexed="81"/>
            <rFont val="細明體"/>
            <family val="3"/>
            <charset val="136"/>
          </rPr>
          <t>生物</t>
        </r>
        <r>
          <rPr>
            <sz val="9"/>
            <color indexed="81"/>
            <rFont val="Tahoma"/>
            <family val="2"/>
          </rPr>
          <t xml:space="preserve"> / </t>
        </r>
        <r>
          <rPr>
            <sz val="9"/>
            <color indexed="81"/>
            <rFont val="細明體"/>
            <family val="3"/>
            <charset val="136"/>
          </rPr>
          <t>化學</t>
        </r>
        <r>
          <rPr>
            <sz val="9"/>
            <color indexed="81"/>
            <rFont val="Tahoma"/>
            <family val="2"/>
          </rPr>
          <t xml:space="preserve"> / </t>
        </r>
        <r>
          <rPr>
            <sz val="9"/>
            <color indexed="81"/>
            <rFont val="細明體"/>
            <family val="3"/>
            <charset val="136"/>
          </rPr>
          <t>組合科學</t>
        </r>
      </text>
    </comment>
    <comment ref="M5" authorId="1" shapeId="0" xr:uid="{00000000-0006-0000-0B00-00000E000000}">
      <text>
        <r>
          <rPr>
            <sz val="9"/>
            <color indexed="81"/>
            <rFont val="Tahoma"/>
            <family val="2"/>
          </rPr>
          <t>12 May 2021
(For selected candidates)</t>
        </r>
      </text>
    </comment>
    <comment ref="R5" authorId="0" shapeId="0" xr:uid="{00000000-0006-0000-0B00-00000F000000}">
      <text>
        <r>
          <rPr>
            <b/>
            <sz val="9"/>
            <color indexed="81"/>
            <rFont val="細明體"/>
            <family val="3"/>
            <charset val="136"/>
          </rPr>
          <t>以下一科</t>
        </r>
        <r>
          <rPr>
            <b/>
            <sz val="9"/>
            <color indexed="81"/>
            <rFont val="Tahoma"/>
            <family val="2"/>
          </rPr>
          <t>:</t>
        </r>
        <r>
          <rPr>
            <sz val="9"/>
            <color indexed="81"/>
            <rFont val="Tahoma"/>
            <family val="2"/>
          </rPr>
          <t xml:space="preserve">
M1/2 /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text>
    </comment>
    <comment ref="E6" authorId="0" shapeId="0" xr:uid="{00000000-0006-0000-0B00-000010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M6" authorId="1" shapeId="0" xr:uid="{00000000-0006-0000-0B00-000011000000}">
      <text>
        <r>
          <rPr>
            <sz val="9"/>
            <color indexed="81"/>
            <rFont val="Tahoma"/>
            <family val="2"/>
          </rPr>
          <t>1-2 Jun 2021
(For selected candidates)</t>
        </r>
      </text>
    </comment>
    <comment ref="R6" authorId="0" shapeId="0" xr:uid="{00000000-0006-0000-0B00-000012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 ref="E7" authorId="0" shapeId="0" xr:uid="{00000000-0006-0000-0B00-000013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/DAT)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t>
        </r>
      </text>
    </comment>
    <comment ref="L7" authorId="1" shapeId="0" xr:uid="{00000000-0006-0000-0B00-000014000000}">
      <text>
        <r>
          <rPr>
            <sz val="9"/>
            <color indexed="81"/>
            <rFont val="Tahoma"/>
            <family val="2"/>
          </rPr>
          <t>Submission of Design and Technology Project experience document (</t>
        </r>
        <r>
          <rPr>
            <b/>
            <sz val="9"/>
            <color indexed="81"/>
            <rFont val="Tahoma"/>
            <family val="2"/>
          </rPr>
          <t>DTP</t>
        </r>
        <r>
          <rPr>
            <sz val="9"/>
            <color indexed="81"/>
            <rFont val="Tahoma"/>
            <family val="2"/>
          </rPr>
          <t>)/ Student Learning Profile (</t>
        </r>
        <r>
          <rPr>
            <b/>
            <sz val="9"/>
            <color indexed="81"/>
            <rFont val="Tahoma"/>
            <family val="2"/>
          </rPr>
          <t>SLP</t>
        </r>
        <r>
          <rPr>
            <sz val="9"/>
            <color indexed="81"/>
            <rFont val="Tahoma"/>
            <family val="2"/>
          </rPr>
          <t>)/ Other Experiences and Achievements (</t>
        </r>
        <r>
          <rPr>
            <b/>
            <sz val="9"/>
            <color indexed="81"/>
            <rFont val="Tahoma"/>
            <family val="2"/>
          </rPr>
          <t>OEA</t>
        </r>
        <r>
          <rPr>
            <sz val="9"/>
            <color indexed="81"/>
            <rFont val="Tahoma"/>
            <family val="2"/>
          </rPr>
          <t xml:space="preserve">) are </t>
        </r>
        <r>
          <rPr>
            <b/>
            <sz val="9"/>
            <color indexed="81"/>
            <rFont val="Tahoma"/>
            <family val="2"/>
          </rPr>
          <t>compulsory for admissions</t>
        </r>
        <r>
          <rPr>
            <sz val="9"/>
            <color indexed="81"/>
            <rFont val="Tahoma"/>
            <family val="2"/>
          </rPr>
          <t xml:space="preserve"> to this program.</t>
        </r>
      </text>
    </comment>
    <comment ref="M7" authorId="1" shapeId="0" xr:uid="{00000000-0006-0000-0B00-000015000000}">
      <text>
        <r>
          <rPr>
            <b/>
            <sz val="9"/>
            <color indexed="81"/>
            <rFont val="細明體"/>
            <family val="3"/>
            <charset val="136"/>
          </rPr>
          <t>前</t>
        </r>
        <r>
          <rPr>
            <b/>
            <sz val="9"/>
            <color indexed="81"/>
            <rFont val="Tahoma"/>
            <family val="2"/>
          </rPr>
          <t>:</t>
        </r>
        <r>
          <rPr>
            <sz val="9"/>
            <color indexed="81"/>
            <rFont val="Tahoma"/>
            <family val="2"/>
          </rPr>
          <t xml:space="preserve"> 24–30 Jun 2021
</t>
        </r>
        <r>
          <rPr>
            <b/>
            <sz val="9"/>
            <color indexed="81"/>
            <rFont val="細明體"/>
            <family val="3"/>
            <charset val="136"/>
          </rPr>
          <t>後</t>
        </r>
        <r>
          <rPr>
            <b/>
            <sz val="9"/>
            <color indexed="81"/>
            <rFont val="Tahoma"/>
            <family val="2"/>
          </rPr>
          <t xml:space="preserve">: </t>
        </r>
        <r>
          <rPr>
            <sz val="9"/>
            <color indexed="81"/>
            <rFont val="Tahoma"/>
            <family val="2"/>
          </rPr>
          <t xml:space="preserve">27–29 Jul 2021
</t>
        </r>
        <r>
          <rPr>
            <b/>
            <sz val="9"/>
            <color indexed="81"/>
            <rFont val="Tahoma"/>
            <family val="2"/>
          </rPr>
          <t xml:space="preserve">Interview is compulsory.
</t>
        </r>
        <r>
          <rPr>
            <sz val="9"/>
            <color indexed="81"/>
            <rFont val="Tahoma"/>
            <family val="2"/>
          </rPr>
          <t xml:space="preserve">Submission of Design and Technology Project experience document (DTP)/ Student Learning Profile (SLP)/ Other Experiences and Achievements (OEA) are </t>
        </r>
        <r>
          <rPr>
            <b/>
            <sz val="9"/>
            <color indexed="81"/>
            <rFont val="Tahoma"/>
            <family val="2"/>
          </rPr>
          <t xml:space="preserve">compulsory for admissions </t>
        </r>
        <r>
          <rPr>
            <sz val="9"/>
            <color indexed="81"/>
            <rFont val="Tahoma"/>
            <family val="2"/>
          </rPr>
          <t>to this program.</t>
        </r>
      </text>
    </comment>
    <comment ref="R7" authorId="0" shapeId="0" xr:uid="{00000000-0006-0000-0B00-000016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 / DAT</t>
        </r>
      </text>
    </comment>
    <comment ref="E8" authorId="0" shapeId="0" xr:uid="{00000000-0006-0000-0B00-000017000000}">
      <text>
        <r>
          <rPr>
            <b/>
            <sz val="9"/>
            <color indexed="81"/>
            <rFont val="Tahoma"/>
            <family val="2"/>
          </rPr>
          <t>2021</t>
        </r>
        <r>
          <rPr>
            <b/>
            <sz val="9"/>
            <color indexed="81"/>
            <rFont val="細明體"/>
            <family val="3"/>
            <charset val="136"/>
          </rPr>
          <t>年新科目</t>
        </r>
        <r>
          <rPr>
            <sz val="9"/>
            <color indexed="81"/>
            <rFont val="細明體"/>
            <family val="3"/>
            <charset val="136"/>
          </rPr>
          <t xml:space="preserve">
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 (M1/2 x1.5)
</t>
        </r>
      </text>
    </comment>
    <comment ref="M8" authorId="1" shapeId="0" xr:uid="{00000000-0006-0000-0B00-000018000000}">
      <text>
        <r>
          <rPr>
            <sz val="9"/>
            <color indexed="81"/>
            <rFont val="Tahoma"/>
            <family val="2"/>
          </rPr>
          <t>1-2 Jun 2021
(For selected candidates)</t>
        </r>
      </text>
    </comment>
    <comment ref="R8" authorId="0" shapeId="0" xr:uid="{00000000-0006-0000-0B00-000019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 ref="E9" authorId="0" shapeId="0" xr:uid="{00000000-0006-0000-0B00-00001A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M9" authorId="1" shapeId="0" xr:uid="{00000000-0006-0000-0B00-00001B000000}">
      <text>
        <r>
          <rPr>
            <sz val="9"/>
            <color indexed="81"/>
            <rFont val="Tahoma"/>
            <family val="2"/>
          </rPr>
          <t>29-30 May 2021; 
5-6 Jun 2021
(For selected candidates)</t>
        </r>
      </text>
    </comment>
    <comment ref="E10" authorId="0" shapeId="0" xr:uid="{00000000-0006-0000-0B00-00001C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K10" authorId="1" shapeId="0" xr:uid="{00000000-0006-0000-0B00-00001D000000}">
      <text>
        <r>
          <rPr>
            <b/>
            <sz val="9"/>
            <color indexed="81"/>
            <rFont val="Tahoma"/>
            <family val="2"/>
          </rPr>
          <t>Combined Figure</t>
        </r>
        <r>
          <rPr>
            <sz val="9"/>
            <color indexed="81"/>
            <rFont val="Tahoma"/>
            <family val="2"/>
          </rPr>
          <t xml:space="preserve"> for JS5311, JS5314, JS5315, JS5316 &amp; JS5317</t>
        </r>
      </text>
    </comment>
    <comment ref="M10" authorId="1" shapeId="0" xr:uid="{00000000-0006-0000-0B00-00001E000000}">
      <text>
        <r>
          <rPr>
            <sz val="9"/>
            <color indexed="81"/>
            <rFont val="Tahoma"/>
            <family val="2"/>
          </rPr>
          <t>29-30 May 2021; 
5-6 Jun 2021
(For selected candidates)</t>
        </r>
      </text>
    </comment>
    <comment ref="E11" authorId="0" shapeId="0" xr:uid="{00000000-0006-0000-0B00-00001F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M11" authorId="1" shapeId="0" xr:uid="{00000000-0006-0000-0B00-000020000000}">
      <text>
        <r>
          <rPr>
            <sz val="9"/>
            <color indexed="81"/>
            <rFont val="Tahoma"/>
            <family val="2"/>
          </rPr>
          <t>29-30 May 2021; 
5-6 Jun 2021
(For selected candidates)</t>
        </r>
      </text>
    </comment>
    <comment ref="E12" authorId="0" shapeId="0" xr:uid="{00000000-0006-0000-0B00-000021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M12" authorId="1" shapeId="0" xr:uid="{00000000-0006-0000-0B00-000022000000}">
      <text>
        <r>
          <rPr>
            <b/>
            <sz val="9"/>
            <color indexed="81"/>
            <rFont val="細明體"/>
            <family val="3"/>
            <charset val="136"/>
          </rPr>
          <t>前</t>
        </r>
        <r>
          <rPr>
            <b/>
            <sz val="9"/>
            <color indexed="81"/>
            <rFont val="Tahoma"/>
            <family val="2"/>
          </rPr>
          <t>:</t>
        </r>
        <r>
          <rPr>
            <sz val="9"/>
            <color indexed="81"/>
            <rFont val="Tahoma"/>
            <family val="2"/>
          </rPr>
          <t xml:space="preserve"> 29-30 May 2021; 5-6 Jun 2021
</t>
        </r>
        <r>
          <rPr>
            <b/>
            <sz val="9"/>
            <color indexed="81"/>
            <rFont val="細明體"/>
            <family val="3"/>
            <charset val="136"/>
          </rPr>
          <t>後</t>
        </r>
        <r>
          <rPr>
            <b/>
            <sz val="9"/>
            <color indexed="81"/>
            <rFont val="Tahoma"/>
            <family val="2"/>
          </rPr>
          <t xml:space="preserve">: </t>
        </r>
        <r>
          <rPr>
            <sz val="9"/>
            <color indexed="81"/>
            <rFont val="Tahoma"/>
            <family val="2"/>
          </rPr>
          <t xml:space="preserve">Late Jul/ Early Aug 2021
</t>
        </r>
        <r>
          <rPr>
            <b/>
            <sz val="9"/>
            <color indexed="81"/>
            <rFont val="Tahoma"/>
            <family val="2"/>
          </rPr>
          <t>Interview is compulsory.</t>
        </r>
      </text>
    </comment>
    <comment ref="E13" authorId="0" shapeId="0" xr:uid="{00000000-0006-0000-0B00-000023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K13" authorId="0" shapeId="0" xr:uid="{00000000-0006-0000-0B00-000024000000}">
      <text>
        <r>
          <rPr>
            <b/>
            <sz val="9"/>
            <color indexed="81"/>
            <rFont val="Tahoma"/>
            <family val="2"/>
          </rPr>
          <t xml:space="preserve">Combined Figure </t>
        </r>
        <r>
          <rPr>
            <sz val="9"/>
            <color indexed="81"/>
            <rFont val="Tahoma"/>
            <family val="2"/>
          </rPr>
          <t>for JS5311, JS5314, JS5315, JS5316 &amp; JS5317</t>
        </r>
      </text>
    </comment>
    <comment ref="M13" authorId="1" shapeId="0" xr:uid="{00000000-0006-0000-0B00-000025000000}">
      <text>
        <r>
          <rPr>
            <sz val="9"/>
            <color indexed="81"/>
            <rFont val="Tahoma"/>
            <family val="2"/>
          </rPr>
          <t>29-30 May 2021; 
5-6 Jun 2021
(For selected candidates)</t>
        </r>
      </text>
    </comment>
    <comment ref="E14" authorId="0" shapeId="0" xr:uid="{00000000-0006-0000-0B00-000026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M14" authorId="1" shapeId="0" xr:uid="{00000000-0006-0000-0B00-000027000000}">
      <text>
        <r>
          <rPr>
            <sz val="9"/>
            <color indexed="81"/>
            <rFont val="Tahoma"/>
            <family val="2"/>
          </rPr>
          <t>29-30 May 2021; 
5-6 Jun 2021
(For selected candidates)</t>
        </r>
      </text>
    </comment>
    <comment ref="E15" authorId="0" shapeId="0" xr:uid="{00000000-0006-0000-0B00-000028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M15" authorId="1" shapeId="0" xr:uid="{00000000-0006-0000-0B00-000029000000}">
      <text>
        <r>
          <rPr>
            <sz val="9"/>
            <color indexed="81"/>
            <rFont val="Tahoma"/>
            <family val="2"/>
          </rPr>
          <t>29-30 May 2021; 
5-6 Jun 2021
(For selected candidates)</t>
        </r>
      </text>
    </comment>
    <comment ref="E16" authorId="0" shapeId="0" xr:uid="{00000000-0006-0000-0B00-00002A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M16" authorId="1" shapeId="0" xr:uid="{00000000-0006-0000-0B00-00002B000000}">
      <text>
        <r>
          <rPr>
            <sz val="9"/>
            <color indexed="81"/>
            <rFont val="Tahoma"/>
            <family val="2"/>
          </rPr>
          <t>29-30 May 2021; 
5-6 Jun 2021
(For selected candidates)</t>
        </r>
      </text>
    </comment>
    <comment ref="E17" authorId="0" shapeId="0" xr:uid="{00000000-0006-0000-0B00-00002C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text>
    </comment>
    <comment ref="M17" authorId="1" shapeId="0" xr:uid="{00000000-0006-0000-0B00-00002D000000}">
      <text>
        <r>
          <rPr>
            <sz val="9"/>
            <color indexed="81"/>
            <rFont val="Tahoma"/>
            <family val="2"/>
          </rPr>
          <t>29-30 May 2021; 
5-6 Jun 2021
(For selected candidates)</t>
        </r>
      </text>
    </comment>
    <comment ref="E18" authorId="0" shapeId="0" xr:uid="{00000000-0006-0000-0B00-00002E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M18" authorId="1" shapeId="0" xr:uid="{00000000-0006-0000-0B00-00002F000000}">
      <text>
        <r>
          <rPr>
            <b/>
            <sz val="9"/>
            <color indexed="81"/>
            <rFont val="細明體"/>
            <family val="3"/>
            <charset val="136"/>
          </rPr>
          <t>前</t>
        </r>
        <r>
          <rPr>
            <b/>
            <sz val="9"/>
            <color indexed="81"/>
            <rFont val="Tahoma"/>
            <family val="2"/>
          </rPr>
          <t>:</t>
        </r>
        <r>
          <rPr>
            <sz val="9"/>
            <color indexed="81"/>
            <rFont val="Tahoma"/>
            <family val="2"/>
          </rPr>
          <t xml:space="preserve"> 29-30 May 2021; 5-6 Jun 2021
</t>
        </r>
        <r>
          <rPr>
            <b/>
            <sz val="9"/>
            <color indexed="81"/>
            <rFont val="細明體"/>
            <family val="3"/>
            <charset val="136"/>
          </rPr>
          <t>後</t>
        </r>
        <r>
          <rPr>
            <b/>
            <sz val="9"/>
            <color indexed="81"/>
            <rFont val="Tahoma"/>
            <family val="2"/>
          </rPr>
          <t xml:space="preserve">: </t>
        </r>
        <r>
          <rPr>
            <sz val="9"/>
            <color indexed="81"/>
            <rFont val="Tahoma"/>
            <family val="2"/>
          </rPr>
          <t xml:space="preserve">Late Jul 2021
</t>
        </r>
        <r>
          <rPr>
            <b/>
            <sz val="9"/>
            <color indexed="81"/>
            <rFont val="Tahoma"/>
            <family val="2"/>
          </rPr>
          <t>Interview is compulsory.</t>
        </r>
      </text>
    </comment>
    <comment ref="E19" authorId="0" shapeId="0" xr:uid="{00000000-0006-0000-0B00-000030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t>
        </r>
        <r>
          <rPr>
            <sz val="9"/>
            <color indexed="81"/>
            <rFont val="細明體"/>
            <family val="3"/>
            <charset val="136"/>
          </rPr>
          <t xml:space="preserve">
或</t>
        </r>
        <r>
          <rPr>
            <sz val="9"/>
            <color indexed="81"/>
            <rFont val="Tahoma"/>
            <family val="2"/>
          </rPr>
          <t xml:space="preserve">
</t>
        </r>
        <r>
          <rPr>
            <sz val="9"/>
            <color indexed="81"/>
            <rFont val="細明體"/>
            <family val="3"/>
            <charset val="136"/>
          </rPr>
          <t>下列最佳科目</t>
        </r>
        <r>
          <rPr>
            <sz val="9"/>
            <color indexed="81"/>
            <rFont val="Tahoma"/>
            <family val="2"/>
          </rPr>
          <t xml:space="preserve"> x1.5
(M1/2/</t>
        </r>
        <r>
          <rPr>
            <sz val="9"/>
            <color indexed="81"/>
            <rFont val="細明體"/>
            <family val="3"/>
            <charset val="136"/>
          </rPr>
          <t>化學</t>
        </r>
        <r>
          <rPr>
            <sz val="9"/>
            <color indexed="81"/>
            <rFont val="Tahoma"/>
            <family val="2"/>
          </rPr>
          <t>/</t>
        </r>
        <r>
          <rPr>
            <sz val="9"/>
            <color indexed="81"/>
            <rFont val="細明體"/>
            <family val="3"/>
            <charset val="136"/>
          </rPr>
          <t>經濟</t>
        </r>
        <r>
          <rPr>
            <sz val="9"/>
            <color indexed="81"/>
            <rFont val="Tahoma"/>
            <family val="2"/>
          </rPr>
          <t>/</t>
        </r>
        <r>
          <rPr>
            <sz val="9"/>
            <color indexed="81"/>
            <rFont val="細明體"/>
            <family val="3"/>
            <charset val="136"/>
          </rPr>
          <t>物理</t>
        </r>
        <r>
          <rPr>
            <sz val="9"/>
            <color indexed="81"/>
            <rFont val="Tahoma"/>
            <family val="2"/>
          </rPr>
          <t xml:space="preserve">)
+
</t>
        </r>
        <r>
          <rPr>
            <sz val="9"/>
            <color indexed="81"/>
            <rFont val="細明體"/>
            <family val="3"/>
            <charset val="136"/>
          </rPr>
          <t>最佳</t>
        </r>
        <r>
          <rPr>
            <sz val="9"/>
            <color indexed="81"/>
            <rFont val="Tahoma"/>
            <family val="2"/>
          </rPr>
          <t>2</t>
        </r>
        <r>
          <rPr>
            <sz val="9"/>
            <color indexed="81"/>
            <rFont val="細明體"/>
            <family val="3"/>
            <charset val="136"/>
          </rPr>
          <t>科</t>
        </r>
        <r>
          <rPr>
            <sz val="9"/>
            <color indexed="81"/>
            <rFont val="Tahoma"/>
            <family val="2"/>
          </rPr>
          <t xml:space="preserve"> x1</t>
        </r>
      </text>
    </comment>
    <comment ref="M19" authorId="1" shapeId="0" xr:uid="{00000000-0006-0000-0B00-000031000000}">
      <text>
        <r>
          <rPr>
            <b/>
            <sz val="9"/>
            <color indexed="81"/>
            <rFont val="細明體"/>
            <family val="3"/>
            <charset val="136"/>
          </rPr>
          <t>前</t>
        </r>
        <r>
          <rPr>
            <b/>
            <sz val="9"/>
            <color indexed="81"/>
            <rFont val="Tahoma"/>
            <family val="2"/>
          </rPr>
          <t>:</t>
        </r>
        <r>
          <rPr>
            <sz val="9"/>
            <color indexed="81"/>
            <rFont val="Tahoma"/>
            <family val="2"/>
          </rPr>
          <t xml:space="preserve"> 29-30 May 2021; 5-6 Jun 2021
</t>
        </r>
        <r>
          <rPr>
            <b/>
            <sz val="9"/>
            <color indexed="81"/>
            <rFont val="細明體"/>
            <family val="3"/>
            <charset val="136"/>
          </rPr>
          <t>後</t>
        </r>
        <r>
          <rPr>
            <b/>
            <sz val="9"/>
            <color indexed="81"/>
            <rFont val="Tahoma"/>
            <family val="2"/>
          </rPr>
          <t xml:space="preserve">: </t>
        </r>
        <r>
          <rPr>
            <sz val="9"/>
            <color indexed="81"/>
            <rFont val="Tahoma"/>
            <family val="2"/>
          </rPr>
          <t xml:space="preserve">Late Jul 2021
</t>
        </r>
        <r>
          <rPr>
            <b/>
            <sz val="9"/>
            <color indexed="81"/>
            <rFont val="Tahoma"/>
            <family val="2"/>
          </rPr>
          <t>Interview is compulsory.</t>
        </r>
      </text>
    </comment>
    <comment ref="E20" authorId="0" shapeId="0" xr:uid="{00000000-0006-0000-0B00-000032000000}">
      <text>
        <r>
          <rPr>
            <sz val="9"/>
            <color indexed="81"/>
            <rFont val="細明體"/>
            <family val="3"/>
            <charset val="136"/>
          </rPr>
          <t>英文</t>
        </r>
        <r>
          <rPr>
            <sz val="9"/>
            <color indexed="81"/>
            <rFont val="Tahoma"/>
            <family val="2"/>
          </rPr>
          <t xml:space="preserve"> x2 </t>
        </r>
        <r>
          <rPr>
            <sz val="9"/>
            <color indexed="81"/>
            <rFont val="細明體"/>
            <family val="3"/>
            <charset val="136"/>
          </rPr>
          <t>中文</t>
        </r>
        <r>
          <rPr>
            <sz val="9"/>
            <color indexed="81"/>
            <rFont val="Tahoma"/>
            <family val="2"/>
          </rPr>
          <t xml:space="preserve"> x1.5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M20" authorId="1" shapeId="0" xr:uid="{00000000-0006-0000-0B00-000033000000}">
      <text>
        <r>
          <rPr>
            <sz val="9"/>
            <color indexed="81"/>
            <rFont val="Tahoma"/>
            <family val="2"/>
          </rPr>
          <t>Jun 2021
(For selected candidates)</t>
        </r>
      </text>
    </comment>
    <comment ref="E21" authorId="0" shapeId="0" xr:uid="{00000000-0006-0000-0B00-000034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M21" authorId="1" shapeId="0" xr:uid="{00000000-0006-0000-0B00-000035000000}">
      <text>
        <r>
          <rPr>
            <sz val="9"/>
            <color indexed="81"/>
            <rFont val="Tahoma"/>
            <family val="2"/>
          </rPr>
          <t>Jun 2021
(For selected candidates)</t>
        </r>
      </text>
    </comment>
    <comment ref="E22" authorId="0" shapeId="0" xr:uid="{00000000-0006-0000-0B00-000036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最佳下列理科</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M22" authorId="1" shapeId="0" xr:uid="{00000000-0006-0000-0B00-000037000000}">
      <text>
        <r>
          <rPr>
            <sz val="9"/>
            <color indexed="81"/>
            <rFont val="Tahoma"/>
            <family val="2"/>
          </rPr>
          <t>26 May 2021
(For selected candidates)</t>
        </r>
      </text>
    </comment>
    <comment ref="R22" authorId="1" shapeId="0" xr:uid="{00000000-0006-0000-0B00-000038000000}">
      <text>
        <r>
          <rPr>
            <b/>
            <sz val="9"/>
            <color indexed="81"/>
            <rFont val="細明體"/>
            <family val="3"/>
            <charset val="136"/>
          </rPr>
          <t>以下一科</t>
        </r>
        <r>
          <rPr>
            <b/>
            <sz val="9"/>
            <color indexed="81"/>
            <rFont val="Tahoma"/>
            <family val="2"/>
          </rPr>
          <t>:</t>
        </r>
        <r>
          <rPr>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text>
    </comment>
    <comment ref="E23" authorId="0" shapeId="0" xr:uid="{00000000-0006-0000-0B00-000039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t>
        </r>
      </text>
    </comment>
    <comment ref="M23" authorId="1" shapeId="0" xr:uid="{00000000-0006-0000-0B00-00003A000000}">
      <text>
        <r>
          <rPr>
            <b/>
            <sz val="9"/>
            <color indexed="81"/>
            <rFont val="細明體"/>
            <family val="3"/>
            <charset val="136"/>
          </rPr>
          <t>前</t>
        </r>
        <r>
          <rPr>
            <b/>
            <sz val="9"/>
            <color indexed="81"/>
            <rFont val="Tahoma"/>
            <family val="2"/>
          </rPr>
          <t>:</t>
        </r>
        <r>
          <rPr>
            <sz val="9"/>
            <color indexed="81"/>
            <rFont val="Tahoma"/>
            <family val="2"/>
          </rPr>
          <t xml:space="preserve"> 28 May 2021
</t>
        </r>
        <r>
          <rPr>
            <b/>
            <sz val="9"/>
            <color indexed="81"/>
            <rFont val="細明體"/>
            <family val="3"/>
            <charset val="136"/>
          </rPr>
          <t>後</t>
        </r>
        <r>
          <rPr>
            <b/>
            <sz val="9"/>
            <color indexed="81"/>
            <rFont val="Tahoma"/>
            <family val="2"/>
          </rPr>
          <t xml:space="preserve">: </t>
        </r>
        <r>
          <rPr>
            <sz val="9"/>
            <color indexed="81"/>
            <rFont val="Tahoma"/>
            <family val="2"/>
          </rPr>
          <t>Late Jul 2021
(For selected candidates)</t>
        </r>
      </text>
    </comment>
    <comment ref="E24" authorId="0" shapeId="0" xr:uid="{00000000-0006-0000-0B00-00003B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M1/2 x 2 </t>
        </r>
        <r>
          <rPr>
            <sz val="9"/>
            <color indexed="81"/>
            <rFont val="細明體"/>
            <family val="3"/>
            <charset val="136"/>
          </rPr>
          <t>或</t>
        </r>
        <r>
          <rPr>
            <sz val="9"/>
            <color indexed="81"/>
            <rFont val="Tahoma"/>
            <family val="2"/>
          </rPr>
          <t xml:space="preserve">
</t>
        </r>
        <r>
          <rPr>
            <sz val="9"/>
            <color indexed="81"/>
            <rFont val="細明體"/>
            <family val="3"/>
            <charset val="136"/>
          </rPr>
          <t>最佳下列科目</t>
        </r>
        <r>
          <rPr>
            <sz val="9"/>
            <color indexed="81"/>
            <rFont val="Tahoma"/>
            <family val="2"/>
          </rPr>
          <t xml:space="preserve"> x1.5
(</t>
        </r>
        <r>
          <rPr>
            <sz val="9"/>
            <color indexed="81"/>
            <rFont val="細明體"/>
            <family val="3"/>
            <charset val="136"/>
          </rPr>
          <t>生物</t>
        </r>
        <r>
          <rPr>
            <sz val="9"/>
            <color indexed="81"/>
            <rFont val="Tahoma"/>
            <family val="2"/>
          </rPr>
          <t>/</t>
        </r>
        <r>
          <rPr>
            <sz val="9"/>
            <color indexed="81"/>
            <rFont val="細明體"/>
            <family val="3"/>
            <charset val="136"/>
          </rPr>
          <t>化學</t>
        </r>
        <r>
          <rPr>
            <sz val="9"/>
            <color indexed="81"/>
            <rFont val="Tahoma"/>
            <family val="2"/>
          </rPr>
          <t>/</t>
        </r>
        <r>
          <rPr>
            <sz val="9"/>
            <color indexed="81"/>
            <rFont val="細明體"/>
            <family val="3"/>
            <charset val="136"/>
          </rPr>
          <t>物理</t>
        </r>
        <r>
          <rPr>
            <sz val="9"/>
            <color indexed="81"/>
            <rFont val="Tahoma"/>
            <family val="2"/>
          </rPr>
          <t>/</t>
        </r>
        <r>
          <rPr>
            <sz val="9"/>
            <color indexed="81"/>
            <rFont val="細明體"/>
            <family val="3"/>
            <charset val="136"/>
          </rPr>
          <t>組合科學</t>
        </r>
        <r>
          <rPr>
            <sz val="9"/>
            <color indexed="81"/>
            <rFont val="Tahoma"/>
            <family val="2"/>
          </rPr>
          <t>/</t>
        </r>
        <r>
          <rPr>
            <sz val="9"/>
            <color indexed="81"/>
            <rFont val="細明體"/>
            <family val="3"/>
            <charset val="136"/>
          </rPr>
          <t>綜合科學</t>
        </r>
        <r>
          <rPr>
            <sz val="9"/>
            <color indexed="81"/>
            <rFont val="Tahoma"/>
            <family val="2"/>
          </rPr>
          <t>/</t>
        </r>
        <r>
          <rPr>
            <sz val="9"/>
            <color indexed="81"/>
            <rFont val="細明體"/>
            <family val="3"/>
            <charset val="136"/>
          </rPr>
          <t>經濟</t>
        </r>
        <r>
          <rPr>
            <sz val="9"/>
            <color indexed="81"/>
            <rFont val="Tahoma"/>
            <family val="2"/>
          </rPr>
          <t xml:space="preserve">)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t>
        </r>
      </text>
    </comment>
    <comment ref="M24" authorId="1" shapeId="0" xr:uid="{00000000-0006-0000-0B00-00003C000000}">
      <text>
        <r>
          <rPr>
            <sz val="9"/>
            <color indexed="81"/>
            <rFont val="Tahoma"/>
            <family val="2"/>
          </rPr>
          <t>23 May 2021
(For selected candidates)</t>
        </r>
      </text>
    </comment>
    <comment ref="R24" authorId="0" shapeId="0" xr:uid="{00000000-0006-0000-0B00-00003D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綜合科學</t>
        </r>
        <r>
          <rPr>
            <sz val="9"/>
            <color indexed="81"/>
            <rFont val="Tahoma"/>
            <family val="2"/>
          </rPr>
          <t xml:space="preserve">/
</t>
        </r>
        <r>
          <rPr>
            <sz val="9"/>
            <color indexed="81"/>
            <rFont val="細明體"/>
            <family val="3"/>
            <charset val="136"/>
          </rPr>
          <t>經濟</t>
        </r>
        <r>
          <rPr>
            <sz val="9"/>
            <color indexed="81"/>
            <rFont val="Tahoma"/>
            <family val="2"/>
          </rPr>
          <t>/ M1/2</t>
        </r>
      </text>
    </comment>
    <comment ref="E25" authorId="0" shapeId="0" xr:uid="{00000000-0006-0000-0B00-00003E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t>
        </r>
        <r>
          <rPr>
            <sz val="9"/>
            <color indexed="81"/>
            <rFont val="Tahoma"/>
            <family val="2"/>
          </rPr>
          <t>4</t>
        </r>
        <r>
          <rPr>
            <sz val="9"/>
            <color indexed="81"/>
            <rFont val="細明體"/>
            <family val="3"/>
            <charset val="136"/>
          </rPr>
          <t>科</t>
        </r>
        <r>
          <rPr>
            <sz val="9"/>
            <color indexed="81"/>
            <rFont val="Tahoma"/>
            <family val="2"/>
          </rPr>
          <t xml:space="preserve"> x1 (M1/2 x1.5)
</t>
        </r>
      </text>
    </comment>
    <comment ref="M25" authorId="1" shapeId="0" xr:uid="{00000000-0006-0000-0B00-00003F000000}">
      <text>
        <r>
          <rPr>
            <b/>
            <sz val="9"/>
            <color indexed="81"/>
            <rFont val="細明體"/>
            <family val="3"/>
            <charset val="136"/>
          </rPr>
          <t>前</t>
        </r>
        <r>
          <rPr>
            <b/>
            <sz val="9"/>
            <color indexed="81"/>
            <rFont val="Tahoma"/>
            <family val="2"/>
          </rPr>
          <t>:</t>
        </r>
        <r>
          <rPr>
            <sz val="9"/>
            <color indexed="81"/>
            <rFont val="Tahoma"/>
            <family val="2"/>
          </rPr>
          <t xml:space="preserve"> 31 May 2021 ; 2 Jun 2021
</t>
        </r>
        <r>
          <rPr>
            <b/>
            <sz val="9"/>
            <color indexed="81"/>
            <rFont val="細明體"/>
            <family val="3"/>
            <charset val="136"/>
          </rPr>
          <t>後</t>
        </r>
        <r>
          <rPr>
            <b/>
            <sz val="9"/>
            <color indexed="81"/>
            <rFont val="Tahoma"/>
            <family val="2"/>
          </rPr>
          <t xml:space="preserve">: </t>
        </r>
        <r>
          <rPr>
            <sz val="9"/>
            <color indexed="81"/>
            <rFont val="Tahoma"/>
            <family val="2"/>
          </rPr>
          <t xml:space="preserve">Late Jul 2021
</t>
        </r>
        <r>
          <rPr>
            <b/>
            <sz val="9"/>
            <color indexed="81"/>
            <rFont val="Tahoma"/>
            <family val="2"/>
          </rPr>
          <t>Interview is compulsory.</t>
        </r>
      </text>
    </comment>
    <comment ref="E26" authorId="0" shapeId="0" xr:uid="{00000000-0006-0000-0B00-000040000000}">
      <text>
        <r>
          <rPr>
            <sz val="9"/>
            <color indexed="81"/>
            <rFont val="細明體"/>
            <family val="3"/>
            <charset val="136"/>
          </rPr>
          <t>英文</t>
        </r>
        <r>
          <rPr>
            <sz val="9"/>
            <color indexed="81"/>
            <rFont val="Tahoma"/>
            <family val="2"/>
          </rPr>
          <t xml:space="preserve"> x2 </t>
        </r>
        <r>
          <rPr>
            <sz val="9"/>
            <color indexed="81"/>
            <rFont val="細明體"/>
            <family val="3"/>
            <charset val="136"/>
          </rPr>
          <t>數學</t>
        </r>
        <r>
          <rPr>
            <sz val="9"/>
            <color indexed="81"/>
            <rFont val="Tahoma"/>
            <family val="2"/>
          </rPr>
          <t xml:space="preserve"> x2
+
</t>
        </r>
        <r>
          <rPr>
            <sz val="9"/>
            <color indexed="81"/>
            <rFont val="細明體"/>
            <family val="3"/>
            <charset val="136"/>
          </rPr>
          <t>最佳理科</t>
        </r>
        <r>
          <rPr>
            <sz val="9"/>
            <color indexed="81"/>
            <rFont val="Tahoma"/>
            <family val="2"/>
          </rPr>
          <t xml:space="preserve"> x2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xml:space="preserve">)
</t>
        </r>
        <r>
          <rPr>
            <sz val="9"/>
            <color indexed="81"/>
            <rFont val="細明體"/>
            <family val="3"/>
            <charset val="136"/>
          </rPr>
          <t>或</t>
        </r>
        <r>
          <rPr>
            <sz val="9"/>
            <color indexed="81"/>
            <rFont val="Tahoma"/>
            <family val="2"/>
          </rPr>
          <t xml:space="preserve">
ICT x1
+
</t>
        </r>
        <r>
          <rPr>
            <sz val="9"/>
            <color indexed="81"/>
            <rFont val="細明體"/>
            <family val="3"/>
            <charset val="136"/>
          </rPr>
          <t>最佳</t>
        </r>
        <r>
          <rPr>
            <sz val="9"/>
            <color indexed="81"/>
            <rFont val="Tahoma"/>
            <family val="2"/>
          </rPr>
          <t>3</t>
        </r>
        <r>
          <rPr>
            <sz val="9"/>
            <color indexed="81"/>
            <rFont val="細明體"/>
            <family val="3"/>
            <charset val="136"/>
          </rPr>
          <t>科</t>
        </r>
        <r>
          <rPr>
            <sz val="9"/>
            <color indexed="81"/>
            <rFont val="Tahoma"/>
            <family val="2"/>
          </rPr>
          <t xml:space="preserve"> x1 (M1/2 x1.5)
</t>
        </r>
      </text>
    </comment>
    <comment ref="M26" authorId="1" shapeId="0" xr:uid="{00000000-0006-0000-0B00-000041000000}">
      <text>
        <r>
          <rPr>
            <b/>
            <sz val="9"/>
            <color indexed="81"/>
            <rFont val="細明體"/>
            <family val="3"/>
            <charset val="136"/>
          </rPr>
          <t>前</t>
        </r>
        <r>
          <rPr>
            <b/>
            <sz val="9"/>
            <color indexed="81"/>
            <rFont val="Tahoma"/>
            <family val="2"/>
          </rPr>
          <t>:</t>
        </r>
        <r>
          <rPr>
            <sz val="9"/>
            <color indexed="81"/>
            <rFont val="Tahoma"/>
            <family val="2"/>
          </rPr>
          <t xml:space="preserve"> 27 May 2021
</t>
        </r>
        <r>
          <rPr>
            <b/>
            <sz val="9"/>
            <color indexed="81"/>
            <rFont val="細明體"/>
            <family val="3"/>
            <charset val="136"/>
          </rPr>
          <t>後</t>
        </r>
        <r>
          <rPr>
            <b/>
            <sz val="9"/>
            <color indexed="81"/>
            <rFont val="Tahoma"/>
            <family val="2"/>
          </rPr>
          <t xml:space="preserve">: </t>
        </r>
        <r>
          <rPr>
            <sz val="9"/>
            <color indexed="81"/>
            <rFont val="Tahoma"/>
            <family val="2"/>
          </rPr>
          <t xml:space="preserve">Late Jul 2021
</t>
        </r>
        <r>
          <rPr>
            <b/>
            <sz val="9"/>
            <color indexed="81"/>
            <rFont val="Tahoma"/>
            <family val="2"/>
          </rPr>
          <t>Interview is compulsory.</t>
        </r>
      </text>
    </comment>
    <comment ref="R26" authorId="0" shapeId="0" xr:uid="{00000000-0006-0000-0B00-000042000000}">
      <text>
        <r>
          <rPr>
            <b/>
            <sz val="9"/>
            <color indexed="81"/>
            <rFont val="細明體"/>
            <family val="3"/>
            <charset val="136"/>
          </rPr>
          <t>以下一科</t>
        </r>
        <r>
          <rPr>
            <b/>
            <sz val="9"/>
            <color indexed="81"/>
            <rFont val="Tahoma"/>
            <family val="2"/>
          </rPr>
          <t xml:space="preserve">:
</t>
        </r>
        <r>
          <rPr>
            <sz val="9"/>
            <color indexed="81"/>
            <rFont val="細明體"/>
            <family val="3"/>
            <charset val="136"/>
          </rPr>
          <t>生物</t>
        </r>
        <r>
          <rPr>
            <sz val="9"/>
            <color indexed="81"/>
            <rFont val="Tahoma"/>
            <family val="2"/>
          </rPr>
          <t xml:space="preserve">/ </t>
        </r>
        <r>
          <rPr>
            <sz val="9"/>
            <color indexed="81"/>
            <rFont val="細明體"/>
            <family val="3"/>
            <charset val="136"/>
          </rPr>
          <t>化學</t>
        </r>
        <r>
          <rPr>
            <sz val="9"/>
            <color indexed="81"/>
            <rFont val="Tahoma"/>
            <family val="2"/>
          </rPr>
          <t xml:space="preserve"> /</t>
        </r>
        <r>
          <rPr>
            <sz val="9"/>
            <color indexed="81"/>
            <rFont val="細明體"/>
            <family val="3"/>
            <charset val="136"/>
          </rPr>
          <t>物理</t>
        </r>
        <r>
          <rPr>
            <sz val="9"/>
            <color indexed="81"/>
            <rFont val="Tahoma"/>
            <family val="2"/>
          </rPr>
          <t xml:space="preserve"> / </t>
        </r>
        <r>
          <rPr>
            <sz val="9"/>
            <color indexed="81"/>
            <rFont val="細明體"/>
            <family val="3"/>
            <charset val="136"/>
          </rPr>
          <t>組合科學</t>
        </r>
        <r>
          <rPr>
            <sz val="9"/>
            <color indexed="81"/>
            <rFont val="Tahoma"/>
            <family val="2"/>
          </rPr>
          <t>/ ICT</t>
        </r>
      </text>
    </comment>
  </commentList>
</comments>
</file>

<file path=xl/sharedStrings.xml><?xml version="1.0" encoding="utf-8"?>
<sst xmlns="http://schemas.openxmlformats.org/spreadsheetml/2006/main" count="13639" uniqueCount="2510">
  <si>
    <t>請輸入你的成績:</t>
    <phoneticPr fontId="2" type="noConversion"/>
  </si>
  <si>
    <t>英國語文</t>
    <phoneticPr fontId="2" type="noConversion"/>
  </si>
  <si>
    <t>中國語文</t>
    <phoneticPr fontId="2" type="noConversion"/>
  </si>
  <si>
    <t>數學</t>
    <phoneticPr fontId="2" type="noConversion"/>
  </si>
  <si>
    <t>通識教育</t>
    <phoneticPr fontId="2" type="noConversion"/>
  </si>
  <si>
    <t>核心科目</t>
    <phoneticPr fontId="2" type="noConversion"/>
  </si>
  <si>
    <t>選修科目</t>
    <phoneticPr fontId="2" type="noConversion"/>
  </si>
  <si>
    <t>中國文學</t>
  </si>
  <si>
    <t>生物</t>
  </si>
  <si>
    <t>企業、會計與財務概論</t>
  </si>
  <si>
    <t>英語文學</t>
  </si>
  <si>
    <t>化學</t>
  </si>
  <si>
    <t>設計與應用科技</t>
  </si>
  <si>
    <t>中國歷史</t>
  </si>
  <si>
    <t>物理</t>
  </si>
  <si>
    <t>健康管理與社會關懷</t>
  </si>
  <si>
    <t>經濟</t>
  </si>
  <si>
    <t>資訊及通訊科技</t>
  </si>
  <si>
    <t>倫理與宗教</t>
  </si>
  <si>
    <t>科技與生活</t>
  </si>
  <si>
    <t>地理</t>
  </si>
  <si>
    <t>音樂</t>
  </si>
  <si>
    <t>歷史</t>
  </si>
  <si>
    <t>視覺藝術</t>
  </si>
  <si>
    <t>旅遊與款待</t>
  </si>
  <si>
    <t>體育</t>
  </si>
  <si>
    <t>綜合科學</t>
  </si>
  <si>
    <t>第四選修科</t>
  </si>
  <si>
    <t>丙類選修科</t>
  </si>
  <si>
    <t>等級</t>
    <phoneticPr fontId="4" type="noConversion"/>
  </si>
  <si>
    <t>法語</t>
  </si>
  <si>
    <t>5**</t>
    <phoneticPr fontId="4" type="noConversion"/>
  </si>
  <si>
    <t>A</t>
    <phoneticPr fontId="4" type="noConversion"/>
  </si>
  <si>
    <t>日語</t>
  </si>
  <si>
    <t>5*</t>
    <phoneticPr fontId="4" type="noConversion"/>
  </si>
  <si>
    <t>B</t>
    <phoneticPr fontId="4" type="noConversion"/>
  </si>
  <si>
    <t>德語</t>
  </si>
  <si>
    <t>C</t>
    <phoneticPr fontId="4" type="noConversion"/>
  </si>
  <si>
    <t>印地語</t>
  </si>
  <si>
    <t>D</t>
    <phoneticPr fontId="4" type="noConversion"/>
  </si>
  <si>
    <t>西班牙語</t>
  </si>
  <si>
    <t>E</t>
    <phoneticPr fontId="4" type="noConversion"/>
  </si>
  <si>
    <t>烏爾都語</t>
  </si>
  <si>
    <t>U</t>
    <phoneticPr fontId="4" type="noConversion"/>
  </si>
  <si>
    <t>請選擇等級</t>
  </si>
  <si>
    <t>請選擇等級</t>
    <phoneticPr fontId="4" type="noConversion"/>
  </si>
  <si>
    <t>請選擇語言科目</t>
    <phoneticPr fontId="2" type="noConversion"/>
  </si>
  <si>
    <t>請選擇第一選修科</t>
    <phoneticPr fontId="2" type="noConversion"/>
  </si>
  <si>
    <t>請選擇第二選修科</t>
    <phoneticPr fontId="2" type="noConversion"/>
  </si>
  <si>
    <t>請選擇第三選修科</t>
    <phoneticPr fontId="2" type="noConversion"/>
  </si>
  <si>
    <t>請選擇第四選修科</t>
    <phoneticPr fontId="2" type="noConversion"/>
  </si>
  <si>
    <t>第一選修科</t>
    <phoneticPr fontId="2" type="noConversion"/>
  </si>
  <si>
    <t>第二選修科</t>
    <phoneticPr fontId="2" type="noConversion"/>
  </si>
  <si>
    <t>第三選修科</t>
    <phoneticPr fontId="2" type="noConversion"/>
  </si>
  <si>
    <t>丙類科目等級</t>
    <phoneticPr fontId="4" type="noConversion"/>
  </si>
  <si>
    <t>組合科學 (物理、化學)</t>
    <phoneticPr fontId="2" type="noConversion"/>
  </si>
  <si>
    <t>組合科學 (生物、化學)</t>
    <phoneticPr fontId="2" type="noConversion"/>
  </si>
  <si>
    <t>組合科學 (物理、生物)</t>
    <phoneticPr fontId="2" type="noConversion"/>
  </si>
  <si>
    <t>Best 6</t>
    <phoneticPr fontId="2" type="noConversion"/>
  </si>
  <si>
    <t>Best 5</t>
    <phoneticPr fontId="2" type="noConversion"/>
  </si>
  <si>
    <t>4C+2X</t>
    <phoneticPr fontId="2" type="noConversion"/>
  </si>
  <si>
    <t>4C+1X</t>
    <phoneticPr fontId="2" type="noConversion"/>
  </si>
  <si>
    <t>^不計算語言科目</t>
    <phoneticPr fontId="2" type="noConversion"/>
  </si>
  <si>
    <t>數學延伸</t>
    <phoneticPr fontId="2" type="noConversion"/>
  </si>
  <si>
    <t>M1/2</t>
    <phoneticPr fontId="2" type="noConversion"/>
  </si>
  <si>
    <t xml:space="preserve">Best 5 </t>
    <phoneticPr fontId="2" type="noConversion"/>
  </si>
  <si>
    <t>4C+2X (M)</t>
    <phoneticPr fontId="2" type="noConversion"/>
  </si>
  <si>
    <t>Best 5 (M)</t>
    <phoneticPr fontId="2" type="noConversion"/>
  </si>
  <si>
    <t>Best 6 (M)</t>
    <phoneticPr fontId="2" type="noConversion"/>
  </si>
  <si>
    <t>4C+1X (M)</t>
    <phoneticPr fontId="2" type="noConversion"/>
  </si>
  <si>
    <t>包括M1/2</t>
    <phoneticPr fontId="2" type="noConversion"/>
  </si>
  <si>
    <t>JS4006</t>
  </si>
  <si>
    <t>人類學</t>
  </si>
  <si>
    <t>JS4018</t>
  </si>
  <si>
    <t>中國語言及文學</t>
  </si>
  <si>
    <t>JS4020</t>
  </si>
  <si>
    <t>文化研究</t>
  </si>
  <si>
    <t>JS4022</t>
  </si>
  <si>
    <t>文化管理</t>
  </si>
  <si>
    <t>JS4032</t>
  </si>
  <si>
    <t>JS4044</t>
  </si>
  <si>
    <t>藝術</t>
  </si>
  <si>
    <t>JS4056</t>
  </si>
  <si>
    <t>JS4068</t>
  </si>
  <si>
    <t>日本研究</t>
  </si>
  <si>
    <t>JS4070</t>
  </si>
  <si>
    <t>JS4082</t>
  </si>
  <si>
    <t>JS4094</t>
  </si>
  <si>
    <t>JS4109</t>
  </si>
  <si>
    <t>JS4111</t>
  </si>
  <si>
    <t>JS4123</t>
  </si>
  <si>
    <t>翻譯</t>
  </si>
  <si>
    <t>JS4202</t>
  </si>
  <si>
    <t>工商管理學士綜合課程</t>
  </si>
  <si>
    <t>JS4214</t>
  </si>
  <si>
    <t>環球商業學</t>
  </si>
  <si>
    <t>JS4226</t>
  </si>
  <si>
    <t>JS4240</t>
  </si>
  <si>
    <t>JS4254</t>
  </si>
  <si>
    <t>環球經濟與金融跨學科主修課程</t>
  </si>
  <si>
    <t>JS4276</t>
  </si>
  <si>
    <t>JS4329</t>
  </si>
  <si>
    <t>JS4331</t>
  </si>
  <si>
    <t>文學士及教育學士 (中國語文教育) 同期結業雙學位課程</t>
  </si>
  <si>
    <t>JS4343</t>
  </si>
  <si>
    <t>文學士(英國語文研究)及教育學士(英國語文教育)</t>
  </si>
  <si>
    <t>JS4361</t>
  </si>
  <si>
    <t>教育學士(數學及數學教育)</t>
  </si>
  <si>
    <t>JS4401</t>
  </si>
  <si>
    <t>JS4501</t>
  </si>
  <si>
    <t>JS4502</t>
  </si>
  <si>
    <t>JS4513</t>
  </si>
  <si>
    <t>護理學</t>
  </si>
  <si>
    <t>JS4525</t>
  </si>
  <si>
    <t>藥劑學</t>
  </si>
  <si>
    <t>JS4537</t>
  </si>
  <si>
    <t>公共衞生</t>
  </si>
  <si>
    <t>JS4542</t>
  </si>
  <si>
    <t>中醫學</t>
  </si>
  <si>
    <t>JS4601</t>
  </si>
  <si>
    <t>理學</t>
  </si>
  <si>
    <t>JS4682</t>
  </si>
  <si>
    <t>JS4690</t>
  </si>
  <si>
    <t>JS4719</t>
  </si>
  <si>
    <t>風險管理科學</t>
  </si>
  <si>
    <t>JS4801</t>
  </si>
  <si>
    <t>社會科學</t>
  </si>
  <si>
    <t>JS4812</t>
  </si>
  <si>
    <t>建築學</t>
  </si>
  <si>
    <t>JS4824</t>
  </si>
  <si>
    <t>JS4836</t>
  </si>
  <si>
    <t>JS4838</t>
  </si>
  <si>
    <t>城市研究</t>
  </si>
  <si>
    <t>JS4848</t>
  </si>
  <si>
    <t>政治與行政學</t>
  </si>
  <si>
    <t>JS4850</t>
  </si>
  <si>
    <t>新聞與傳播學</t>
  </si>
  <si>
    <t>JS4862</t>
  </si>
  <si>
    <t>心理學</t>
  </si>
  <si>
    <t>JS4874</t>
  </si>
  <si>
    <t>社會工作學</t>
  </si>
  <si>
    <t>JS4886</t>
  </si>
  <si>
    <t>社會學</t>
  </si>
  <si>
    <t>JS4903</t>
  </si>
  <si>
    <t>法學士</t>
  </si>
  <si>
    <t>英文</t>
  </si>
  <si>
    <t>語言學</t>
  </si>
  <si>
    <t>哲學</t>
  </si>
  <si>
    <t>宗教研究</t>
  </si>
  <si>
    <t>神學</t>
  </si>
  <si>
    <t>酒店旅遊及房地產</t>
  </si>
  <si>
    <t>JS4238</t>
  </si>
  <si>
    <t>保險、金融與精算學</t>
  </si>
  <si>
    <t>專業會計學</t>
  </si>
  <si>
    <t>JS4252</t>
  </si>
  <si>
    <t>計量金融學</t>
  </si>
  <si>
    <t>JS4264</t>
  </si>
  <si>
    <t>工商管理學士（工商管理學士綜合課程）及法律博士</t>
  </si>
  <si>
    <t>計量金融學及風險管理科學</t>
  </si>
  <si>
    <t>JS4428</t>
  </si>
  <si>
    <t>金融科技學</t>
  </si>
  <si>
    <t>JS4434</t>
  </si>
  <si>
    <t>電子工程學</t>
  </si>
  <si>
    <t>JS4460</t>
  </si>
  <si>
    <t>生物醫學工程學</t>
  </si>
  <si>
    <t>JS4462</t>
  </si>
  <si>
    <t>能源與環境工程學</t>
  </si>
  <si>
    <t>內外全科醫學士課程</t>
  </si>
  <si>
    <t>內外全科醫學士課程環球醫學領袖培訓專修組別</t>
  </si>
  <si>
    <t>JS4550</t>
  </si>
  <si>
    <t>生物醫學</t>
  </si>
  <si>
    <t>JS4633</t>
  </si>
  <si>
    <t>地球系統科學 (大氣科學 / 地球物理)</t>
  </si>
  <si>
    <t>數學精研</t>
  </si>
  <si>
    <t>理論物理精研</t>
  </si>
  <si>
    <t>經濟學</t>
  </si>
  <si>
    <t>地理與資源管理學</t>
  </si>
  <si>
    <t>JS4858</t>
  </si>
  <si>
    <t>全球傳播</t>
  </si>
  <si>
    <t>JS4892</t>
  </si>
  <si>
    <t>全球研究</t>
  </si>
  <si>
    <t>教育學士(幼兒教育)</t>
  </si>
  <si>
    <t>數據科學與政策研究</t>
  </si>
  <si>
    <t>JS4136</t>
  </si>
  <si>
    <t>中國研究</t>
  </si>
  <si>
    <t>健康與體育運動科學</t>
  </si>
  <si>
    <t>JS4372</t>
  </si>
  <si>
    <t>JS4468</t>
  </si>
  <si>
    <t>JS4893</t>
  </si>
  <si>
    <t>Best 5</t>
  </si>
  <si>
    <t>4C2X</t>
  </si>
  <si>
    <t>工程學 (大類收生)</t>
  </si>
  <si>
    <t>人工智能：系統與科技 (工程學士)</t>
  </si>
  <si>
    <t>CUHK</t>
    <phoneticPr fontId="2" type="noConversion"/>
  </si>
  <si>
    <t>總分</t>
    <phoneticPr fontId="2" type="noConversion"/>
  </si>
  <si>
    <t>4C2X</t>
    <phoneticPr fontId="2" type="noConversion"/>
  </si>
  <si>
    <t>企業、會計與財務概論</t>
    <phoneticPr fontId="2" type="noConversion"/>
  </si>
  <si>
    <t>中英較高者</t>
    <phoneticPr fontId="2" type="noConversion"/>
  </si>
  <si>
    <t>較高者</t>
    <phoneticPr fontId="2" type="noConversion"/>
  </si>
  <si>
    <t>第一最高</t>
    <phoneticPr fontId="2" type="noConversion"/>
  </si>
  <si>
    <t>第二最高</t>
    <phoneticPr fontId="2" type="noConversion"/>
  </si>
  <si>
    <t>第三最高</t>
    <phoneticPr fontId="2" type="noConversion"/>
  </si>
  <si>
    <t>最高選修</t>
    <phoneticPr fontId="2" type="noConversion"/>
  </si>
  <si>
    <t>編號</t>
  </si>
  <si>
    <t>計分方式</t>
  </si>
  <si>
    <t>你的分數</t>
  </si>
  <si>
    <t>JS6004</t>
  </si>
  <si>
    <t>建築學文學士</t>
  </si>
  <si>
    <t>JS6016</t>
  </si>
  <si>
    <t>理學士(測量學)</t>
  </si>
  <si>
    <t>JS6028</t>
  </si>
  <si>
    <t>園境學文學士</t>
  </si>
  <si>
    <t>JS6042</t>
  </si>
  <si>
    <t>文學士(城市研究)</t>
  </si>
  <si>
    <t>JS6054</t>
  </si>
  <si>
    <t>文學士</t>
  </si>
  <si>
    <t>JS6066</t>
  </si>
  <si>
    <t>文學士及教育學士(語文教育) - 英文教育 (雙學位課程)</t>
  </si>
  <si>
    <t>JS6078</t>
  </si>
  <si>
    <t>文學士及法學士 (雙學位課程)</t>
  </si>
  <si>
    <t>JS6080</t>
  </si>
  <si>
    <t>文學士及教育學士(語文教育) - 中文教育 (雙學位課程)</t>
  </si>
  <si>
    <t>JS6092</t>
  </si>
  <si>
    <t>教育學士(幼兒教育及特殊教育)</t>
  </si>
  <si>
    <t>JS6107</t>
  </si>
  <si>
    <t>牙醫學士</t>
  </si>
  <si>
    <t>JS6119</t>
  </si>
  <si>
    <t>教育學士及理學士 (雙學位課程)</t>
  </si>
  <si>
    <t>JS6157</t>
  </si>
  <si>
    <t>理學士(言語及聽覺科學)</t>
  </si>
  <si>
    <t>JS6195</t>
  </si>
  <si>
    <t>教育學士及社會科學學士 (雙學位課程)</t>
  </si>
  <si>
    <t>JS6212</t>
  </si>
  <si>
    <t>文理學士</t>
  </si>
  <si>
    <t>JS6224</t>
  </si>
  <si>
    <t>文理學士(應用人工智能)</t>
  </si>
  <si>
    <t>JS6236</t>
  </si>
  <si>
    <t>文理學士(設計＋)</t>
  </si>
  <si>
    <t>JS6248</t>
  </si>
  <si>
    <t>文理學士(金融科技)</t>
  </si>
  <si>
    <t>JS6250</t>
  </si>
  <si>
    <t>文理學士(環球衞生及發展)</t>
  </si>
  <si>
    <t>JS6406</t>
  </si>
  <si>
    <t>JS6456</t>
  </si>
  <si>
    <t>內外全科醫學士</t>
  </si>
  <si>
    <t>JS6468</t>
  </si>
  <si>
    <t>護理學學士</t>
  </si>
  <si>
    <t>JS6482</t>
  </si>
  <si>
    <t>中醫全科學士</t>
  </si>
  <si>
    <t>JS6494</t>
  </si>
  <si>
    <t>藥劑學學士</t>
  </si>
  <si>
    <t>JS6717</t>
  </si>
  <si>
    <t>社會科學學士</t>
  </si>
  <si>
    <t>JS6729</t>
  </si>
  <si>
    <t>理學士(精算學)</t>
  </si>
  <si>
    <t>JS6731</t>
  </si>
  <si>
    <t>社會工作學學士</t>
  </si>
  <si>
    <t>JS6767</t>
  </si>
  <si>
    <t>經濟學學士 / 經濟金融學學士</t>
  </si>
  <si>
    <t>JS6781</t>
  </si>
  <si>
    <t>工商管理學學士 / 工商管理學學士(會計及財務)</t>
  </si>
  <si>
    <t>JS6793</t>
  </si>
  <si>
    <t>工商管理學學士(資訊系統)</t>
  </si>
  <si>
    <t>JS6808</t>
  </si>
  <si>
    <t>工商管理學學士(法學)及法學士 (雙學位課程)</t>
  </si>
  <si>
    <t>JS6810</t>
  </si>
  <si>
    <t>社會科學學士(政治學與法學)及法學士 (雙學位課程)</t>
  </si>
  <si>
    <t>JS6822</t>
  </si>
  <si>
    <t>新聞學學士</t>
  </si>
  <si>
    <t>JS6860</t>
  </si>
  <si>
    <t>金融學學士(資產管理及私人銀行)</t>
  </si>
  <si>
    <t>JS6884</t>
  </si>
  <si>
    <t>理學士(計量金融)</t>
  </si>
  <si>
    <t>JS6896</t>
  </si>
  <si>
    <t>工商管理學學士(國際商業及環球管理)</t>
  </si>
  <si>
    <t>JS6901</t>
  </si>
  <si>
    <t>理學士</t>
  </si>
  <si>
    <t>JS6925</t>
  </si>
  <si>
    <t>工學學士(生物醫學工程)</t>
  </si>
  <si>
    <t>JS6937</t>
  </si>
  <si>
    <t>環球工程與商業課程</t>
  </si>
  <si>
    <t>JS6949</t>
  </si>
  <si>
    <t>生物醫學學士</t>
  </si>
  <si>
    <t>JS6951</t>
  </si>
  <si>
    <t>工學學士(工程科學)</t>
  </si>
  <si>
    <t>JS6963</t>
  </si>
  <si>
    <t>工學學士</t>
  </si>
  <si>
    <t>文學院</t>
  </si>
  <si>
    <t>商學院</t>
  </si>
  <si>
    <t>商學院/社會科學院</t>
  </si>
  <si>
    <t>商學院/法學院</t>
  </si>
  <si>
    <t>商學院/理學院</t>
  </si>
  <si>
    <t>教育學院</t>
  </si>
  <si>
    <t>工程學院</t>
  </si>
  <si>
    <t>醫學院</t>
  </si>
  <si>
    <t>理學院</t>
  </si>
  <si>
    <t>社會科學院</t>
  </si>
  <si>
    <t>法學院</t>
  </si>
  <si>
    <t>學院</t>
  </si>
  <si>
    <t>UQ</t>
  </si>
  <si>
    <t>Median</t>
  </si>
  <si>
    <t>LQ</t>
  </si>
  <si>
    <t>Bachelor of Laws</t>
  </si>
  <si>
    <t>Anthropology</t>
  </si>
  <si>
    <t>Chinese Language and Literature</t>
  </si>
  <si>
    <t>Cultural Studies</t>
  </si>
  <si>
    <t>Cultural Management</t>
  </si>
  <si>
    <t>English</t>
  </si>
  <si>
    <t>Fine Arts</t>
  </si>
  <si>
    <t>History</t>
  </si>
  <si>
    <t>Japanese Studies</t>
  </si>
  <si>
    <t>Linguistics</t>
  </si>
  <si>
    <t>Music</t>
  </si>
  <si>
    <t>Philosophy</t>
  </si>
  <si>
    <t>Religious Studies</t>
  </si>
  <si>
    <t>Theology</t>
  </si>
  <si>
    <t>Translation</t>
  </si>
  <si>
    <t>Chinese Studies</t>
  </si>
  <si>
    <t>Integrated Bachelor of Business Administration Programme</t>
  </si>
  <si>
    <t>Global Business Studies</t>
  </si>
  <si>
    <t>Insurance, Financial and Actuarial Analysis</t>
  </si>
  <si>
    <t>Quantitative Finance</t>
  </si>
  <si>
    <t>Interdisciplinary Major Programme in Global Economics and Finance</t>
  </si>
  <si>
    <t>Bachelor of Business Administration (Integrated BBA Programme) and Juris Doctor Double Degree Programme</t>
  </si>
  <si>
    <t>Quantitative Finance and Risk Management Science</t>
  </si>
  <si>
    <t>Physical Education, Exercise Science and Health</t>
  </si>
  <si>
    <t>B.A. (Chinese Language Studies) and B.Ed. (Chinese Language Education)</t>
  </si>
  <si>
    <t>B.A. (English Studies) and B.Ed. (English Language Education)</t>
  </si>
  <si>
    <t>B.Ed. in Mathematics and Mathematics Education</t>
  </si>
  <si>
    <t>B.Ed. in Early Childhood Education</t>
  </si>
  <si>
    <t>Engineering</t>
  </si>
  <si>
    <t>BEng in Financial Technology</t>
  </si>
  <si>
    <t>BEng in Electronic Engineering</t>
  </si>
  <si>
    <t>BEng in Biomedical Engineering</t>
  </si>
  <si>
    <t>BEng in Energy and Environmental Engineering</t>
  </si>
  <si>
    <t>BEng in Artificial Intelligence: Systems and Technologies</t>
  </si>
  <si>
    <t>Medicine (MBChB) Programme</t>
  </si>
  <si>
    <t>Medicine (MBChB) Programme Global Physician-Leadership Stream (GPS)</t>
  </si>
  <si>
    <t>Nursing</t>
  </si>
  <si>
    <t>Pharmacy</t>
  </si>
  <si>
    <t>Public Health</t>
  </si>
  <si>
    <t>Chinese Medicine</t>
  </si>
  <si>
    <t>Biomedical Sciences</t>
  </si>
  <si>
    <t>Science</t>
  </si>
  <si>
    <t>Earth System Science (Atmospheric Science / Geophysics)</t>
  </si>
  <si>
    <t>Enrichment Mathematics</t>
  </si>
  <si>
    <t>Enrichment Stream in Theoretical Physics</t>
  </si>
  <si>
    <t>Risk Management Science</t>
  </si>
  <si>
    <t>Social Science</t>
  </si>
  <si>
    <t>Architectural Studies</t>
  </si>
  <si>
    <t>Geography and Resource Management</t>
  </si>
  <si>
    <t>Urban Studies</t>
  </si>
  <si>
    <t>Journalism and Communication</t>
  </si>
  <si>
    <t>Psychology</t>
  </si>
  <si>
    <t>Social Work</t>
  </si>
  <si>
    <t>Sociology</t>
  </si>
  <si>
    <t>Global Studies</t>
  </si>
  <si>
    <t>Data Science and Policy Studies</t>
  </si>
  <si>
    <t>JS4862</t>
    <phoneticPr fontId="2" type="noConversion"/>
  </si>
  <si>
    <t>數學精研</t>
    <phoneticPr fontId="2" type="noConversion"/>
  </si>
  <si>
    <t>/</t>
    <phoneticPr fontId="2" type="noConversion"/>
  </si>
  <si>
    <t>學額</t>
    <phoneticPr fontId="2" type="noConversion"/>
  </si>
  <si>
    <t>4C3X</t>
    <phoneticPr fontId="2" type="noConversion"/>
  </si>
  <si>
    <t>差距(Median)</t>
  </si>
  <si>
    <t>差距(Median)</t>
    <phoneticPr fontId="2" type="noConversion"/>
  </si>
  <si>
    <t>差距(UQ)</t>
    <phoneticPr fontId="2" type="noConversion"/>
  </si>
  <si>
    <t>差距(LQ)</t>
    <phoneticPr fontId="2" type="noConversion"/>
  </si>
  <si>
    <t>課程/學科</t>
    <phoneticPr fontId="2" type="noConversion"/>
  </si>
  <si>
    <t>UQ</t>
    <phoneticPr fontId="2" type="noConversion"/>
  </si>
  <si>
    <t>中</t>
    <phoneticPr fontId="2" type="noConversion"/>
  </si>
  <si>
    <t>英</t>
    <phoneticPr fontId="2" type="noConversion"/>
  </si>
  <si>
    <t>數</t>
    <phoneticPr fontId="2" type="noConversion"/>
  </si>
  <si>
    <t>通</t>
    <phoneticPr fontId="2" type="noConversion"/>
  </si>
  <si>
    <t>E1</t>
    <phoneticPr fontId="2" type="noConversion"/>
  </si>
  <si>
    <t>E2</t>
    <phoneticPr fontId="2" type="noConversion"/>
  </si>
  <si>
    <t>設計與應用科技</t>
    <phoneticPr fontId="2" type="noConversion"/>
  </si>
  <si>
    <t>資格</t>
    <phoneticPr fontId="2" type="noConversion"/>
  </si>
  <si>
    <t>建築學院</t>
    <phoneticPr fontId="2" type="noConversion"/>
  </si>
  <si>
    <t>經濟及工商管理學院</t>
  </si>
  <si>
    <t>教育學院</t>
    <phoneticPr fontId="2" type="noConversion"/>
  </si>
  <si>
    <t>法律學院</t>
    <phoneticPr fontId="2" type="noConversion"/>
  </si>
  <si>
    <t>工程學院</t>
    <phoneticPr fontId="2" type="noConversion"/>
  </si>
  <si>
    <t>醫學院</t>
    <phoneticPr fontId="2" type="noConversion"/>
  </si>
  <si>
    <t>理學院</t>
    <phoneticPr fontId="2" type="noConversion"/>
  </si>
  <si>
    <t>社會科學院</t>
    <phoneticPr fontId="2" type="noConversion"/>
  </si>
  <si>
    <t>文理學士學位</t>
    <phoneticPr fontId="2" type="noConversion"/>
  </si>
  <si>
    <t>總分</t>
  </si>
  <si>
    <t>等級</t>
  </si>
  <si>
    <t>無加分制</t>
    <phoneticPr fontId="2" type="noConversion"/>
  </si>
  <si>
    <t>HKU</t>
    <phoneticPr fontId="2" type="noConversion"/>
  </si>
  <si>
    <t>最高理科</t>
    <phoneticPr fontId="2" type="noConversion"/>
  </si>
  <si>
    <t>MA+(M1/2*0.5) /2</t>
    <phoneticPr fontId="2" type="noConversion"/>
  </si>
  <si>
    <t>有?</t>
    <phoneticPr fontId="2" type="noConversion"/>
  </si>
  <si>
    <t>物+組</t>
    <phoneticPr fontId="2" type="noConversion"/>
  </si>
  <si>
    <t>化+組</t>
    <phoneticPr fontId="2" type="noConversion"/>
  </si>
  <si>
    <t>JS3337</t>
  </si>
  <si>
    <t>JS3349</t>
  </si>
  <si>
    <t>JS3351</t>
  </si>
  <si>
    <t>JS3375</t>
  </si>
  <si>
    <t>JS3387</t>
  </si>
  <si>
    <t>JS3442</t>
  </si>
  <si>
    <t>JS3466</t>
  </si>
  <si>
    <t>JS3478</t>
  </si>
  <si>
    <t>JS3492</t>
  </si>
  <si>
    <t>JS3507</t>
  </si>
  <si>
    <t>JS3519</t>
  </si>
  <si>
    <t>JS3557</t>
  </si>
  <si>
    <t>JS3569</t>
  </si>
  <si>
    <t>JS3571</t>
  </si>
  <si>
    <t>JS3583</t>
  </si>
  <si>
    <t>JS3595</t>
  </si>
  <si>
    <t>JS3600</t>
  </si>
  <si>
    <t>JS3612</t>
  </si>
  <si>
    <t>JS3624</t>
  </si>
  <si>
    <t>JS3636</t>
  </si>
  <si>
    <t>JS3648</t>
  </si>
  <si>
    <t>JS3650</t>
  </si>
  <si>
    <t>JS3662</t>
  </si>
  <si>
    <t>JS3674</t>
  </si>
  <si>
    <t>JS3703</t>
  </si>
  <si>
    <t>JS3715</t>
  </si>
  <si>
    <t>JS3739</t>
  </si>
  <si>
    <t>JS3741</t>
  </si>
  <si>
    <t>JS3753</t>
  </si>
  <si>
    <t>JS3765</t>
  </si>
  <si>
    <t>JS3777</t>
  </si>
  <si>
    <t>JS3789</t>
  </si>
  <si>
    <t>JS3791</t>
  </si>
  <si>
    <t>JS3806</t>
  </si>
  <si>
    <t>JS3818</t>
  </si>
  <si>
    <t>JS3820</t>
  </si>
  <si>
    <t>JS3832</t>
  </si>
  <si>
    <t>JS3868</t>
  </si>
  <si>
    <t>JS3882</t>
  </si>
  <si>
    <t>JS3894</t>
  </si>
  <si>
    <t>JS3911</t>
  </si>
  <si>
    <t>JS3923</t>
  </si>
  <si>
    <t>JS3985</t>
  </si>
  <si>
    <t>JS3997</t>
  </si>
  <si>
    <t>JS3014</t>
  </si>
  <si>
    <t>JS3026</t>
  </si>
  <si>
    <t>JS3038</t>
  </si>
  <si>
    <t>JS3040</t>
  </si>
  <si>
    <t>JS3052</t>
  </si>
  <si>
    <t>JS3064</t>
  </si>
  <si>
    <t>JS3076</t>
  </si>
  <si>
    <t>JS3105</t>
  </si>
  <si>
    <t>JS3117</t>
  </si>
  <si>
    <t>JS3284</t>
  </si>
  <si>
    <t>BSc (Hons) in Mental Health Nursing</t>
  </si>
  <si>
    <t>BSc (Hons) in Food Safety and Technology</t>
  </si>
  <si>
    <t>BEng (Hons) in Transportation Systems Engineering</t>
  </si>
  <si>
    <t>BSc (Hons) in Property Management</t>
  </si>
  <si>
    <t>BBA (Hons) in Accounting &amp; Finance</t>
  </si>
  <si>
    <t>BSc (Hons) in Medical Laboratory Science</t>
  </si>
  <si>
    <t>BEng (Hons) in Aviation Engineering</t>
  </si>
  <si>
    <t>BSc (Hons) in Internet &amp; Multimedia Technologies</t>
  </si>
  <si>
    <t>BSc (Hons) Scheme in Logistics and Enterprise Engineering</t>
  </si>
  <si>
    <t>BBA (Hons) in Management</t>
  </si>
  <si>
    <t>BBA (Hons) in Financial Services</t>
  </si>
  <si>
    <t>BSc (Hons) in Biomedical Engineering</t>
  </si>
  <si>
    <t>BSc (Hons) in Radiography</t>
  </si>
  <si>
    <t>BSc (Hons) in Occupational Therapy</t>
  </si>
  <si>
    <t>BSc (Hons) in Physiotherapy</t>
  </si>
  <si>
    <t>BSc (Hons) in Nursing</t>
  </si>
  <si>
    <t>BSc (Hons) in Optometry</t>
  </si>
  <si>
    <t>BA (Hons) in Social Work</t>
  </si>
  <si>
    <t>BBA (Hons) in International Shipping &amp; Transport Logistics</t>
  </si>
  <si>
    <t>BEng (Hons) in Electronic &amp; Information Engineering</t>
  </si>
  <si>
    <t>BEng (Hons) in Electrical Engineering</t>
  </si>
  <si>
    <t>BEng (Hons) in Civil Engineering</t>
  </si>
  <si>
    <t>BEng (Hons) Scheme in Mechanical Engineering</t>
  </si>
  <si>
    <t>BEng (Hons) in Building Services Engineering</t>
  </si>
  <si>
    <t>BSc (Hons) in Surveying</t>
  </si>
  <si>
    <t>BSc (Hons) in Building Engineering and Management</t>
  </si>
  <si>
    <t>BSc (Hons) in Investment Science and Finance Analytics</t>
  </si>
  <si>
    <t>BA (Hons) in Linguistics and Translation</t>
  </si>
  <si>
    <t>BSc (Hons) in Tourism &amp; Events Management</t>
  </si>
  <si>
    <t>BSc (Hons) Scheme in Computing</t>
  </si>
  <si>
    <t>BSc (Hons) in Hotel Management</t>
  </si>
  <si>
    <t>BBA (Hons) in Marketing</t>
  </si>
  <si>
    <t>BBA (Hons) in Accountancy</t>
  </si>
  <si>
    <t>BSc (Hons) in Applied Biology with Biotechnology</t>
  </si>
  <si>
    <t>BSc (Hons) in Engineering Physics</t>
  </si>
  <si>
    <t>BSc (Hons) in Chemical Technology</t>
  </si>
  <si>
    <t>精神健康護理學(榮譽)理學士學位</t>
  </si>
  <si>
    <t>食品科技與食物安全(榮譽)理學士學位</t>
  </si>
  <si>
    <t>運輸系統工程學(榮譽)工學士學位</t>
  </si>
  <si>
    <t>環境工程與可持續發展學(榮譽)工學士學位</t>
  </si>
  <si>
    <t>土地測量及地理資訊學(榮譽)理學士學位</t>
  </si>
  <si>
    <t>物業管理學(榮譽)理學士學位</t>
  </si>
  <si>
    <t>會計及金融(榮譽)工商管理學士學位</t>
  </si>
  <si>
    <t>醫療化驗科學(榮譽)理學士學位</t>
  </si>
  <si>
    <t>服裝及紡織(榮譽)文學士學位組合課程</t>
  </si>
  <si>
    <t>航空工程學(榮譽)工學士學位</t>
  </si>
  <si>
    <t>互聯網及多媒體科技(榮譽)理學士學位</t>
  </si>
  <si>
    <t>產品及工業工程(榮譽)工學士學位組合課程</t>
  </si>
  <si>
    <t>設計學(榮譽)文學士學位組合課程</t>
  </si>
  <si>
    <t>物流及企業工程(榮譽)理學士學位組合課程</t>
  </si>
  <si>
    <t>管理學(榮譽)工商管理學士學位</t>
  </si>
  <si>
    <t>金融服務(榮譽)工商管理學士學位</t>
  </si>
  <si>
    <t>生物醫學工程(榮譽)理學士學位</t>
  </si>
  <si>
    <t>放射學(榮譽)理學士學位</t>
  </si>
  <si>
    <t>職業治療學(榮譽)理學士學位</t>
  </si>
  <si>
    <t>物理治療學(榮譽)理學士學位</t>
  </si>
  <si>
    <t>護理學(榮譽)理學士學位</t>
  </si>
  <si>
    <t>眼科視光學(榮譽)理學士學位</t>
  </si>
  <si>
    <t>社會工作(榮譽)文學士學位</t>
  </si>
  <si>
    <t>國際航運及物流管理(榮譽)工商管理學士學位</t>
  </si>
  <si>
    <t>電子及資訊工程學(榮譽)工學士學位</t>
  </si>
  <si>
    <t>電機工程學(榮譽)工學士學位</t>
  </si>
  <si>
    <t>土木工程學(榮譽)工學士學位</t>
  </si>
  <si>
    <t>機械工程(榮譽)工學士學位組合課程</t>
  </si>
  <si>
    <t>屋宇設備工程學(榮譽)工學士學位</t>
  </si>
  <si>
    <t>社會政策及社會創業(榮譽)文學士學位</t>
  </si>
  <si>
    <t>結構及消防安全工程學(榮譽)工學士學位</t>
  </si>
  <si>
    <t>地產及建設測量學(榮譽)理學士學位</t>
  </si>
  <si>
    <t>建築工程及管理學(榮譽)理學士學位</t>
  </si>
  <si>
    <t>投資科學及金融分析(榮譽)理學士學位</t>
  </si>
  <si>
    <t>語言學及翻譯學(榮譽)文學士學位</t>
  </si>
  <si>
    <t>旅遊業及會展管理(榮譽)理學士學位</t>
  </si>
  <si>
    <t>專業英文(榮譽)文學士學位</t>
  </si>
  <si>
    <t>電子計算(榮譽)理學士學位組合課程</t>
  </si>
  <si>
    <t>酒店業管理(榮譽)理學士學位</t>
  </si>
  <si>
    <t>市場學(榮譽)工商管理學士學位</t>
  </si>
  <si>
    <t>會計學(榮譽)工商管理學士學位</t>
  </si>
  <si>
    <t>應用生物兼生物科技(榮譽)理學士學位</t>
  </si>
  <si>
    <t>工程物理學(榮譽)理學士學位</t>
  </si>
  <si>
    <t>化學科技(榮譽)理學士學位</t>
  </si>
  <si>
    <t>HD in Applied Physics</t>
  </si>
  <si>
    <t>HD in Building Services Engineering</t>
  </si>
  <si>
    <t>HD in Building Technology &amp; Management (Engineering)</t>
  </si>
  <si>
    <t>HD in Civil Engineering</t>
  </si>
  <si>
    <t>HD in Electrical Engineering</t>
  </si>
  <si>
    <t>HD in Electronic &amp; Information Engineering</t>
  </si>
  <si>
    <t>HD in Land Surveying and Geo-Informatics</t>
  </si>
  <si>
    <t>HD in Industrial &amp; Systems Engineering</t>
  </si>
  <si>
    <t>HD in Building Technology &amp; Management (Surveying)</t>
  </si>
  <si>
    <t>應用物理學高級文憑</t>
  </si>
  <si>
    <t>屋宇設備工程學高級文憑</t>
  </si>
  <si>
    <t>建築科技及管理學高級文憑(工程)</t>
  </si>
  <si>
    <t>化學科技高級文憑</t>
  </si>
  <si>
    <t>土木工程學高級文憑</t>
  </si>
  <si>
    <t>電機工程學高級文憑</t>
  </si>
  <si>
    <t>電子及資訊工程學高級文憑</t>
  </si>
  <si>
    <t>土地測量及地理資訊學高級文憑</t>
  </si>
  <si>
    <t>工業及系統工程學高級文憑</t>
  </si>
  <si>
    <t>建築科技及管理學高級文憑(測量)</t>
  </si>
  <si>
    <t>Best 6</t>
  </si>
  <si>
    <t>中英+3X</t>
  </si>
  <si>
    <t>PolyU</t>
    <phoneticPr fontId="2" type="noConversion"/>
  </si>
  <si>
    <t>#C4</t>
    <phoneticPr fontId="2" type="noConversion"/>
  </si>
  <si>
    <t>#D4</t>
    <phoneticPr fontId="2" type="noConversion"/>
  </si>
  <si>
    <t>#E4</t>
    <phoneticPr fontId="2" type="noConversion"/>
  </si>
  <si>
    <t>#F4</t>
    <phoneticPr fontId="2" type="noConversion"/>
  </si>
  <si>
    <t>#G4</t>
    <phoneticPr fontId="2" type="noConversion"/>
  </si>
  <si>
    <t>#H4</t>
    <phoneticPr fontId="2" type="noConversion"/>
  </si>
  <si>
    <t>#I4</t>
    <phoneticPr fontId="2" type="noConversion"/>
  </si>
  <si>
    <t>#J4</t>
    <phoneticPr fontId="2" type="noConversion"/>
  </si>
  <si>
    <t>#K4</t>
    <phoneticPr fontId="2" type="noConversion"/>
  </si>
  <si>
    <t>#L4</t>
    <phoneticPr fontId="2" type="noConversion"/>
  </si>
  <si>
    <t>JS5101</t>
  </si>
  <si>
    <t>International Research Enrichment</t>
  </si>
  <si>
    <t>國際科研</t>
  </si>
  <si>
    <t>JS5102</t>
  </si>
  <si>
    <t>理學Ａ組</t>
  </si>
  <si>
    <t>JS5103</t>
  </si>
  <si>
    <t>理學Ｂ組</t>
  </si>
  <si>
    <t>JS5200</t>
  </si>
  <si>
    <t>工程學</t>
  </si>
  <si>
    <t>JS5211</t>
  </si>
  <si>
    <t>理學士（綜合系統與設計）</t>
  </si>
  <si>
    <t>JS5300</t>
  </si>
  <si>
    <t>Business and Management</t>
  </si>
  <si>
    <t>工商管理</t>
  </si>
  <si>
    <t>JS5311</t>
  </si>
  <si>
    <t>BBA in Economics</t>
  </si>
  <si>
    <t>工商管理學士（經濟學）</t>
  </si>
  <si>
    <t>JS5312</t>
  </si>
  <si>
    <t>BBA in Finance</t>
  </si>
  <si>
    <t>工商管理學士（金融學）</t>
  </si>
  <si>
    <t>JS5313</t>
  </si>
  <si>
    <t>BBA in Global Business</t>
  </si>
  <si>
    <t>工商管理學士（環球商業管理）</t>
  </si>
  <si>
    <t>JS5314</t>
  </si>
  <si>
    <t>BBA in Information Systems</t>
  </si>
  <si>
    <t>工商管理學士（資訊系統學）</t>
  </si>
  <si>
    <t>JS5315</t>
  </si>
  <si>
    <t>BBA in Management</t>
  </si>
  <si>
    <t>工商管理學士（管理學）</t>
  </si>
  <si>
    <t>JS5316</t>
  </si>
  <si>
    <t>BBA in Marketing</t>
  </si>
  <si>
    <t>工商管理學士（市場學）</t>
  </si>
  <si>
    <t>JS5317</t>
  </si>
  <si>
    <t>BBA in Operations Management</t>
  </si>
  <si>
    <t>工商管理學士（營運管理學）</t>
  </si>
  <si>
    <t>JS5318</t>
  </si>
  <si>
    <t>BBA in Professional Accounting</t>
  </si>
  <si>
    <t>工商管理學士（專業會計學）</t>
  </si>
  <si>
    <t>JS5331</t>
  </si>
  <si>
    <t>BSc in Economics and Finance</t>
  </si>
  <si>
    <t>理學士（經濟及金融學）</t>
  </si>
  <si>
    <t>JS5332</t>
  </si>
  <si>
    <t>BSc in Quantitative Finance</t>
  </si>
  <si>
    <t>理學士（量化金融學）</t>
  </si>
  <si>
    <t>JS5411</t>
  </si>
  <si>
    <t>BSc in Global China Studies</t>
  </si>
  <si>
    <t>理學士（環球中國研究）</t>
  </si>
  <si>
    <t>JS5412</t>
  </si>
  <si>
    <t>BSc in Quantitative Social Analysis</t>
  </si>
  <si>
    <t>理學士（定量社會數據分析）</t>
  </si>
  <si>
    <t>JS5811</t>
  </si>
  <si>
    <t>BSc in Biotechnology and Business</t>
  </si>
  <si>
    <t>理學士（生物科技及商學）</t>
  </si>
  <si>
    <t>JS5812</t>
  </si>
  <si>
    <t>BSc in Environmental Management and Technology</t>
  </si>
  <si>
    <t>理學士（環境管理及科技）</t>
  </si>
  <si>
    <t>JS5813</t>
  </si>
  <si>
    <t>理學士（數學與經濟學）</t>
  </si>
  <si>
    <t>JS5814</t>
  </si>
  <si>
    <t>BSc in Risk Management and Business Intelligence</t>
  </si>
  <si>
    <t>理學士（風險管理及商業智能學）</t>
  </si>
  <si>
    <t>JS5901</t>
  </si>
  <si>
    <t>科技及管理學雙學位課程</t>
  </si>
  <si>
    <t>UST</t>
    <phoneticPr fontId="2" type="noConversion"/>
  </si>
  <si>
    <t>英數Best3^</t>
    <phoneticPr fontId="2" type="noConversion"/>
  </si>
  <si>
    <t>英數Best3</t>
  </si>
  <si>
    <t>英數Best4</t>
  </si>
  <si>
    <t>中英Best4</t>
    <phoneticPr fontId="2" type="noConversion"/>
  </si>
  <si>
    <t>JS1000</t>
  </si>
  <si>
    <t>理學士(計算金融及金融科技)</t>
  </si>
  <si>
    <t>BSc Computational Finance and Financial Technology</t>
  </si>
  <si>
    <t>JS1001</t>
  </si>
  <si>
    <t>工商管理學士(環球商業)</t>
  </si>
  <si>
    <t>BBA Global Business</t>
  </si>
  <si>
    <t>JS1002</t>
  </si>
  <si>
    <t>工商管理學士(會計)</t>
  </si>
  <si>
    <t>BBA Accountancy</t>
  </si>
  <si>
    <t>JS1005</t>
  </si>
  <si>
    <t>工商管理學士(管理學)</t>
  </si>
  <si>
    <t>BBA Management</t>
  </si>
  <si>
    <t>JS1007</t>
  </si>
  <si>
    <t>工商管理學士(市場營銷)</t>
  </si>
  <si>
    <t>BBA Marketing</t>
  </si>
  <si>
    <t>JS1012</t>
  </si>
  <si>
    <t>經濟及金融系 [選項: 工商管理學士(商業經濟)、工商管理學士(金融)]</t>
  </si>
  <si>
    <t>JS1013</t>
  </si>
  <si>
    <t>工商管理學士(商業經濟)</t>
  </si>
  <si>
    <t>JS1014</t>
  </si>
  <si>
    <t>工商管理學士(金融)</t>
  </si>
  <si>
    <t>JS1017</t>
  </si>
  <si>
    <t>資訊系統學系 [選項: 工商管理學士(環球商業系統管理)、工商管理學士(資訊管理)]</t>
  </si>
  <si>
    <t>JS1018</t>
  </si>
  <si>
    <t>工商管理學士(環球商業系統管理)</t>
  </si>
  <si>
    <t>JS1019</t>
  </si>
  <si>
    <t>工商管理學士(資訊管理)</t>
  </si>
  <si>
    <t>JS1025</t>
  </si>
  <si>
    <t>管理科學系 [選項: 工商管理學士(商業分析)、工商管理學士(商業營運管理)]</t>
  </si>
  <si>
    <t>JS1026</t>
  </si>
  <si>
    <t>工商管理學士(商業分析)</t>
  </si>
  <si>
    <t>JS1027</t>
  </si>
  <si>
    <t>工商管理學士(商業營運管理)</t>
  </si>
  <si>
    <t>JS1041</t>
  </si>
  <si>
    <t>創意媒體學院 [選項: 文學士(創意媒體)、理學士(創意媒體)、文理學士(新媒體)]</t>
  </si>
  <si>
    <t>School of Creative Media (options: BA Creative Media, BSc Creative Media, BAS New Media)</t>
  </si>
  <si>
    <t>JS1042</t>
  </si>
  <si>
    <t>文學士(創意媒體)</t>
  </si>
  <si>
    <t>BA Creative Media</t>
  </si>
  <si>
    <t>JS1043</t>
  </si>
  <si>
    <t>理學士(創意媒體)</t>
  </si>
  <si>
    <t>BSc Creative Media</t>
  </si>
  <si>
    <t>JS1044</t>
  </si>
  <si>
    <t>文理學士(新媒體)</t>
  </si>
  <si>
    <t>BAS New Media</t>
  </si>
  <si>
    <t>JS1051</t>
  </si>
  <si>
    <t>能源及環境學院 [選項: 工學士(能源科學及工程學)、工學士(環境科學及工程學)]</t>
  </si>
  <si>
    <t>School of Energy and Environment (options: BEng Energy Science and Engineering, BEng Environmental Science and Engineering)</t>
  </si>
  <si>
    <t>JS1061</t>
  </si>
  <si>
    <t>法律學學士</t>
  </si>
  <si>
    <t>JS1071</t>
  </si>
  <si>
    <t>數據科學學院 [選項：理學士 (數據科學)、工學士 (數據與系統工程)]</t>
  </si>
  <si>
    <t>School of Data Science (options: BSc Data Science, BEng Data and Systems Engineering)</t>
  </si>
  <si>
    <t>JS1072</t>
  </si>
  <si>
    <t>理學士(數據科學)</t>
  </si>
  <si>
    <t>BSc Data Science</t>
  </si>
  <si>
    <t>JS1073</t>
  </si>
  <si>
    <t>工學士(數據與系統工程)</t>
  </si>
  <si>
    <t>BEng Data and Systems Engineering</t>
  </si>
  <si>
    <t>JS1091</t>
  </si>
  <si>
    <t>建築科技學部 [選項: 理學副學士(屋宇裝備工程學)、理學副學士(建造工程及管理學)、理學副學士(測量學)]</t>
  </si>
  <si>
    <t>Division of Building Science and Technology (options: ASc Building Services Engineering, ASc Construction Engineering and Management, ASc Surveying)</t>
  </si>
  <si>
    <t>JS1093</t>
  </si>
  <si>
    <t>理學副學士(建築學)</t>
  </si>
  <si>
    <t>ASc Architectural Studies</t>
  </si>
  <si>
    <t>JS1102</t>
  </si>
  <si>
    <t>社會科學學士(亞洲及國際研究)</t>
  </si>
  <si>
    <t>BSocSc Asian and International Studies</t>
  </si>
  <si>
    <t>JS1103</t>
  </si>
  <si>
    <t>文學士(中文及歷史)</t>
  </si>
  <si>
    <t>BA Chinese and History</t>
  </si>
  <si>
    <t>JS1104</t>
  </si>
  <si>
    <t>文學士(英語語言)</t>
  </si>
  <si>
    <t>BA English</t>
  </si>
  <si>
    <t>JS1105</t>
  </si>
  <si>
    <t>翻譯及語言學系 [選項: 文學士(語言學及語言應用)、文學士(翻譯及傳譯)]</t>
  </si>
  <si>
    <t>Department of Linguistics and Translation (options: BA Linguistics and Language Applications, BA Translation and Interpretation)</t>
  </si>
  <si>
    <t>JS1106</t>
  </si>
  <si>
    <t>媒體與傳播系 [選項: 文學士(數碼電視與廣播)、文學士(媒體與傳播)]</t>
  </si>
  <si>
    <t>Department of Media and Communication (options: BA Digital Television and Broadcasting, BA Media and Communication)</t>
  </si>
  <si>
    <t>JS1108</t>
  </si>
  <si>
    <t>社會科學學士(公共政策與政治)</t>
  </si>
  <si>
    <t>BSocSc Public Policy and Politics</t>
  </si>
  <si>
    <t>JS1110</t>
  </si>
  <si>
    <t>社會及行為科學系 [選項: 社會科學學士(犯罪學及社會學)、社會科學學士(心理學)、社會科學學士(社會工作)]</t>
  </si>
  <si>
    <t>Department of Social and Behavioural Sciences (options: BSocSc Criminology and Sociology, BSocSc Psychology, BSocSc Social Work)</t>
  </si>
  <si>
    <t>JS1111</t>
  </si>
  <si>
    <t>社會科學學士(犯罪學及社會學)</t>
  </si>
  <si>
    <t>BSocSc Criminology and Sociology</t>
  </si>
  <si>
    <t>JS1112</t>
  </si>
  <si>
    <t>社會科學學士(心理學)</t>
  </si>
  <si>
    <t>BSocSc Psychology</t>
  </si>
  <si>
    <t>JS1113</t>
  </si>
  <si>
    <t>社會科學學士(社會工作)</t>
  </si>
  <si>
    <t>BSocSc Social Work</t>
  </si>
  <si>
    <t>JS1202</t>
  </si>
  <si>
    <t>理學士(化學)</t>
  </si>
  <si>
    <t>BSc Chemistry</t>
  </si>
  <si>
    <t>JS1204</t>
  </si>
  <si>
    <t>理學士(電腦科學)</t>
  </si>
  <si>
    <t>BSc Computer Science</t>
  </si>
  <si>
    <t>JS1205</t>
  </si>
  <si>
    <t>電機工程學系 [選項: 工學士(電子計算機及數據工程學)、工學士(電子及電機工程學)、工學士(資訊工程學)]</t>
  </si>
  <si>
    <t>Department of Electrical Engineering (options:BEng Computer&amp;Data Engineering, BEng Electronic&amp;Electrical Engineering, BEng Information Engineering)</t>
  </si>
  <si>
    <t>JS1206</t>
  </si>
  <si>
    <t>理學士(計算數學)</t>
  </si>
  <si>
    <t>BSc Computing Mathematics</t>
  </si>
  <si>
    <t>JS1207</t>
  </si>
  <si>
    <t>機械工程學系 [選項: 工學士(機械工程)、工學士(核子及風險工程)]</t>
  </si>
  <si>
    <t>Department of Mechanical Engineering (options: BEng Mechanical Engineering,BEng Nuclear &amp; Risk Engineering)</t>
  </si>
  <si>
    <t>JS1208</t>
  </si>
  <si>
    <t>JS1210</t>
  </si>
  <si>
    <t>工學士(材料科學及工程)</t>
  </si>
  <si>
    <t>BEng Materials Science and Engineering</t>
  </si>
  <si>
    <t>JS1211</t>
  </si>
  <si>
    <t>工學士(生物醫學工程)</t>
  </si>
  <si>
    <t>建築學及土木工程學系 [選項: 工學士(建築工程)、工學士(土木工程)、理學士(測量學)]</t>
  </si>
  <si>
    <t>Department of Architecture and Civil Engineering (options: BEng Architectural Engineering, BEng Civil Engineering, BSc Surveying)</t>
  </si>
  <si>
    <t>JS1801</t>
  </si>
  <si>
    <t>獸醫學學士</t>
  </si>
  <si>
    <t>JS1805</t>
  </si>
  <si>
    <t>生物醫學系 [選項: 理學士(生物科學)、理學士(生物醫學)]</t>
  </si>
  <si>
    <t>Department of Biomedical Sciences (options: BSc Biological Sciences, BSc Biomedical Sciences)</t>
  </si>
  <si>
    <t>JS1806</t>
  </si>
  <si>
    <t>理學士(生物科學)</t>
  </si>
  <si>
    <t>BSc Biological Sciences</t>
  </si>
  <si>
    <t>JS1807</t>
  </si>
  <si>
    <t>理學士(生物醫學)</t>
  </si>
  <si>
    <t>BSc Biomedical Sciences</t>
  </si>
  <si>
    <t>CityU</t>
    <phoneticPr fontId="2" type="noConversion"/>
  </si>
  <si>
    <t>最高選修</t>
  </si>
  <si>
    <t>Best results in 2 or more sittings of DSE</t>
  </si>
  <si>
    <t xml:space="preserve">Best results in 2019 &amp; 2020 </t>
  </si>
  <si>
    <t>Best results in latest 2 sittings of DSE (must include 2020)</t>
  </si>
  <si>
    <t>Best results in 2018, 2019 &amp; 2020</t>
  </si>
  <si>
    <t>Best results in the latest 3 sittings of DSE</t>
  </si>
  <si>
    <t>Latest results in 2 or more sittings of DSE</t>
  </si>
  <si>
    <t>Best results in 2019 &amp; 2020 (other sitting(s) will be considered on a case-by-case basis)</t>
  </si>
  <si>
    <t>醫療及社會科學院</t>
  </si>
  <si>
    <t>人文學院</t>
  </si>
  <si>
    <t>醫療及社會科學院</t>
    <phoneticPr fontId="2" type="noConversion"/>
  </si>
  <si>
    <t>建設及環境學院</t>
  </si>
  <si>
    <t>工商管理學院</t>
  </si>
  <si>
    <t>應用科學及紡織學院</t>
  </si>
  <si>
    <t>應用科學及紡織學院</t>
    <phoneticPr fontId="2" type="noConversion"/>
  </si>
  <si>
    <t>酒店及旅遊業管理學院</t>
  </si>
  <si>
    <t>設計學院</t>
    <phoneticPr fontId="2" type="noConversion"/>
  </si>
  <si>
    <t>Mean</t>
    <phoneticPr fontId="2" type="noConversion"/>
  </si>
  <si>
    <t>人文社會科學學院</t>
    <phoneticPr fontId="2" type="noConversion"/>
  </si>
  <si>
    <t>工學院</t>
    <phoneticPr fontId="2" type="noConversion"/>
  </si>
  <si>
    <t>商學院</t>
    <phoneticPr fontId="2" type="noConversion"/>
  </si>
  <si>
    <t>跨學科課程</t>
    <phoneticPr fontId="2" type="noConversion"/>
  </si>
  <si>
    <t>英數Best4</t>
    <phoneticPr fontId="2" type="noConversion"/>
  </si>
  <si>
    <t>2科理科?</t>
    <phoneticPr fontId="2" type="noConversion"/>
  </si>
  <si>
    <t>第二理科</t>
    <phoneticPr fontId="2" type="noConversion"/>
  </si>
  <si>
    <t>生/化</t>
    <phoneticPr fontId="2" type="noConversion"/>
  </si>
  <si>
    <t>ICT</t>
    <phoneticPr fontId="2" type="noConversion"/>
  </si>
  <si>
    <t>DAT</t>
    <phoneticPr fontId="2" type="noConversion"/>
  </si>
  <si>
    <t>理學</t>
    <phoneticPr fontId="2" type="noConversion"/>
  </si>
  <si>
    <t>M/Chem/Econ/Phys</t>
    <phoneticPr fontId="2" type="noConversion"/>
  </si>
  <si>
    <t>英數Best3</t>
    <phoneticPr fontId="2" type="noConversion"/>
  </si>
  <si>
    <t>差距(LQ)</t>
  </si>
  <si>
    <t>JS3442</t>
    <phoneticPr fontId="2" type="noConversion"/>
  </si>
  <si>
    <t>/</t>
  </si>
  <si>
    <t xml:space="preserve">JS8105 </t>
  </si>
  <si>
    <t>中國語文教育榮譽學士</t>
  </si>
  <si>
    <t xml:space="preserve">JS8222 </t>
  </si>
  <si>
    <t>英國語文教育榮譽學士 — 小學</t>
  </si>
  <si>
    <t xml:space="preserve">JS8234 </t>
  </si>
  <si>
    <t>小學教育榮譽學士 - 常識</t>
  </si>
  <si>
    <t xml:space="preserve">JS8246 </t>
  </si>
  <si>
    <t>小學教育榮譽學士 - 數學</t>
  </si>
  <si>
    <t xml:space="preserve">JS8325 </t>
  </si>
  <si>
    <t>體育教育榮譽學士</t>
  </si>
  <si>
    <t xml:space="preserve">JS8361 </t>
  </si>
  <si>
    <t>中學教育榮譽學士 - 資訊及通訊科技</t>
  </si>
  <si>
    <t xml:space="preserve">JS8371 </t>
  </si>
  <si>
    <t>企業、會計與財務概論教育榮譽學士</t>
  </si>
  <si>
    <t xml:space="preserve">JS8391 </t>
  </si>
  <si>
    <t>中學數學教育榮譽學士</t>
  </si>
  <si>
    <t xml:space="preserve">JS8404 </t>
  </si>
  <si>
    <t>幼兒教育榮譽學士</t>
  </si>
  <si>
    <t xml:space="preserve">JS8428 </t>
  </si>
  <si>
    <t>地理教育榮譽學士</t>
  </si>
  <si>
    <t xml:space="preserve">JS8430 </t>
  </si>
  <si>
    <t>科學教育榮譽學士</t>
  </si>
  <si>
    <t xml:space="preserve">JS8600 </t>
  </si>
  <si>
    <t>語文研究榮譽文學士 (中文主修)</t>
  </si>
  <si>
    <t xml:space="preserve">JS8612 </t>
  </si>
  <si>
    <t>語文研究榮譽文學士 (英文主修)</t>
  </si>
  <si>
    <t xml:space="preserve">JS8624 </t>
  </si>
  <si>
    <t>全球及環境研究榮譽社會科學學士</t>
  </si>
  <si>
    <t xml:space="preserve">JS8636 </t>
  </si>
  <si>
    <t>創意藝術與文化榮譽文學士 (音樂)</t>
  </si>
  <si>
    <t xml:space="preserve">JS8648 </t>
  </si>
  <si>
    <t>創意藝術與文化榮譽文學士 (視覺藝術)</t>
  </si>
  <si>
    <t xml:space="preserve">JS8651 </t>
  </si>
  <si>
    <t>心理學榮譽社會科學學士</t>
  </si>
  <si>
    <t xml:space="preserve">JS8663 </t>
  </si>
  <si>
    <t>特殊教育榮譽文學士</t>
  </si>
  <si>
    <t xml:space="preserve">JS8801 </t>
  </si>
  <si>
    <t>創意藝術與文化榮譽文學士及音樂教育榮譽學士 (同期 結業雙學位課程)</t>
  </si>
  <si>
    <t xml:space="preserve">JS8813 </t>
  </si>
  <si>
    <t>創意藝術與文化榮譽文學士及視覺藝術教育榮譽學士 (同期結業雙學位課程)</t>
  </si>
  <si>
    <t xml:space="preserve">JS8825 </t>
  </si>
  <si>
    <t>語文研究榮譽文學士及英文教育榮譽學士 (同期結業雙 學位課程)</t>
  </si>
  <si>
    <t xml:space="preserve">JS8507 </t>
  </si>
  <si>
    <t>幼兒教育高級文憑</t>
  </si>
  <si>
    <t>EdU</t>
  </si>
  <si>
    <t>歷史/中史</t>
  </si>
  <si>
    <t>LingU</t>
  </si>
  <si>
    <t>差距(Mean)</t>
    <phoneticPr fontId="2" type="noConversion"/>
  </si>
  <si>
    <t>理學(綜)</t>
    <phoneticPr fontId="2" type="noConversion"/>
  </si>
  <si>
    <t>中文(榮譽)文學士</t>
  </si>
  <si>
    <t>翻譯(榮譽)文學士</t>
  </si>
  <si>
    <t>當代英語語言文學課程(榮譽) 文學士</t>
  </si>
  <si>
    <t>文化研究(榮譽)文學士</t>
  </si>
  <si>
    <t>歷史(榮譽)文學士</t>
  </si>
  <si>
    <t>哲學(榮譽)文學士</t>
  </si>
  <si>
    <t>視覺研究(榮譽)文學士</t>
  </si>
  <si>
    <t>工商管理(榮譽)學士</t>
  </si>
  <si>
    <t>工商管理(榮譽)學士 - 風險及 保險管理</t>
  </si>
  <si>
    <t>數據科學(榮譽)理學士</t>
  </si>
  <si>
    <t>社會科學(榮譽)學士</t>
  </si>
  <si>
    <t>BSocSc (Hons)</t>
  </si>
  <si>
    <t>環球博雅教育(榮譽)文學士</t>
  </si>
  <si>
    <t>人文社會科學院</t>
    <phoneticPr fontId="2" type="noConversion"/>
  </si>
  <si>
    <t>創意媒體學院 [選項: 文學士(創意媒體)、理學士(創意媒體)、文理學士(新媒體)]</t>
    <phoneticPr fontId="2" type="noConversion"/>
  </si>
  <si>
    <t>創意媒體學院</t>
  </si>
  <si>
    <t>能源及環境學院 [選項: 工學士(能源科學及工程學)、工學士(環境科學及工程學)]</t>
    <phoneticPr fontId="2" type="noConversion"/>
  </si>
  <si>
    <t>能源及環境學院</t>
  </si>
  <si>
    <t>數據科學學院 [選項：理學士 (數據科學)、工學士 (數據與系統工程)]</t>
    <phoneticPr fontId="2" type="noConversion"/>
  </si>
  <si>
    <t>數據科學學院</t>
  </si>
  <si>
    <t>建築科技學部 [選項: 理學副學士(屋宇裝備工程學)、理學副學士(建造工程及管理學)、理學副學士(測量學)]</t>
    <phoneticPr fontId="2" type="noConversion"/>
  </si>
  <si>
    <t>賽馬會動物醫學及生命科學院</t>
    <phoneticPr fontId="2" type="noConversion"/>
  </si>
  <si>
    <t>理學士(數據科學)</t>
    <phoneticPr fontId="2" type="noConversion"/>
  </si>
  <si>
    <t>化/物</t>
    <phoneticPr fontId="2" type="noConversion"/>
  </si>
  <si>
    <t xml:space="preserve">JS7101 </t>
  </si>
  <si>
    <t xml:space="preserve">JS7204 </t>
  </si>
  <si>
    <t xml:space="preserve">JS7503 </t>
  </si>
  <si>
    <t xml:space="preserve">JS7606 </t>
  </si>
  <si>
    <t xml:space="preserve">JS7709 </t>
  </si>
  <si>
    <t xml:space="preserve">JS7802 </t>
  </si>
  <si>
    <t xml:space="preserve">JS7905 </t>
  </si>
  <si>
    <t xml:space="preserve">JS7200 </t>
  </si>
  <si>
    <t xml:space="preserve">JS7216 </t>
  </si>
  <si>
    <t>JS7225</t>
  </si>
  <si>
    <t>JS7300</t>
  </si>
  <si>
    <t xml:space="preserve">JS7123 </t>
  </si>
  <si>
    <t>文學院</t>
    <phoneticPr fontId="2" type="noConversion"/>
  </si>
  <si>
    <t>跨學院</t>
    <phoneticPr fontId="2" type="noConversion"/>
  </si>
  <si>
    <t>BU</t>
    <phoneticPr fontId="2" type="noConversion"/>
  </si>
  <si>
    <t>電機工程學系 [選項: 工學士(電子計算機及數據工程學)、工學士(電子及電機工程學)、工學士(資訊工程學)]</t>
    <phoneticPr fontId="2" type="noConversion"/>
  </si>
  <si>
    <t>數字模式</t>
    <phoneticPr fontId="2" type="noConversion"/>
  </si>
  <si>
    <t>JS1051</t>
    <phoneticPr fontId="2" type="noConversion"/>
  </si>
  <si>
    <t>理學/ICT/M</t>
    <phoneticPr fontId="2" type="noConversion"/>
  </si>
  <si>
    <t>理學/ICT/M/綜</t>
    <phoneticPr fontId="2" type="noConversion"/>
  </si>
  <si>
    <t>DAT/Phy/Chem/noM</t>
    <phoneticPr fontId="2" type="noConversion"/>
  </si>
  <si>
    <t>JS1210</t>
    <phoneticPr fontId="2" type="noConversion"/>
  </si>
  <si>
    <t>物</t>
    <phoneticPr fontId="2" type="noConversion"/>
  </si>
  <si>
    <t>化</t>
    <phoneticPr fontId="2" type="noConversion"/>
  </si>
  <si>
    <t>PCB/M/BAFS/C/I/DAT/ICT</t>
    <phoneticPr fontId="2" type="noConversion"/>
  </si>
  <si>
    <t>LingU</t>
    <phoneticPr fontId="2" type="noConversion"/>
  </si>
  <si>
    <t>中史</t>
  </si>
  <si>
    <t>JS2020</t>
  </si>
  <si>
    <t>JS2021</t>
  </si>
  <si>
    <t>JS2022</t>
  </si>
  <si>
    <t>JS2023</t>
  </si>
  <si>
    <t>JS2024</t>
  </si>
  <si>
    <t>JS2025</t>
  </si>
  <si>
    <t>JS2026</t>
  </si>
  <si>
    <t>JS2030</t>
  </si>
  <si>
    <t>JS2040</t>
  </si>
  <si>
    <t>JS2050</t>
  </si>
  <si>
    <t>JS2110</t>
  </si>
  <si>
    <t>JS2120</t>
  </si>
  <si>
    <t>JS2320</t>
  </si>
  <si>
    <t>JS2330</t>
  </si>
  <si>
    <t>JS2340</t>
  </si>
  <si>
    <t>JS2410</t>
  </si>
  <si>
    <t>JS2420</t>
  </si>
  <si>
    <t>JS2510</t>
  </si>
  <si>
    <t>JS2610</t>
  </si>
  <si>
    <t>JS2620</t>
  </si>
  <si>
    <t>JS2630</t>
  </si>
  <si>
    <t>JS2640</t>
  </si>
  <si>
    <t>JS2660</t>
  </si>
  <si>
    <t>JS2670</t>
  </si>
  <si>
    <t>JS2680</t>
  </si>
  <si>
    <t>JS2690</t>
  </si>
  <si>
    <t>JS2810</t>
  </si>
  <si>
    <t>JS2910</t>
  </si>
  <si>
    <t>Bachelor of Arts</t>
  </si>
  <si>
    <t>中國語言文學文學士</t>
  </si>
  <si>
    <t>Bachelor of Arts in Chinese Language and Literature</t>
  </si>
  <si>
    <t>創意及專業寫作文學士</t>
  </si>
  <si>
    <t>Bachelor of Arts in Creative and Professional Writing</t>
  </si>
  <si>
    <t>英國語言文學文學士</t>
  </si>
  <si>
    <t>Bachelor of Arts in English Language and Literature</t>
  </si>
  <si>
    <t>人文學文學士</t>
  </si>
  <si>
    <t>Bachelor of Arts in Humanities</t>
  </si>
  <si>
    <t>宗教、哲學及倫理文學士</t>
  </si>
  <si>
    <t>Bachelor of Arts in Religion, Philosophy and Ethics</t>
  </si>
  <si>
    <t>翻譯學文學士</t>
  </si>
  <si>
    <t>Bachelor of Arts in Translation</t>
  </si>
  <si>
    <t>音樂文學士</t>
  </si>
  <si>
    <t>英國語言文學及英語教學 (雙學位課程)</t>
  </si>
  <si>
    <t>English Language &amp; Literature and English Language Teaching (Double Degree)</t>
  </si>
  <si>
    <t>創意產業音樂學士</t>
  </si>
  <si>
    <t>Bachelor of Music in Creative Industries</t>
  </si>
  <si>
    <t>工商管理學士 - 會計學專修</t>
  </si>
  <si>
    <t>Bachelor of Business Administration - Accounting Concentration</t>
  </si>
  <si>
    <t>工商管理學士</t>
  </si>
  <si>
    <t>Bachelor of Business Administration</t>
  </si>
  <si>
    <t>傳理學學士 - 電影主修 - 動畫及媒體藝術專修</t>
  </si>
  <si>
    <t>傳理學學士 - 電影主修 - 電影電視專修</t>
  </si>
  <si>
    <t>環球螢幕演技藝術學士</t>
  </si>
  <si>
    <t>中醫學學士及生物醫學理學士</t>
  </si>
  <si>
    <t>Bachelor of Chinese Medicine and Bachelor of Science in Biomedical Science</t>
  </si>
  <si>
    <t>中藥學學士</t>
  </si>
  <si>
    <t>Bachelor of Pharmacy in Chinese Medicine</t>
  </si>
  <si>
    <t>Bachelor of Science</t>
  </si>
  <si>
    <t>文學士/ 社會科學學士 (地理/ 政治及國際關係學/ 歷史/ 社會學)</t>
  </si>
  <si>
    <t>Bachelor of Arts/ Bachelor of Social Sciences (Geography/ Government &amp; International Studies/ History/ Sociology)</t>
  </si>
  <si>
    <t>體育及康樂管理文學士</t>
  </si>
  <si>
    <t>Bachelor of Arts in Physical Education and Recreation Management</t>
  </si>
  <si>
    <t>歐洲研究社會科學學士 - 法文</t>
  </si>
  <si>
    <t>Bachelor of Social Sciences in European Studies - French Stream</t>
  </si>
  <si>
    <t>歐洲研究社會科學學士 - 德文</t>
  </si>
  <si>
    <t>Bachelor of Social Sciences in European Studies - German Stream</t>
  </si>
  <si>
    <t>社會工作學士</t>
  </si>
  <si>
    <t>Bachelor of Social Work</t>
  </si>
  <si>
    <t>全球及中國研究社會科學學士</t>
  </si>
  <si>
    <t>地理/ 歷史/ 社會學及個人、社會及人文教學 (雙學位課程)</t>
  </si>
  <si>
    <t>Geography/ History/ Sociology and Personal, Social and Humanities Education Teaching (Double Degree)</t>
  </si>
  <si>
    <t>視覺藝術文學士</t>
  </si>
  <si>
    <t>Bachelor of Arts in Visual Arts</t>
  </si>
  <si>
    <t>商業計算及數據分析理學士</t>
  </si>
  <si>
    <t>Bachelor of Science in Business Computing and Data Analytics</t>
  </si>
  <si>
    <t>傳理學院</t>
  </si>
  <si>
    <t>商業計算及數據分析理學士</t>
    <phoneticPr fontId="2" type="noConversion"/>
  </si>
  <si>
    <t>體育及康樂管理文學士</t>
    <phoneticPr fontId="2" type="noConversion"/>
  </si>
  <si>
    <t>文學士/ 社會科學學士 (地理/ 政治及國際關係學/ 歷史/ 社會學)</t>
    <phoneticPr fontId="2" type="noConversion"/>
  </si>
  <si>
    <t>中藥學學士</t>
    <phoneticPr fontId="2" type="noConversion"/>
  </si>
  <si>
    <t>中醫藥學院</t>
    <phoneticPr fontId="2" type="noConversion"/>
  </si>
  <si>
    <t>理學院/工商管理學院</t>
    <phoneticPr fontId="2" type="noConversion"/>
  </si>
  <si>
    <t>HKBU</t>
  </si>
  <si>
    <t>HKBU</t>
    <phoneticPr fontId="2" type="noConversion"/>
  </si>
  <si>
    <t>英國語言文學及英語教學 (雙學位課程)</t>
    <phoneticPr fontId="2" type="noConversion"/>
  </si>
  <si>
    <t>JS2040</t>
    <phoneticPr fontId="2" type="noConversion"/>
  </si>
  <si>
    <t>化/物/組</t>
    <phoneticPr fontId="2" type="noConversion"/>
  </si>
  <si>
    <t>化/組化</t>
    <phoneticPr fontId="2" type="noConversion"/>
  </si>
  <si>
    <t>物/綜/組物</t>
    <phoneticPr fontId="2" type="noConversion"/>
  </si>
  <si>
    <t>文學院/教育學院</t>
    <phoneticPr fontId="2" type="noConversion"/>
  </si>
  <si>
    <t>社會科學院/教育學院</t>
    <phoneticPr fontId="2" type="noConversion"/>
  </si>
  <si>
    <t>https://drive.google.com/drive/folders/1PmyDrmQ2CumbWrqY7NRqa0Ol-M9VnkFz?usp=sharing</t>
    <phoneticPr fontId="2" type="noConversion"/>
  </si>
  <si>
    <t>歡迎各位有心人Debug, 請於Drive中Debug文件內註明Bug及其位置</t>
    <phoneticPr fontId="2" type="noConversion"/>
  </si>
  <si>
    <t>快速輸入</t>
    <phoneticPr fontId="2" type="noConversion"/>
  </si>
  <si>
    <t>JUPAS排位</t>
    <phoneticPr fontId="2" type="noConversion"/>
  </si>
  <si>
    <t>請輸入JUPAS編號 (e.g. JS4862)</t>
    <phoneticPr fontId="2" type="noConversion"/>
  </si>
  <si>
    <t>院校</t>
    <phoneticPr fontId="2" type="noConversion"/>
  </si>
  <si>
    <t>學科</t>
    <phoneticPr fontId="2" type="noConversion"/>
  </si>
  <si>
    <t>A1</t>
    <phoneticPr fontId="2" type="noConversion"/>
  </si>
  <si>
    <t>A2</t>
    <phoneticPr fontId="2" type="noConversion"/>
  </si>
  <si>
    <t>A3</t>
    <phoneticPr fontId="2" type="noConversion"/>
  </si>
  <si>
    <t>Median</t>
    <phoneticPr fontId="2" type="noConversion"/>
  </si>
  <si>
    <t>LQ</t>
    <phoneticPr fontId="2" type="noConversion"/>
  </si>
  <si>
    <t>計分方式</t>
    <phoneticPr fontId="2" type="noConversion"/>
  </si>
  <si>
    <t>EdUHK</t>
    <phoneticPr fontId="2" type="noConversion"/>
  </si>
  <si>
    <t>\</t>
    <phoneticPr fontId="2" type="noConversion"/>
  </si>
  <si>
    <t>院校</t>
  </si>
  <si>
    <t>學科</t>
  </si>
  <si>
    <t>學額</t>
  </si>
  <si>
    <t>JUPAS CODE</t>
    <phoneticPr fontId="2" type="noConversion"/>
  </si>
  <si>
    <t>JS6</t>
  </si>
  <si>
    <t>JS1</t>
    <phoneticPr fontId="2" type="noConversion"/>
  </si>
  <si>
    <t>JS2</t>
    <phoneticPr fontId="2" type="noConversion"/>
  </si>
  <si>
    <t>JS3</t>
  </si>
  <si>
    <t>JS4</t>
  </si>
  <si>
    <t>JS5</t>
  </si>
  <si>
    <t>JS7</t>
  </si>
  <si>
    <t>JS8</t>
  </si>
  <si>
    <t>牙醫學院</t>
  </si>
  <si>
    <t>你的分數</t>
    <phoneticPr fontId="2" type="noConversion"/>
  </si>
  <si>
    <t>只供參考</t>
    <phoneticPr fontId="2" type="noConversion"/>
  </si>
  <si>
    <t>例如課程要求M1/2，若同學沒有修讀，就會變紅</t>
    <phoneticPr fontId="2" type="noConversion"/>
  </si>
  <si>
    <t>若開啟數字模式，則無法以下拉選單選擇分數</t>
    <phoneticPr fontId="2" type="noConversion"/>
  </si>
  <si>
    <t>合乎基本入學要求?(並非入讀機率)</t>
    <phoneticPr fontId="2" type="noConversion"/>
  </si>
  <si>
    <t>JS8105</t>
  </si>
  <si>
    <t>JS8222</t>
  </si>
  <si>
    <t>JS8234</t>
  </si>
  <si>
    <t>JS8246</t>
  </si>
  <si>
    <t>JS8325</t>
  </si>
  <si>
    <t>JS8361</t>
  </si>
  <si>
    <t>JS8371</t>
  </si>
  <si>
    <t>JS8391</t>
  </si>
  <si>
    <t>JS8404</t>
  </si>
  <si>
    <t>JS8428</t>
  </si>
  <si>
    <t>JS8430</t>
  </si>
  <si>
    <t>JS8600</t>
  </si>
  <si>
    <t>JS8612</t>
  </si>
  <si>
    <t>JS8624</t>
  </si>
  <si>
    <t>JS8636</t>
  </si>
  <si>
    <t>JS8648</t>
  </si>
  <si>
    <t>JS8651</t>
  </si>
  <si>
    <t>JS8663</t>
  </si>
  <si>
    <t>JS8801</t>
  </si>
  <si>
    <t>JS8813</t>
  </si>
  <si>
    <t>JS8825</t>
  </si>
  <si>
    <t>JS8507</t>
  </si>
  <si>
    <t>JS7101</t>
  </si>
  <si>
    <t>JS7123</t>
  </si>
  <si>
    <t>JS7200</t>
  </si>
  <si>
    <t>JS7204</t>
  </si>
  <si>
    <t>JS7216</t>
  </si>
  <si>
    <t>JS7503</t>
  </si>
  <si>
    <t>JS7606</t>
  </si>
  <si>
    <t>JS7709</t>
  </si>
  <si>
    <t>JS7802</t>
  </si>
  <si>
    <t>JS7905</t>
  </si>
  <si>
    <t>請定期檢查更新</t>
    <phoneticPr fontId="2" type="noConversion"/>
  </si>
  <si>
    <t>Previous Update Patch</t>
    <phoneticPr fontId="2" type="noConversion"/>
  </si>
  <si>
    <t>最佳三科</t>
    <phoneticPr fontId="2" type="noConversion"/>
  </si>
  <si>
    <t>中英+3X</t>
    <phoneticPr fontId="2" type="noConversion"/>
  </si>
  <si>
    <t>電子計算(榮譽)理學士學位組合課程</t>
    <phoneticPr fontId="2" type="noConversion"/>
  </si>
  <si>
    <t>JS9001</t>
  </si>
  <si>
    <t>Bachelor of Social Sciences with Honours in PsychologyUPDATED</t>
  </si>
  <si>
    <t>JS9003</t>
  </si>
  <si>
    <t>政治及公共行政榮譽社會科學學士</t>
  </si>
  <si>
    <t>Bachelor of Social Sciences with Honours in Politics and Public AdministrationUPDATED</t>
  </si>
  <si>
    <t>JS9004</t>
  </si>
  <si>
    <t>應用社會研究榮譽社會科學學士</t>
  </si>
  <si>
    <t>Bachelor of Social Sciences with Honours in Applied Social StudiesUPDATED</t>
  </si>
  <si>
    <t>JS9005</t>
  </si>
  <si>
    <t>全球與中國研究榮譽社會科學學士</t>
  </si>
  <si>
    <t>Bachelor of Social Sciences with Honours in Global and China StudiesUPDATED</t>
  </si>
  <si>
    <t>JS9006</t>
  </si>
  <si>
    <t>高齡社會與服務研究榮譽社會科學學士</t>
  </si>
  <si>
    <t>Bachelor of Social Sciences with Honours in Ageing Society and Services StudiesUPDATED</t>
  </si>
  <si>
    <t>JS9007</t>
  </si>
  <si>
    <t>經濟及公共政策分析榮譽社會科學學士</t>
  </si>
  <si>
    <t>Bachelor of Social Sciences with Honours in Economic and Public Policy AnalysisUPDATED</t>
  </si>
  <si>
    <t>JS9008</t>
  </si>
  <si>
    <t>心理學與精神健康榮譽社會科學學士</t>
  </si>
  <si>
    <t>Bachelor of Social Sciences with Honours in Psychology and Mental HealthUPDATED</t>
  </si>
  <si>
    <t>JS9011</t>
  </si>
  <si>
    <t>中文榮譽文學士</t>
  </si>
  <si>
    <t>Bachelor of Arts with Honours in ChineseUPDATED</t>
  </si>
  <si>
    <t>JS9013</t>
  </si>
  <si>
    <t>語言研究與翻譯榮譽文學士</t>
  </si>
  <si>
    <t>Bachelor of Arts with Honours in Language Studies and TranslationUPDATED</t>
  </si>
  <si>
    <t>JS9016</t>
  </si>
  <si>
    <t>創意廣告及媒體設計榮譽文學士</t>
  </si>
  <si>
    <t>Bachelor of Arts with Honours in Creative Advertising and Media DesignUPDATED</t>
  </si>
  <si>
    <t>JS9019</t>
  </si>
  <si>
    <t>英語及文化榮譽文學士</t>
  </si>
  <si>
    <t>Bachelor of Arts with Honours in English Language and CultureUPDATED</t>
  </si>
  <si>
    <t>JS9220</t>
  </si>
  <si>
    <t>專業會計榮譽工商管理學士</t>
  </si>
  <si>
    <t>Bachelor of Business Administration with Honours in Professional AccountingUPDATED</t>
  </si>
  <si>
    <t>JS9222</t>
  </si>
  <si>
    <t>會計及稅務學榮譽工商管理學士</t>
  </si>
  <si>
    <t>Bachelor of Business Administration with Honours in Accounting and TaxationUPDATED</t>
  </si>
  <si>
    <t>JS9230</t>
  </si>
  <si>
    <t>商業管理學榮譽工商管理學士</t>
  </si>
  <si>
    <t>Bachelor of Business Administration with Honours in Business ManagementUPDATED</t>
  </si>
  <si>
    <t>JS9240</t>
  </si>
  <si>
    <t>環球商業及市場學榮譽工商管理學士</t>
  </si>
  <si>
    <t>Bachelor of Business Administration with Honours in Global Business and MarketingUPDATED</t>
  </si>
  <si>
    <t>JS9250</t>
  </si>
  <si>
    <t>企業管治榮譽工商管理學士</t>
  </si>
  <si>
    <t>Bachelor of Business Administration with Honours in Corporate GovernanceUPDATED</t>
  </si>
  <si>
    <t>JS9261</t>
  </si>
  <si>
    <t>數碼商業榮譽工商管理學士</t>
  </si>
  <si>
    <t>Bachelor of Business Administration with Honours in Digital BusinessUPDATED</t>
  </si>
  <si>
    <t>JS9272</t>
  </si>
  <si>
    <t>財務及風險管理榮譽工商管理學士</t>
  </si>
  <si>
    <t>Bachelor of Business Administration with Honours in Finance and Risk ManagementUPDATED</t>
  </si>
  <si>
    <t>JS9276</t>
  </si>
  <si>
    <t>房地產及設施管理榮譽工商管理學士</t>
  </si>
  <si>
    <t>Bachelor of Business Administration with Honours in Real Estate and Facilities ManagementUPDATED</t>
  </si>
  <si>
    <t>JS9280</t>
  </si>
  <si>
    <t>應用心理學榮譽學士，商業管理榮譽學士</t>
  </si>
  <si>
    <t>Bachelor of Applied Psychology with Honours, Bachelor of Business Management with HonoursUPDATED</t>
  </si>
  <si>
    <t>JS9291</t>
  </si>
  <si>
    <t>酒店及可持續旅遊管理榮譽工商管理學士</t>
  </si>
  <si>
    <t>Bachelor of Business Administration with Honours in Hotel and Sustainable Tourism ManagementUPDATED</t>
  </si>
  <si>
    <t>JS9294</t>
  </si>
  <si>
    <t>運動及電競運動管理榮譽工商管理學士</t>
  </si>
  <si>
    <t>Bachelor of Business Administration with Honours in Sports and eSports ManagementUPDATED</t>
  </si>
  <si>
    <t>JS9530</t>
  </si>
  <si>
    <t>英語教學榮譽教育學士及英語研究榮譽學士</t>
  </si>
  <si>
    <t>Bachelor of Education with Honours in English Language Teaching and Bachelor of English Language Studies with HonoursUPDATED</t>
  </si>
  <si>
    <t>JS9540</t>
  </si>
  <si>
    <t>英語研究榮譽學士</t>
  </si>
  <si>
    <t>Bachelor of English Language Studies with HonoursUPDATED</t>
  </si>
  <si>
    <t>JS9550</t>
  </si>
  <si>
    <t>語言研究榮譽學士(應用中國語言)</t>
  </si>
  <si>
    <t>Bachelor of Language Studies with Honours (Applied Chinese Language Studies)UPDATED</t>
  </si>
  <si>
    <t>JS9560</t>
  </si>
  <si>
    <t>教育榮譽學士（中國語文教學）及語言研究榮譽學士（應用中國語言）</t>
  </si>
  <si>
    <t>Bachelor of Education with Honours (Chinese Language Teaching) and Bachelor of Language Studies with Honours (Applied Chinese Language Studies)UPDATED</t>
  </si>
  <si>
    <t>JS9570</t>
  </si>
  <si>
    <t>語言研究(雙語傳意)榮譽學士， 國際商業榮譽學士</t>
  </si>
  <si>
    <t>Bachelor of Language Studies with Honours (Bilingual Communication), Bachelor of Global Business with HonoursUPDATED</t>
  </si>
  <si>
    <t>JS9580</t>
  </si>
  <si>
    <t>教育榮譽學士(幼兒教育: 領導及特殊教育需要)</t>
  </si>
  <si>
    <t>Bachelor of Education with Honours in Early Childhood Education (Leadership and Special Educational Needs)UPDATED</t>
  </si>
  <si>
    <t>JS9720</t>
  </si>
  <si>
    <t>電子及電腦工程學榮譽工學士</t>
  </si>
  <si>
    <t>Bachelor of Engineering with Honours in Electronic and Computer EngineeringUPDATED</t>
  </si>
  <si>
    <t>JS9731</t>
  </si>
  <si>
    <t>環境科學與綠色管理榮譽理學士</t>
  </si>
  <si>
    <t>Bachelor of Science with Honours in Environmental Science and Green ManagementUPDATED</t>
  </si>
  <si>
    <t>JS9732</t>
  </si>
  <si>
    <t>生命科學榮譽理學士</t>
  </si>
  <si>
    <t>Bachelor of Science with Honours in Life SciencesUPDATED</t>
  </si>
  <si>
    <t>食品測試科學榮譽理學士</t>
  </si>
  <si>
    <t>參考資料:</t>
    <phoneticPr fontId="2" type="noConversion"/>
  </si>
  <si>
    <t>https://admissions.hkbu.edu.hk/en/hkdse.html</t>
    <phoneticPr fontId="2" type="noConversion"/>
  </si>
  <si>
    <t>https://admissions.hkbu.edu.hk/en/programmes-offer.html</t>
  </si>
  <si>
    <t>https://www.admo.cityu.edu.hk/jupas/entreq/bd/</t>
  </si>
  <si>
    <t>https://www.admo.cityu.edu.hk/assessment/score_calculation/</t>
  </si>
  <si>
    <t>https://www.ln.edu.hk/admissions/ug/jupas/admission-score/jupas-score-calculator</t>
  </si>
  <si>
    <t>https://www.ln.edu.hk/admissions/ug/jupas/admission-score/subject-weighting</t>
  </si>
  <si>
    <t>https://www.eduhk.hk/degree/jupas.htm</t>
  </si>
  <si>
    <t>4C1X</t>
  </si>
  <si>
    <t>4C1X</t>
    <phoneticPr fontId="2" type="noConversion"/>
  </si>
  <si>
    <t>人文社會科學院</t>
  </si>
  <si>
    <t>李兆基商業管理學院</t>
    <phoneticPr fontId="2" type="noConversion"/>
  </si>
  <si>
    <t>教育及語文學院</t>
    <phoneticPr fontId="2" type="noConversion"/>
  </si>
  <si>
    <t>科技學院</t>
    <phoneticPr fontId="2" type="noConversion"/>
  </si>
  <si>
    <t>OUHK</t>
  </si>
  <si>
    <t>OUHK</t>
    <phoneticPr fontId="2" type="noConversion"/>
  </si>
  <si>
    <t>物/生</t>
    <phoneticPr fontId="2" type="noConversion"/>
  </si>
  <si>
    <t>JSSA01</t>
  </si>
  <si>
    <t>JSSA02</t>
  </si>
  <si>
    <t>JSSC02</t>
  </si>
  <si>
    <t>珠海學院</t>
  </si>
  <si>
    <t>JSSC03</t>
  </si>
  <si>
    <t>JSSC04</t>
  </si>
  <si>
    <t>JSSH01</t>
  </si>
  <si>
    <t>JSSH02</t>
  </si>
  <si>
    <t>JSSH03</t>
  </si>
  <si>
    <t>JSSH04</t>
  </si>
  <si>
    <t>JSSH05</t>
  </si>
  <si>
    <t>JSST01</t>
  </si>
  <si>
    <t>東華學院</t>
  </si>
  <si>
    <t>JSST02</t>
  </si>
  <si>
    <t>JSST03</t>
  </si>
  <si>
    <t>JSST04</t>
  </si>
  <si>
    <t>JSST05</t>
  </si>
  <si>
    <t>JSSU12</t>
  </si>
  <si>
    <t>公開大學</t>
  </si>
  <si>
    <t>創意寫作與電影藝術榮譽文學士</t>
  </si>
  <si>
    <t>JSSU14</t>
  </si>
  <si>
    <t>動畫及視覺特效榮譽藝術學士</t>
  </si>
  <si>
    <t>JSSU15</t>
  </si>
  <si>
    <t>影像設計及數碼藝術榮譽藝術學士</t>
  </si>
  <si>
    <t>JSSU40</t>
  </si>
  <si>
    <t>護理學榮譽學士（普通科）</t>
  </si>
  <si>
    <t>JSSU50</t>
  </si>
  <si>
    <t>護理學榮譽學士（精神科）</t>
  </si>
  <si>
    <t>JSSU65</t>
  </si>
  <si>
    <t>檢測和認證榮譽工學士</t>
  </si>
  <si>
    <t>JSSU68</t>
  </si>
  <si>
    <t>檢測科學和認證榮譽理學士</t>
  </si>
  <si>
    <t>JSSU71</t>
  </si>
  <si>
    <t>互聯網科技榮譽電腦學學士</t>
  </si>
  <si>
    <t>JSSU90</t>
  </si>
  <si>
    <t>國際款待及景區管理榮譽學士</t>
  </si>
  <si>
    <t>JSSU95</t>
  </si>
  <si>
    <t>運動及康樂管理榮譽學士</t>
  </si>
  <si>
    <t>JSSU96</t>
  </si>
  <si>
    <t>金融科技及創新榮譽工商管理學士</t>
  </si>
  <si>
    <t>JSSU97</t>
  </si>
  <si>
    <t>環球市場及供應鏈榮譽工商管理學士</t>
  </si>
  <si>
    <t>JSSV01</t>
  </si>
  <si>
    <t>時裝設計（榮譽）文學士</t>
  </si>
  <si>
    <t>JSSV02</t>
  </si>
  <si>
    <t>產品設計（榮譽）文學士</t>
  </si>
  <si>
    <t>JSSV03</t>
  </si>
  <si>
    <t>園境建築（榮譽）文學士</t>
  </si>
  <si>
    <t>JSSV04</t>
  </si>
  <si>
    <t>廚藝及管理（榮譽）文學士</t>
  </si>
  <si>
    <t>JSSV05</t>
  </si>
  <si>
    <t>土木工程（榮譽）工學士</t>
  </si>
  <si>
    <t>JSSV07</t>
  </si>
  <si>
    <t>園藝樹藝及園境管理（榮譽）理學士</t>
  </si>
  <si>
    <t>JSSV08</t>
  </si>
  <si>
    <t>測量學（榮譽）理學士</t>
  </si>
  <si>
    <t>JSSV09</t>
  </si>
  <si>
    <t>運動及康樂管理（榮譽）社會科學學士</t>
  </si>
  <si>
    <t>JSSV11</t>
  </si>
  <si>
    <t>創新及多媒體科技（榮譽）理學士</t>
  </si>
  <si>
    <t>JSSV12</t>
  </si>
  <si>
    <t>資訊及通訊科技（榮譽）理學士</t>
  </si>
  <si>
    <t>明愛專上學院</t>
  </si>
  <si>
    <t>護理學榮譽學士</t>
  </si>
  <si>
    <t>數碼娛樂科技榮譽理學士</t>
  </si>
  <si>
    <t>建築學（榮譽）理學士</t>
  </si>
  <si>
    <t>資訊科學（榮譽）理學士</t>
  </si>
  <si>
    <t>傳播及跨媒體（榮譽）文學士</t>
  </si>
  <si>
    <t>恒生大學</t>
  </si>
  <si>
    <t>供應鏈管理工商管理（榮譽）學士</t>
  </si>
  <si>
    <t>精算及保險 （榮譽）理學士</t>
  </si>
  <si>
    <t>應用及人本計算學（榮譽）文學士</t>
  </si>
  <si>
    <t>數據科學及商業智能學（榮譽）理學士</t>
  </si>
  <si>
    <t>管理科學與資訊管理（榮譽）學士</t>
  </si>
  <si>
    <t>護理學（榮譽）健康科學學士</t>
  </si>
  <si>
    <t>醫療化驗科學（榮譽）理學士</t>
  </si>
  <si>
    <t>放射治療學（榮譽）理學士</t>
  </si>
  <si>
    <t>職業治療學（榮譽）理學士</t>
  </si>
  <si>
    <t>物理治療學(榮譽)理學士</t>
  </si>
  <si>
    <t>THEi</t>
  </si>
  <si>
    <t>Thei</t>
    <phoneticPr fontId="2" type="noConversion"/>
  </si>
  <si>
    <t>珠海</t>
    <phoneticPr fontId="2" type="noConversion"/>
  </si>
  <si>
    <t>SSSDP</t>
    <phoneticPr fontId="2" type="noConversion"/>
  </si>
  <si>
    <r>
      <rPr>
        <b/>
        <sz val="12"/>
        <color theme="1"/>
        <rFont val="微軟正黑體"/>
        <family val="2"/>
        <charset val="136"/>
      </rPr>
      <t>詳細資料及比重</t>
    </r>
    <r>
      <rPr>
        <sz val="12"/>
        <color theme="1"/>
        <rFont val="微軟正黑體"/>
        <family val="2"/>
        <charset val="136"/>
      </rPr>
      <t>請前往院校分頁</t>
    </r>
    <phoneticPr fontId="2" type="noConversion"/>
  </si>
  <si>
    <r>
      <t>每次使用前請檢查計分器是否為</t>
    </r>
    <r>
      <rPr>
        <b/>
        <sz val="14"/>
        <color rgb="FFFF0000"/>
        <rFont val="微軟正黑體"/>
        <family val="2"/>
        <charset val="136"/>
      </rPr>
      <t>最新版本</t>
    </r>
    <r>
      <rPr>
        <b/>
        <sz val="11"/>
        <color rgb="FFFF0000"/>
        <rFont val="微軟正黑體"/>
        <family val="2"/>
        <charset val="136"/>
      </rPr>
      <t>:</t>
    </r>
    <phoneticPr fontId="2" type="noConversion"/>
  </si>
  <si>
    <t>JS1207</t>
    <phoneticPr fontId="2" type="noConversion"/>
  </si>
  <si>
    <t>創意媒體學院</t>
    <phoneticPr fontId="2" type="noConversion"/>
  </si>
  <si>
    <t>文理學士(新媒體)</t>
    <phoneticPr fontId="2" type="noConversion"/>
  </si>
  <si>
    <t>傳理學院</t>
    <phoneticPr fontId="2" type="noConversion"/>
  </si>
  <si>
    <t>視覺藝術院</t>
    <phoneticPr fontId="2" type="noConversion"/>
  </si>
  <si>
    <t>JS6793</t>
    <phoneticPr fontId="2" type="noConversion"/>
  </si>
  <si>
    <t>明愛專上學院</t>
    <phoneticPr fontId="2" type="noConversion"/>
  </si>
  <si>
    <t>5%或更少</t>
  </si>
  <si>
    <t>6%-10%</t>
  </si>
  <si>
    <t>JS4824</t>
    <phoneticPr fontId="2" type="noConversion"/>
  </si>
  <si>
    <t>傳理學學士 - 新聞與數碼媒體主修</t>
  </si>
  <si>
    <t>傳理學學士 - 公關及廣告主修</t>
  </si>
  <si>
    <t>JS2350</t>
  </si>
  <si>
    <t>JS2360</t>
  </si>
  <si>
    <t>Bachelor of Communication in Public Relations and Advertising</t>
  </si>
  <si>
    <r>
      <t>*每年分數計算方式或有更改，以上一律以</t>
    </r>
    <r>
      <rPr>
        <b/>
        <sz val="10"/>
        <color theme="1"/>
        <rFont val="微軟正黑體"/>
        <family val="2"/>
        <charset val="136"/>
      </rPr>
      <t>2020方式</t>
    </r>
    <r>
      <rPr>
        <sz val="10"/>
        <color theme="1"/>
        <rFont val="微軟正黑體"/>
        <family val="2"/>
        <charset val="136"/>
      </rPr>
      <t>計算，以便估計分數差距。</t>
    </r>
  </si>
  <si>
    <t>化</t>
  </si>
  <si>
    <t>JS1201</t>
  </si>
  <si>
    <t>環球精研與科創課程</t>
  </si>
  <si>
    <t>Global Research Enrichment and Technopreneurship (GREAT)</t>
  </si>
  <si>
    <t>JS1200</t>
  </si>
  <si>
    <t>中英3X</t>
  </si>
  <si>
    <t>有冇生/化/物/經/M12其中兩科?</t>
  </si>
  <si>
    <t xml:space="preserve">有冇物/組(物)/綜 </t>
  </si>
  <si>
    <t>https://www.ln.edu.hk/admissions/ug/f/page/39/1433/2020-admissionscores.pdf</t>
  </si>
  <si>
    <r>
      <t>*每年分數計算方式或有更改，以上一律以</t>
    </r>
    <r>
      <rPr>
        <b/>
        <sz val="10"/>
        <color theme="1"/>
        <rFont val="微軟正黑體"/>
        <family val="2"/>
        <charset val="136"/>
      </rPr>
      <t>2020方式</t>
    </r>
    <r>
      <rPr>
        <sz val="10"/>
        <color theme="1"/>
        <rFont val="微軟正黑體"/>
        <family val="2"/>
        <charset val="136"/>
      </rPr>
      <t>計算，以便估計分數差距。</t>
    </r>
    <phoneticPr fontId="2" type="noConversion"/>
  </si>
  <si>
    <t>第一選修:</t>
    <phoneticPr fontId="2" type="noConversion"/>
  </si>
  <si>
    <t>第一選修: 理學(組/綜)</t>
    <phoneticPr fontId="2" type="noConversion"/>
  </si>
  <si>
    <t>第二選修: 理學(組)/地/M</t>
    <phoneticPr fontId="2" type="noConversion"/>
  </si>
  <si>
    <t>化/物/組/DAT</t>
    <phoneticPr fontId="2" type="noConversion"/>
  </si>
  <si>
    <t>理學(組)/地/M</t>
    <phoneticPr fontId="2" type="noConversion"/>
  </si>
  <si>
    <t>https://www.admo.cityu.edu.hk/jupas/assessment/bd</t>
    <phoneticPr fontId="2" type="noConversion"/>
  </si>
  <si>
    <t>https://www.cityu.edu.hk/admo/hkdse/scores/jupas_scores2020.pdf</t>
    <phoneticPr fontId="2" type="noConversion"/>
  </si>
  <si>
    <t>JS1051 (2021計法)</t>
    <phoneticPr fontId="2" type="noConversion"/>
  </si>
  <si>
    <t>第二選修:</t>
    <phoneticPr fontId="2" type="noConversion"/>
  </si>
  <si>
    <t>第三選修:</t>
    <phoneticPr fontId="2" type="noConversion"/>
  </si>
  <si>
    <t>JS1202</t>
    <phoneticPr fontId="2" type="noConversion"/>
  </si>
  <si>
    <t>理/BAFS/ICT/DAT</t>
    <phoneticPr fontId="2" type="noConversion"/>
  </si>
  <si>
    <t>JS1200入學要求</t>
    <phoneticPr fontId="2" type="noConversion"/>
  </si>
  <si>
    <t>E3</t>
  </si>
  <si>
    <t>E4</t>
  </si>
  <si>
    <t>E4</t>
    <phoneticPr fontId="2" type="noConversion"/>
  </si>
  <si>
    <t>JS1201入學要求</t>
    <phoneticPr fontId="2" type="noConversion"/>
  </si>
  <si>
    <t>JS1208</t>
    <phoneticPr fontId="2" type="noConversion"/>
  </si>
  <si>
    <t>理學士(物理學)</t>
    <phoneticPr fontId="2" type="noConversion"/>
  </si>
  <si>
    <t>JS9718</t>
  </si>
  <si>
    <t>JS9718</t>
    <phoneticPr fontId="2" type="noConversion"/>
  </si>
  <si>
    <t>JS9719</t>
  </si>
  <si>
    <t>JS9719</t>
    <phoneticPr fontId="2" type="noConversion"/>
  </si>
  <si>
    <t>電腦科學榮譽理學士</t>
  </si>
  <si>
    <t>電腦科學榮譽理學士</t>
    <phoneticPr fontId="2" type="noConversion"/>
  </si>
  <si>
    <t>網路及電腦安全榮譽理學士</t>
  </si>
  <si>
    <t>網路及電腦安全榮譽理學士</t>
    <phoneticPr fontId="2" type="noConversion"/>
  </si>
  <si>
    <t>屋宇設備工程及可持續發展榮譽工學士</t>
  </si>
  <si>
    <t>屋宇設備工程及可持續發展榮譽工學士</t>
    <phoneticPr fontId="2" type="noConversion"/>
  </si>
  <si>
    <t>土木及環境工程榮譽工學士</t>
  </si>
  <si>
    <t>土木及環境工程榮譽工學士</t>
    <phoneticPr fontId="2" type="noConversion"/>
  </si>
  <si>
    <t>JS9721</t>
  </si>
  <si>
    <t>JS9721</t>
    <phoneticPr fontId="2" type="noConversion"/>
  </si>
  <si>
    <t>JS9722</t>
  </si>
  <si>
    <t>JS9722</t>
    <phoneticPr fontId="2" type="noConversion"/>
  </si>
  <si>
    <t>http://www.ouhk.edu.hk/wcsprd/Satellite?pagename=OUHK/tcSubWeb&amp;l=C_CFTS&amp;lid=1385174509933&amp;c=C_CFTS&amp;cid=1385183300596&amp;lang=eng&amp;mid=0</t>
    <phoneticPr fontId="2" type="noConversion"/>
  </si>
  <si>
    <t>http://www.ouhk.edu.hk/wcsprd/Satellite?pagename=OUHK/tcSingPage&amp;c=C_CFTS&amp;cid=1600653170751&amp;lang=eng&amp;mid=0</t>
    <phoneticPr fontId="2" type="noConversion"/>
  </si>
  <si>
    <t>JS4601</t>
    <phoneticPr fontId="2" type="noConversion"/>
  </si>
  <si>
    <t>JSSA03</t>
  </si>
  <si>
    <t>物理治療學（榮譽）理學士</t>
  </si>
  <si>
    <t>JSSA04</t>
  </si>
  <si>
    <t>人工智能（榮譽）理學士</t>
  </si>
  <si>
    <t>JS5102</t>
    <phoneticPr fontId="2" type="noConversion"/>
  </si>
  <si>
    <t>JS5103</t>
    <phoneticPr fontId="2" type="noConversion"/>
  </si>
  <si>
    <t>JS5101</t>
    <phoneticPr fontId="2" type="noConversion"/>
  </si>
  <si>
    <t>第二選修</t>
    <phoneticPr fontId="2" type="noConversion"/>
  </si>
  <si>
    <t>其他科目</t>
    <phoneticPr fontId="2" type="noConversion"/>
  </si>
  <si>
    <t>第二高其他科</t>
    <phoneticPr fontId="2" type="noConversion"/>
  </si>
  <si>
    <t>第三高其他科</t>
    <phoneticPr fontId="2" type="noConversion"/>
  </si>
  <si>
    <t>理學Ａ組– 延伸主修人工智能</t>
  </si>
  <si>
    <t>理學Ａ組– 延伸主修人工智能</t>
    <phoneticPr fontId="2" type="noConversion"/>
  </si>
  <si>
    <t>JS5181</t>
    <phoneticPr fontId="2" type="noConversion"/>
  </si>
  <si>
    <t>JS5282</t>
    <phoneticPr fontId="2" type="noConversion"/>
  </si>
  <si>
    <t>工程學– 延伸主修人工智能</t>
    <phoneticPr fontId="2" type="noConversion"/>
  </si>
  <si>
    <t>JS5200</t>
    <phoneticPr fontId="2" type="noConversion"/>
  </si>
  <si>
    <t>JS5211</t>
    <phoneticPr fontId="2" type="noConversion"/>
  </si>
  <si>
    <t>最高理科(無ICT+M)</t>
    <phoneticPr fontId="2" type="noConversion"/>
  </si>
  <si>
    <t>最高理科(有ICT+無M)</t>
    <phoneticPr fontId="2" type="noConversion"/>
  </si>
  <si>
    <t>物/化/經/M 最高</t>
    <phoneticPr fontId="2" type="noConversion"/>
  </si>
  <si>
    <t>JS5312/5331/5332</t>
    <phoneticPr fontId="2" type="noConversion"/>
  </si>
  <si>
    <t>JS5811</t>
    <phoneticPr fontId="2" type="noConversion"/>
  </si>
  <si>
    <t>生/化 最高</t>
    <phoneticPr fontId="2" type="noConversion"/>
  </si>
  <si>
    <t>JS5813</t>
    <phoneticPr fontId="2" type="noConversion"/>
  </si>
  <si>
    <t>生/化/物/組/經</t>
    <phoneticPr fontId="2" type="noConversion"/>
  </si>
  <si>
    <t>生/化/物/組/經/M 最高</t>
    <phoneticPr fontId="2" type="noConversion"/>
  </si>
  <si>
    <t>JS5200/5901</t>
    <phoneticPr fontId="2" type="noConversion"/>
  </si>
  <si>
    <t>*Subjects that will be given heavier weightings range from 1.1 to 2.</t>
    <phoneticPr fontId="2" type="noConversion"/>
  </si>
  <si>
    <t>https://www.eduhk.hk/degree/pdf/admission%20scores_2020.pdf</t>
  </si>
  <si>
    <t>JS6688</t>
  </si>
  <si>
    <t>JS6688</t>
    <phoneticPr fontId="2" type="noConversion"/>
  </si>
  <si>
    <t>科研專才啟導課程</t>
  </si>
  <si>
    <t>科研專才啟導課程</t>
    <phoneticPr fontId="2" type="noConversion"/>
  </si>
  <si>
    <t>第一高</t>
    <phoneticPr fontId="2" type="noConversion"/>
  </si>
  <si>
    <t>第二高</t>
    <phoneticPr fontId="2" type="noConversion"/>
  </si>
  <si>
    <t>英文縮寫</t>
    <phoneticPr fontId="2" type="noConversion"/>
  </si>
  <si>
    <t>https://docs.google.com/document/d/1bjzQUUMb8DlIscphMiGRqHmzj3IfXtknElbe2bmtTq4/edit?usp=sharing</t>
    <phoneticPr fontId="2" type="noConversion"/>
  </si>
  <si>
    <t>請前往院校版面查看詳細註釋</t>
    <phoneticPr fontId="2" type="noConversion"/>
  </si>
  <si>
    <t>(下含比重)</t>
    <phoneticPr fontId="2" type="noConversion"/>
  </si>
  <si>
    <t>第一</t>
    <phoneticPr fontId="2" type="noConversion"/>
  </si>
  <si>
    <t>第二</t>
    <phoneticPr fontId="2" type="noConversion"/>
  </si>
  <si>
    <t>第三</t>
    <phoneticPr fontId="2" type="noConversion"/>
  </si>
  <si>
    <t>理科?</t>
    <phoneticPr fontId="2" type="noConversion"/>
  </si>
  <si>
    <t>https://www51.polyu.edu.hk/eprospectus/ug/jupas/admission-selection</t>
    <phoneticPr fontId="2" type="noConversion"/>
  </si>
  <si>
    <t>https://www51.polyu.edu.hk/eprospectus/ug/jupas/programme-requirements</t>
    <phoneticPr fontId="2" type="noConversion"/>
  </si>
  <si>
    <t>https://www.polyu.edu.hk/aradm/jupas/admission_figures.pdf</t>
    <phoneticPr fontId="2" type="noConversion"/>
  </si>
  <si>
    <t>JS3844</t>
    <phoneticPr fontId="2" type="noConversion"/>
  </si>
  <si>
    <t>供應鏈管理及分析(榮譽)工商管理學士學位</t>
  </si>
  <si>
    <t>供應鏈管理及分析(榮譽)工商管理學士學位</t>
    <phoneticPr fontId="2" type="noConversion"/>
  </si>
  <si>
    <t>工商管理學院</t>
    <phoneticPr fontId="2" type="noConversion"/>
  </si>
  <si>
    <t>英文及應用語言學(榮譽)文學士學位</t>
    <phoneticPr fontId="2" type="noConversion"/>
  </si>
  <si>
    <t>HKUST</t>
  </si>
  <si>
    <t>UGC-funded</t>
  </si>
  <si>
    <t>IRE</t>
  </si>
  <si>
    <t>SSCI-A</t>
  </si>
  <si>
    <t>SSCI-B</t>
  </si>
  <si>
    <t>JS5181</t>
  </si>
  <si>
    <t>SSCI-A (AI)</t>
  </si>
  <si>
    <t>ENGG</t>
  </si>
  <si>
    <t>ISDN</t>
  </si>
  <si>
    <t>JS5282</t>
  </si>
  <si>
    <t>ENGG+AI</t>
  </si>
  <si>
    <t>工程學– 延伸主修人工智能</t>
  </si>
  <si>
    <t>B&amp;M</t>
  </si>
  <si>
    <t>ECON</t>
  </si>
  <si>
    <t>FINA</t>
  </si>
  <si>
    <t>GBUS</t>
  </si>
  <si>
    <t>IS</t>
  </si>
  <si>
    <t>MGMT</t>
  </si>
  <si>
    <t>MARK</t>
  </si>
  <si>
    <t>OM</t>
  </si>
  <si>
    <t>ACCT</t>
  </si>
  <si>
    <t>ECOF</t>
  </si>
  <si>
    <t>QFIN</t>
  </si>
  <si>
    <t>GCS</t>
  </si>
  <si>
    <t>QSA</t>
  </si>
  <si>
    <t>BIBU</t>
  </si>
  <si>
    <t>EVMT</t>
  </si>
  <si>
    <t>MAEC</t>
  </si>
  <si>
    <t>RMBI</t>
  </si>
  <si>
    <t>T&amp;M-DDP</t>
  </si>
  <si>
    <t>BEng/BSc &amp; BBA Dual Degree Program in Technology &amp; Management</t>
  </si>
  <si>
    <t>Science (Group A)UPDATED</t>
  </si>
  <si>
    <t>Science (Group B)UPDATED</t>
  </si>
  <si>
    <t>Science (Group A) with an Extended Major in Artificial IntelligenceNEW</t>
  </si>
  <si>
    <t>EngineeringUPDATED</t>
  </si>
  <si>
    <t>BSc in Integrative Systems and DesignUPDATED</t>
  </si>
  <si>
    <t>Engineering with an Extended Major in Artificial IntelligenceNEW</t>
  </si>
  <si>
    <t>BSc in Mathematics and EconomicsUPDATED</t>
  </si>
  <si>
    <t>CityU</t>
  </si>
  <si>
    <t>BScCFFT</t>
  </si>
  <si>
    <t>BBAGBU</t>
  </si>
  <si>
    <t>BBAAC</t>
  </si>
  <si>
    <t>BBAMGMT</t>
  </si>
  <si>
    <t>BBAMKT</t>
  </si>
  <si>
    <t>EF</t>
  </si>
  <si>
    <t>BBABE</t>
  </si>
  <si>
    <t>BBAFIN</t>
  </si>
  <si>
    <t>BBAGBSM</t>
  </si>
  <si>
    <t>BBAIFMG</t>
  </si>
  <si>
    <t>MS</t>
  </si>
  <si>
    <t>BBABANL</t>
  </si>
  <si>
    <t>BBABOM</t>
  </si>
  <si>
    <t>SCM</t>
  </si>
  <si>
    <t>BACM</t>
  </si>
  <si>
    <t>BScCM</t>
  </si>
  <si>
    <t>BAS</t>
  </si>
  <si>
    <t>SEE</t>
  </si>
  <si>
    <t>LLB</t>
  </si>
  <si>
    <t>SDSC</t>
  </si>
  <si>
    <t>BScDSC</t>
  </si>
  <si>
    <t>BEngDSE</t>
  </si>
  <si>
    <t>BST</t>
  </si>
  <si>
    <t>AScAS</t>
  </si>
  <si>
    <t>BSocScASIS</t>
  </si>
  <si>
    <t>BACHIS</t>
  </si>
  <si>
    <t>BAEN</t>
  </si>
  <si>
    <t>LT</t>
  </si>
  <si>
    <t>COM</t>
  </si>
  <si>
    <t>BSocScPPP</t>
  </si>
  <si>
    <t>SS</t>
  </si>
  <si>
    <t>BSocScCRSO</t>
  </si>
  <si>
    <t>BSocScPSY</t>
  </si>
  <si>
    <t>BSocScSW</t>
  </si>
  <si>
    <t>GREAT</t>
  </si>
  <si>
    <t>ACE</t>
  </si>
  <si>
    <t>BScCHEM</t>
  </si>
  <si>
    <t>BScCSC</t>
  </si>
  <si>
    <t>EE</t>
  </si>
  <si>
    <t>MNE</t>
  </si>
  <si>
    <t>BScPHY</t>
  </si>
  <si>
    <t>BSc Physics</t>
  </si>
  <si>
    <t>理學士(物理學)</t>
  </si>
  <si>
    <t>BEngMASE</t>
  </si>
  <si>
    <t>BEngBME</t>
  </si>
  <si>
    <t>BEng Biomedical Engineering</t>
  </si>
  <si>
    <t>BVM</t>
  </si>
  <si>
    <t>Bachelor of Veterinary Medicine</t>
  </si>
  <si>
    <t>BMS</t>
  </si>
  <si>
    <t>BScBISI</t>
  </si>
  <si>
    <t>BScBMS</t>
  </si>
  <si>
    <t>Department of Economics and Finance (options: BBA Business Economics, BBA Finance)UPDATED</t>
  </si>
  <si>
    <t>BBA Business EconomicsUPDATED</t>
  </si>
  <si>
    <t>BBA FinanceUPDATED</t>
  </si>
  <si>
    <t>Department of Information Systems (options: BBA Global Business Systems Management, BBA Information Management)UPDATED</t>
  </si>
  <si>
    <t>BBA Global Business Systems ManagementUPDATED</t>
  </si>
  <si>
    <t>BBA Information ManagementUPDATED</t>
  </si>
  <si>
    <t>Department of Management Sciences (options: BBA Business Analysis, BBA Business Operations Management)UPDATED</t>
  </si>
  <si>
    <t>BBA Business AnalysisUPDATED</t>
  </si>
  <si>
    <t>BBA Business Operations ManagementUPDATED</t>
  </si>
  <si>
    <t>EdUHK</t>
  </si>
  <si>
    <t>BEd(CHI)</t>
  </si>
  <si>
    <t>Bachelor of Education (Honours) (Chinese Language)</t>
  </si>
  <si>
    <t>BEd(ENG)-Pri</t>
  </si>
  <si>
    <t>Bachelor of Education (Honours) (English Language) - Primary</t>
  </si>
  <si>
    <t>BEd(P)-GS</t>
  </si>
  <si>
    <t>Bachelor of Education (Honours) (Primary) - General Studies</t>
  </si>
  <si>
    <t>BEd(P)-MA</t>
  </si>
  <si>
    <t>Bachelor of Education (Honours) (Primary) - Mathematics</t>
  </si>
  <si>
    <t>BEd(PE)</t>
  </si>
  <si>
    <t>Bachelor of Education (Honours) (Physical Education)</t>
  </si>
  <si>
    <t>BEd(S)-ICT</t>
  </si>
  <si>
    <t>Bachelor of Education (Honours) (Secondary) - Information and Communication Technology</t>
  </si>
  <si>
    <t>BEd(BAFS)</t>
  </si>
  <si>
    <t>Bachelor of Education (Honours) (Business, Accounting and Financial Studies)</t>
  </si>
  <si>
    <t>BEd(S)-MA</t>
  </si>
  <si>
    <t>Bachelor of Education (Honours) (Secondary) in Mathematics</t>
  </si>
  <si>
    <t>BEd(ECE)</t>
  </si>
  <si>
    <t>Bachelor of Education (Honours) (Early Childhood Education)</t>
  </si>
  <si>
    <t>JS8416</t>
  </si>
  <si>
    <t>BEd(CHI HIST)</t>
  </si>
  <si>
    <t>Bachelor of Education (Honours) (Chinese History)</t>
  </si>
  <si>
    <t>中國歷史教育榮譽學士</t>
  </si>
  <si>
    <t>BEd(GEOG)</t>
  </si>
  <si>
    <t>Bachelor of Education (Honours) (Geography)</t>
  </si>
  <si>
    <t>BEd(Science)</t>
  </si>
  <si>
    <t>Bachelor of Education (Honours) (Science)</t>
  </si>
  <si>
    <t>HD(ECE)</t>
  </si>
  <si>
    <t>Higher Diploma in Early Childhood Education</t>
  </si>
  <si>
    <t>BA(Lang Studies)-CN</t>
  </si>
  <si>
    <t>Bachelor of Arts (Honours) in Language Studies (Chinese Major)</t>
  </si>
  <si>
    <t>BA(Lang Studies)-EG</t>
  </si>
  <si>
    <t>Bachelor of Arts (Honours) in Language Studies (English Major)</t>
  </si>
  <si>
    <t>BSocSc(GES)</t>
  </si>
  <si>
    <t>Bachelor of Social Sciences (Honours) in Global and Environmental Studies</t>
  </si>
  <si>
    <t>BA(CAC)-MU</t>
  </si>
  <si>
    <t>Bachelor of Arts (Honours) in Creative Arts and Culture (Music)</t>
  </si>
  <si>
    <t>BA(CAC)-VA</t>
  </si>
  <si>
    <t>Bachelor of Arts (Honours) in Creative Arts and Culture (Visual Arts)</t>
  </si>
  <si>
    <t>BSocSc(Psy)</t>
  </si>
  <si>
    <t>Bachelor of Social Sciences (Honours) in Psychology</t>
  </si>
  <si>
    <t>BA(SE)</t>
  </si>
  <si>
    <t>Bachelor of Arts (Honours) in Special Education</t>
  </si>
  <si>
    <t>BA(CAC) &amp; BEd(MU)</t>
  </si>
  <si>
    <t>Bachelor of Arts (Honours) in Creative Arts and Culture and Bachelor of Education (Honours) (Music) Co-terminal Double Degree Programme</t>
  </si>
  <si>
    <t>創意藝術與文化榮譽文學士及音樂教育榮譽學士 (同期結業雙學位課程)</t>
  </si>
  <si>
    <t>BA(CAC) &amp; BEd(VA)</t>
  </si>
  <si>
    <t>Bachelor of Arts (Honours) in Creative Arts and Culture and Bachelor of Education (Honours) (Visual Arts) Co-terminal Double Degree Programme</t>
  </si>
  <si>
    <t>BA(Lang Studies)&amp;BEd(EL)</t>
  </si>
  <si>
    <t>Bachelor of Arts (Honours) in Language Studies and Bachelor of Education (Honours) (English Language) Co-terminal Double Degree Programme</t>
  </si>
  <si>
    <t>語文研究榮譽文學士及英文教育榮譽學士 (同期結業雙學位課程)</t>
  </si>
  <si>
    <t>BA</t>
  </si>
  <si>
    <t>BA(CHI)</t>
  </si>
  <si>
    <t>BA(CPW)</t>
  </si>
  <si>
    <t>BA(ENG)</t>
  </si>
  <si>
    <t>BA(HUM)</t>
  </si>
  <si>
    <t>BA(RPE)</t>
  </si>
  <si>
    <t>BA(TRAN)</t>
  </si>
  <si>
    <t>BA(MUSIC)</t>
  </si>
  <si>
    <t>BA(ELL)&amp;BEd(ELT)</t>
  </si>
  <si>
    <t>BMUSIC(CI)</t>
  </si>
  <si>
    <t>BBA(ACCT)</t>
  </si>
  <si>
    <t>BBA</t>
  </si>
  <si>
    <t>BCOMM(AMA)</t>
  </si>
  <si>
    <t>Bachelor of Communication in Film (Animation and Media Arts Concentration)</t>
  </si>
  <si>
    <t>BCOMM(FTV)</t>
  </si>
  <si>
    <t>Bachelor of Communication in Film (Film and Television Concentration)</t>
  </si>
  <si>
    <t>BFA(AGS)</t>
  </si>
  <si>
    <t>BCOMM(JOUR)</t>
  </si>
  <si>
    <t>BCOMM(PRA)</t>
  </si>
  <si>
    <t>BCM&amp;BSc(BIOMED)</t>
  </si>
  <si>
    <t>BPharm</t>
  </si>
  <si>
    <t>BSc</t>
  </si>
  <si>
    <t>BA/ BSocSc</t>
  </si>
  <si>
    <t>BA(PERM)</t>
  </si>
  <si>
    <t>BSocSc(EURO-FREN)</t>
  </si>
  <si>
    <t>BSocSc(EURO-GERM)</t>
  </si>
  <si>
    <t>BSW</t>
  </si>
  <si>
    <t>BSocSc(GCS)</t>
  </si>
  <si>
    <t>Bachelor of Social Sciences in Global and China Studies</t>
  </si>
  <si>
    <t>BA/BSocSc&amp;BEd(PSHE)</t>
  </si>
  <si>
    <t>BA(VA)</t>
  </si>
  <si>
    <t>BSc(BCDA)</t>
  </si>
  <si>
    <t>Bachelor of Arts in MusicUPDATED</t>
  </si>
  <si>
    <t>Bachelor of Fine Arts in Acting for Global ScreenUPDATED</t>
  </si>
  <si>
    <t>Bachelor of Communication in Journalism and Digital MediaUPDATED</t>
  </si>
  <si>
    <t>Bachelor of Social WorkUPDATED</t>
  </si>
  <si>
    <t>CUHK</t>
  </si>
  <si>
    <t>ANTHROPOLOGY</t>
  </si>
  <si>
    <t>CHI LANG &amp; LIT</t>
  </si>
  <si>
    <t>CULTURAL STUDIES</t>
  </si>
  <si>
    <t>CULTURAL MANAGEMENT</t>
  </si>
  <si>
    <t>ENGLISH</t>
  </si>
  <si>
    <t>FINE ARTS</t>
  </si>
  <si>
    <t>HISTORY</t>
  </si>
  <si>
    <t>JAPANESE STUDIES</t>
  </si>
  <si>
    <t>LINGUISTICS</t>
  </si>
  <si>
    <t>MUSIC</t>
  </si>
  <si>
    <t>PHILOSOPHY</t>
  </si>
  <si>
    <t>RELIGION</t>
  </si>
  <si>
    <t>THEOLOGY</t>
  </si>
  <si>
    <t>TRANSLATION</t>
  </si>
  <si>
    <t>CHINESE STUDIES</t>
  </si>
  <si>
    <t>INTEGRATED BBA</t>
  </si>
  <si>
    <t>GBS</t>
  </si>
  <si>
    <t>HOSP &amp; REAL EST</t>
  </si>
  <si>
    <t>Hospitality and Real Estate</t>
  </si>
  <si>
    <t>IFAA</t>
  </si>
  <si>
    <t>PROF ACCOUNTANCY</t>
  </si>
  <si>
    <t>Professional Accountancy</t>
  </si>
  <si>
    <t>GLEF</t>
  </si>
  <si>
    <t>BBA-JD</t>
  </si>
  <si>
    <t>工商管理學士（工商管理學士綜合課程）及法律博士雙學位課程</t>
  </si>
  <si>
    <t>QFRM</t>
  </si>
  <si>
    <t>PHY ED, EX SCI &amp; HEALTH</t>
  </si>
  <si>
    <t>BA (CHI) BEd (CHI EDU)</t>
  </si>
  <si>
    <t>文學士 (中國語文研究) 及教育學士 (中國語文教育)</t>
  </si>
  <si>
    <t>BA (ENG) BEd (ENG EDU)</t>
  </si>
  <si>
    <t>MATHS EDUCATION</t>
  </si>
  <si>
    <t>BEd (ECE)</t>
  </si>
  <si>
    <t>ENGINEERING</t>
  </si>
  <si>
    <t>BENG FINTECH</t>
  </si>
  <si>
    <t>ELEG</t>
  </si>
  <si>
    <t>BMEG</t>
  </si>
  <si>
    <t>EEEN</t>
  </si>
  <si>
    <t>AIST</t>
  </si>
  <si>
    <t>人工智能：系統與科技</t>
  </si>
  <si>
    <t>MBChB</t>
  </si>
  <si>
    <t>MBChB-GPS</t>
  </si>
  <si>
    <t>NURSING</t>
  </si>
  <si>
    <t>PHARMACY</t>
  </si>
  <si>
    <t>PUBLIC HEALTH</t>
  </si>
  <si>
    <t>CHIN MEDICINE</t>
  </si>
  <si>
    <t>BIOMEDICAL SCIENCES</t>
  </si>
  <si>
    <t>SCIENCE</t>
  </si>
  <si>
    <t>ESSC (AS / GEO)</t>
  </si>
  <si>
    <t>ENRICHMENT MATHEMATICS</t>
  </si>
  <si>
    <t>THEORETICAL PHYSICS</t>
  </si>
  <si>
    <t>RISK MGT SCI</t>
  </si>
  <si>
    <t>SOCIAL SCIENCE</t>
  </si>
  <si>
    <t>ARCHITECTURE</t>
  </si>
  <si>
    <t>ECONOMICS</t>
  </si>
  <si>
    <t>EconomicsUPDATED</t>
  </si>
  <si>
    <t>GEO &amp; RES MGT</t>
  </si>
  <si>
    <t>URBAN STUDIES</t>
  </si>
  <si>
    <t>GOV'T &amp; PUBLIC ADMIN</t>
  </si>
  <si>
    <t>Government and Public Administration</t>
  </si>
  <si>
    <t>JOURNALISM &amp; COMMUN</t>
  </si>
  <si>
    <t>GLOBAL COMM</t>
  </si>
  <si>
    <t>Global CommunicationUPDATED</t>
  </si>
  <si>
    <t>PSYCHOLOGY</t>
  </si>
  <si>
    <t>SOCIAL WORK</t>
  </si>
  <si>
    <t>社會工作</t>
  </si>
  <si>
    <t>SOCIOLOGY</t>
  </si>
  <si>
    <t>GLOBAL STUDIES</t>
  </si>
  <si>
    <t>DSPS</t>
  </si>
  <si>
    <t>PolyU</t>
  </si>
  <si>
    <t>HD APP PHY</t>
  </si>
  <si>
    <t>HD BLDG SERV ENGG</t>
  </si>
  <si>
    <t>HD BLDG TECH &amp; MGT(ENGG)</t>
  </si>
  <si>
    <t>HD CHEM TECH</t>
  </si>
  <si>
    <t>HD in Chemical Technology</t>
  </si>
  <si>
    <t>HD CIVIL ENGG</t>
  </si>
  <si>
    <t>HD ELECTRICAL ENGG</t>
  </si>
  <si>
    <t>HD ELECTRONIC INFO ENGG</t>
  </si>
  <si>
    <t>HD LAND SUR &amp; GEO-INFO</t>
  </si>
  <si>
    <t>HD INDUSTRIAL &amp; SYS ENGG</t>
  </si>
  <si>
    <t>HD BLDG TECH &amp; MGT(SURV)</t>
  </si>
  <si>
    <t>MENTAL HEALTH NURSING</t>
  </si>
  <si>
    <t>FOOD SAFE TECH</t>
  </si>
  <si>
    <t>TRANS SYS ENGG</t>
  </si>
  <si>
    <t>ENV &amp; SUSTAIN DEVELOP</t>
  </si>
  <si>
    <t>BEng (Hons) in Environmental Engineering &amp; Sustainable DevelopmentUPDATED</t>
  </si>
  <si>
    <t>LAND SUR &amp; GEO-INFO</t>
  </si>
  <si>
    <t>BSc (Hons) in Land Surveying and Geo-InformaticsUPDATED</t>
  </si>
  <si>
    <t>PROPERTY MGT</t>
  </si>
  <si>
    <t>ACCT &amp; FINANCE</t>
  </si>
  <si>
    <t>MED LAB SCI</t>
  </si>
  <si>
    <t>FASHION &amp; TEXTILES</t>
  </si>
  <si>
    <t>BA (Hons) Scheme in Fashion and Textiles</t>
  </si>
  <si>
    <t>AVIATION ENGG</t>
  </si>
  <si>
    <t>INT &amp; MULTI MEDIA TECH</t>
  </si>
  <si>
    <t>PROD &amp; INDUSTRIAL ENGG</t>
  </si>
  <si>
    <t>BEng (Hons) Scheme in Product and Industrial Engineering</t>
  </si>
  <si>
    <t>DESIGN</t>
  </si>
  <si>
    <t>BA (Hons) Scheme in DesignUPDATED</t>
  </si>
  <si>
    <t>LOG &amp; ENTERPRISE ENGG</t>
  </si>
  <si>
    <t>MGT</t>
  </si>
  <si>
    <t>FINANCIAL SERV</t>
  </si>
  <si>
    <t>BIOMEDICAL ENGG</t>
  </si>
  <si>
    <t>RADIOGRAPHY</t>
  </si>
  <si>
    <t>OCCUPATIONAL THERAPY</t>
  </si>
  <si>
    <t>PHYSIOTHERAPY</t>
  </si>
  <si>
    <t>OPTOMETRY</t>
  </si>
  <si>
    <t>INT'L SHIP &amp; TRANS LGT</t>
  </si>
  <si>
    <t>ELECTRONIC &amp; INFO ENGG</t>
  </si>
  <si>
    <t>ELECTRICAL ENGG</t>
  </si>
  <si>
    <t>CIVIL ENGG</t>
  </si>
  <si>
    <t>MECHANICAL ENGG</t>
  </si>
  <si>
    <t>BLDG SERV ENGG</t>
  </si>
  <si>
    <t>SOC POLICY &amp; SOC ENTREPR</t>
  </si>
  <si>
    <t>BA (Hons) in Social Policy &amp; Social Entrepreneurship</t>
  </si>
  <si>
    <t>STRUCT &amp; FIRE SAFETY ENG</t>
  </si>
  <si>
    <t>BEng (Hons) in Structural and Fire Safety Engineering</t>
  </si>
  <si>
    <t>SURVEYING</t>
  </si>
  <si>
    <t>BLDG ENGG &amp; MGT</t>
  </si>
  <si>
    <t>INV SCI &amp; FIN ANALYTICS</t>
  </si>
  <si>
    <t>LINGUISTICS &amp; TRANSLAT</t>
  </si>
  <si>
    <t>TOUR &amp; EVENTS MGT</t>
  </si>
  <si>
    <t>ENGL &amp; APP LINGUISTICS</t>
  </si>
  <si>
    <t>BA (Hons) in English and Applied Linguistics</t>
  </si>
  <si>
    <t>英文及應用語言學(榮譽)文學士學位</t>
  </si>
  <si>
    <t>JS3844</t>
  </si>
  <si>
    <t>SUP CHAIN MGT &amp; ANALY</t>
  </si>
  <si>
    <t>BBA (Hons) in Supply Chain Management and Analytics</t>
  </si>
  <si>
    <t>COMPUTING</t>
  </si>
  <si>
    <t>HOTEL MGT</t>
  </si>
  <si>
    <t>MARKETING</t>
  </si>
  <si>
    <t>ACCOUNTANCY</t>
  </si>
  <si>
    <t>APP BIO</t>
  </si>
  <si>
    <t>ENGG PHY</t>
  </si>
  <si>
    <t>CHEM TECH</t>
  </si>
  <si>
    <t>LingnanU</t>
  </si>
  <si>
    <t>BA (Hons) Chinese</t>
  </si>
  <si>
    <t>Bachelor of Arts (Honours) in Chinese</t>
  </si>
  <si>
    <t>BA (Hons) GLA</t>
  </si>
  <si>
    <t>Bachelor of Arts (Honours) in Global Liberal Arts</t>
  </si>
  <si>
    <t>BBA (Hons)</t>
  </si>
  <si>
    <t>Bachelor of Business Administration (Honours)</t>
  </si>
  <si>
    <t>BA (Hons) Translation</t>
  </si>
  <si>
    <t>Bachelor of Arts (Honours) in Translation</t>
  </si>
  <si>
    <t>BBA (Hons) - RIM</t>
  </si>
  <si>
    <t>Bachelor of Business Administration (Honours) - Risk and Insurance Management</t>
  </si>
  <si>
    <t>工商管理(榮譽)學士 - 風險及保險管理</t>
  </si>
  <si>
    <t>BSc (Hons) Data Science</t>
  </si>
  <si>
    <t>Bachelor of Science (Honours) in Data Science</t>
  </si>
  <si>
    <t>Bachelor of Social Sciences (Honours)</t>
  </si>
  <si>
    <t>BA (Hons) Contem English</t>
  </si>
  <si>
    <t>Bachelor of Arts (Honours) in Contemporary English Studies</t>
  </si>
  <si>
    <t>當代英語語言文學課程(榮譽)文學士</t>
  </si>
  <si>
    <t>BA (Hons) Cultural Stud</t>
  </si>
  <si>
    <t>Bachelor of Arts (Honours) in Cultural Studies</t>
  </si>
  <si>
    <t>BA (Hons) History</t>
  </si>
  <si>
    <t>Bachelor of Arts (Honours) in History</t>
  </si>
  <si>
    <t>BA (Hons) Philosophy</t>
  </si>
  <si>
    <t>Bachelor of Arts (Honours) in Philosophy</t>
  </si>
  <si>
    <t>BA (Hons) Visual Studies</t>
  </si>
  <si>
    <t>Bachelor of Arts (Honours) in Visual Studies</t>
  </si>
  <si>
    <t>HKU</t>
  </si>
  <si>
    <t>BA(AS)</t>
  </si>
  <si>
    <t>Bachelor of Arts in Architectural Studies</t>
  </si>
  <si>
    <t>BSC(SURV)</t>
  </si>
  <si>
    <t>Bachelor of Science in Surveying</t>
  </si>
  <si>
    <t>BA(LS)</t>
  </si>
  <si>
    <t>Bachelor of Arts in Landscape StudiesUPDATED</t>
  </si>
  <si>
    <t>BA(US)</t>
  </si>
  <si>
    <t>Bachelor of Arts in Urban Studies</t>
  </si>
  <si>
    <t>BA&amp;BED(LangEd)-Eng</t>
  </si>
  <si>
    <t>Bachelor of Arts and Bachelor of Education in Language Education - English (double degree)</t>
  </si>
  <si>
    <t>BA&amp;LLB</t>
  </si>
  <si>
    <t>Bachelor of Arts and Bachelor of Laws (double degree)</t>
  </si>
  <si>
    <t>BA&amp;BED(LangEd)-Chin</t>
  </si>
  <si>
    <t>Bachelor of Arts and Bachelor of Education in Language Education - Chinese (double degree)</t>
  </si>
  <si>
    <t>BED(ECE&amp;SE)</t>
  </si>
  <si>
    <t>Bachelor of Education in Early Childhood Education and Special Education</t>
  </si>
  <si>
    <t>BDS</t>
  </si>
  <si>
    <t>Bachelor of Dental Surgery</t>
  </si>
  <si>
    <t>BED&amp;BSC</t>
  </si>
  <si>
    <t>Bachelor of Education and Bachelor of Science (double degree)UPDATED</t>
  </si>
  <si>
    <t>BSC(SPEECH)</t>
  </si>
  <si>
    <t>Bachelor of Science in Speech and Hearing Sciences</t>
  </si>
  <si>
    <t>BED&amp;BSS</t>
  </si>
  <si>
    <t>Bachelor of Education and Bachelor of Social Sciences (double degree)</t>
  </si>
  <si>
    <t>BASc</t>
  </si>
  <si>
    <t>Bachelor of Arts and Sciences</t>
  </si>
  <si>
    <t>BASc(AppliedAI)</t>
  </si>
  <si>
    <t>Bachelor of Arts and Sciences in Applied Artificial Intelligence</t>
  </si>
  <si>
    <t>BASc(Design+)</t>
  </si>
  <si>
    <t>Bachelor of Arts and Sciences in Design+</t>
  </si>
  <si>
    <t>BASc(FinTech)</t>
  </si>
  <si>
    <t>Bachelor of Arts and Sciences in Financial Technology</t>
  </si>
  <si>
    <t>BASc(GHD)</t>
  </si>
  <si>
    <t>Bachelor of Arts and Sciences in Global Health and Development</t>
  </si>
  <si>
    <t>MBBS</t>
  </si>
  <si>
    <t>Bachelor of Medicine and Bachelor of Surgery</t>
  </si>
  <si>
    <t>BNURS</t>
  </si>
  <si>
    <t>Bachelor of Nursing</t>
  </si>
  <si>
    <t>BChinMed</t>
  </si>
  <si>
    <t>Bachelor of Chinese Medicine</t>
  </si>
  <si>
    <t>Bachelor of Pharmacy</t>
  </si>
  <si>
    <t>SMC</t>
  </si>
  <si>
    <t>Science Master ClassNEW</t>
  </si>
  <si>
    <t>BSS</t>
  </si>
  <si>
    <t>Bachelor of Social Sciences</t>
  </si>
  <si>
    <t>BSC(AC)</t>
  </si>
  <si>
    <t>Bachelor of Science in Actuarial Science</t>
  </si>
  <si>
    <t>BEcon/BEcon&amp;Fin</t>
  </si>
  <si>
    <t>Bachelor of Economics / Bachelor of Economics and Finance</t>
  </si>
  <si>
    <t>BBA/BBA(Acc&amp;Fin)</t>
  </si>
  <si>
    <t>Bachelor of Business Administration / Bachelor of Business Administration in Accounting and Finance</t>
  </si>
  <si>
    <t>BBA(IS)</t>
  </si>
  <si>
    <t>Bachelor of Business Administration (Information Systems)</t>
  </si>
  <si>
    <t>BBA(Law)&amp;LLB</t>
  </si>
  <si>
    <t>Bachelor of Business Administration (Law) and Bachelor of Laws (double degree)</t>
  </si>
  <si>
    <t>BSS(GL)&amp;LLB</t>
  </si>
  <si>
    <t>Bachelor of Social Sciences (Government and Laws) and Bachelor of Laws (double degree)</t>
  </si>
  <si>
    <t>BJ</t>
  </si>
  <si>
    <t>Bachelor of Journalism</t>
  </si>
  <si>
    <t>BFin(AMPB)</t>
  </si>
  <si>
    <t>Bachelor of Finance in Asset Management and Private Banking</t>
  </si>
  <si>
    <t>BSc(QFin)</t>
  </si>
  <si>
    <t>Bachelor of Science in Quantitative Finance</t>
  </si>
  <si>
    <t>BBA(IBGM)</t>
  </si>
  <si>
    <t>Bachelor of Business Administration in International Business and Global Management</t>
  </si>
  <si>
    <t>BSC</t>
  </si>
  <si>
    <t>Bachelor of ScienceUPDATED</t>
  </si>
  <si>
    <t>BENG(BME)</t>
  </si>
  <si>
    <t>Bachelor of Engineering in Biomedical Engineering</t>
  </si>
  <si>
    <t>GEBP</t>
  </si>
  <si>
    <t>Global Engineering and Business Programme</t>
  </si>
  <si>
    <t>BBiomedSc</t>
  </si>
  <si>
    <t>Bachelor of Biomedical Sciences</t>
  </si>
  <si>
    <t>BENG(EngSc)</t>
  </si>
  <si>
    <t>Bachelor of Engineering in Engineering Science</t>
  </si>
  <si>
    <t>BENG</t>
  </si>
  <si>
    <t>Bachelor of Engineering</t>
  </si>
  <si>
    <t>Self-financing</t>
  </si>
  <si>
    <t>BSSc(Hons)Psychology</t>
  </si>
  <si>
    <t>BSSc(Hons)Poltics&amp;PubAdm</t>
  </si>
  <si>
    <t>BSSc(Hons) App Soc Stud</t>
  </si>
  <si>
    <t>BSSc(Hons) Glob &amp; China</t>
  </si>
  <si>
    <t>BSSc(Hons)Ageing&amp;Serv</t>
  </si>
  <si>
    <t>BSSc(Hons)Econ&amp;PubPolAna</t>
  </si>
  <si>
    <t>BSSc(Hons) Psy&amp;Mental H</t>
  </si>
  <si>
    <t>BA(Hons) Chinese</t>
  </si>
  <si>
    <t>BA(Hons) LangStud &amp; Tran</t>
  </si>
  <si>
    <t>BA(Hons)CreAd&amp;MediaDesig</t>
  </si>
  <si>
    <t>BA(Hons) EngLang&amp;Cult</t>
  </si>
  <si>
    <t>BBA(Hons) Pro Acct</t>
  </si>
  <si>
    <t>BBA(Hons) Acct &amp; Tax</t>
  </si>
  <si>
    <t>BBA(Hons) Business Mgt</t>
  </si>
  <si>
    <t>BBA(Hons)GB &amp; Mktg</t>
  </si>
  <si>
    <t>BBA(Hons)Corp Governance</t>
  </si>
  <si>
    <t>BBA(Hons) DigBus</t>
  </si>
  <si>
    <t>BBA(Hons) Fin &amp; Risk Mgt</t>
  </si>
  <si>
    <t>BBA(Hons) RealEst&amp;FacMgt</t>
  </si>
  <si>
    <t>BAPH &amp; BBMH</t>
  </si>
  <si>
    <t>BBA(Hons)Hotel &amp;SustTour</t>
  </si>
  <si>
    <t>BBA(Hons) eSports Mgt</t>
  </si>
  <si>
    <t>BEd(Hons)&amp;BEngLang(Hons)</t>
  </si>
  <si>
    <t>BEng Lang (Hons)</t>
  </si>
  <si>
    <t>BLang(Hons) Applied Chin</t>
  </si>
  <si>
    <t>語言研究榮譽學士（應用中國語言）</t>
  </si>
  <si>
    <t>BEd(Hons)&amp;BLang(Hons)Chi</t>
  </si>
  <si>
    <t>BLang(Hons)BGBus(Hons)</t>
  </si>
  <si>
    <t>語言硏究（雙語傳意）榮譽學士，國際商業榮譽學士</t>
  </si>
  <si>
    <t>BEd(Hons)ECE-Leader&amp;SEN</t>
  </si>
  <si>
    <t>教育榮譽學士（幼兒教育：領導及特殊教育需要）</t>
  </si>
  <si>
    <t>BSc(Hons) Comp Sci</t>
  </si>
  <si>
    <t>Bachelor of Science with Honours in Computer ScienceUPDATED</t>
  </si>
  <si>
    <t>BSc(Hons) Cyber&amp;ComSecy</t>
  </si>
  <si>
    <t>Bachelor of Science with Honours in Cyber and Computer SecurityUPDATED</t>
  </si>
  <si>
    <t>BEng(Hons)Elec &amp; CompEng</t>
  </si>
  <si>
    <t>BENG(Hons)BSE&amp;SustainDev</t>
  </si>
  <si>
    <t>Bachelor of Engineering with Honours in Building Services Engineering and Sustainable DevelopmentUPDATED</t>
  </si>
  <si>
    <t>BENG(Hons) Civil&amp;EnvrEng</t>
  </si>
  <si>
    <t>Bachelor of Engineering with Honours in Civil and Environmental EngineeringUPDATED</t>
  </si>
  <si>
    <t>BSc(Hons)EnvSci&amp;GreenMgt</t>
  </si>
  <si>
    <t>BSc(Hons) LifeSci</t>
  </si>
  <si>
    <t>SSSDP</t>
  </si>
  <si>
    <t>BN (Hons)</t>
  </si>
  <si>
    <t>Offered by CIHE: Bachelor of Nursing (Honours)</t>
  </si>
  <si>
    <t>由明愛專上學院開辦：護理學榮譽學士</t>
  </si>
  <si>
    <t>BSDET (Hons)</t>
  </si>
  <si>
    <t>Offered by CIHE: Bachelor of Science (Honours) in Digital Entertainment Technology</t>
  </si>
  <si>
    <t>由明愛專上學院開辦：數碼娛樂科技（榮譽）理學士</t>
  </si>
  <si>
    <t>BSPT (Hons)</t>
  </si>
  <si>
    <t>Offered by CIHE: Bachelor of Science (Honours) in Physiotherapy</t>
  </si>
  <si>
    <t>由明愛專上學院開辦：物理治療學（榮譽）理學士</t>
  </si>
  <si>
    <t>BSAI (Hons)</t>
  </si>
  <si>
    <t>Offered by CIHE: Bachelor of Science (Honours) in Artificial Intelligence</t>
  </si>
  <si>
    <t>由明愛專上學院開辦：人工智能（榮譽）理學士</t>
  </si>
  <si>
    <t>B.Sc (Hons) in Arch</t>
  </si>
  <si>
    <t>Offered by CHC: Bachelor of Science (Honours) in Architecture</t>
  </si>
  <si>
    <t>由珠海學院開辦：建築學（榮譽）理學士</t>
  </si>
  <si>
    <t>B.Sc (Hons) in CS</t>
  </si>
  <si>
    <t>Offered by CHC: Bachelor of Science (Honours) in Computer Science</t>
  </si>
  <si>
    <t>由珠海學院開辦：資訊科學（榮譽）理學士</t>
  </si>
  <si>
    <t>BA (Hons) in JCC</t>
  </si>
  <si>
    <t>Offered by CHC: Bachelor of Arts (Honours) in Communication and Crossmedia</t>
  </si>
  <si>
    <t>由珠海學院開辦：傳播及跨媒體（榮譽）文學士</t>
  </si>
  <si>
    <t>BBA-SCM</t>
  </si>
  <si>
    <t>Offered by HSUHK: Bachelor of Business Administration (Honours) in Supply Chain Management</t>
  </si>
  <si>
    <t>由恒大開辦：供應鏈管理工商管理（榮譽）學士</t>
  </si>
  <si>
    <t>BSC-AIN</t>
  </si>
  <si>
    <t>Offered by HSUHK: Bachelor of Science (Honours) in Actuarial Studies and Insurance</t>
  </si>
  <si>
    <t>由恒大開辦：精算及保險 （榮譽）理學士</t>
  </si>
  <si>
    <t>BA-AHCC</t>
  </si>
  <si>
    <t>Offered by HSUHK: Bachelor of Arts (Honours) in Applied and Human-Centred Computing</t>
  </si>
  <si>
    <t>由恒大開辦：應用及人本計算學（榮譽）文學士</t>
  </si>
  <si>
    <t>BSC-DSBI</t>
  </si>
  <si>
    <t>Offered by HSUHK: Bachelor of Science (Honours) in Data Science and Business Intelligence</t>
  </si>
  <si>
    <t>由恒大開辦：數據科學及商業智能學（榮譽）理學士</t>
  </si>
  <si>
    <t>BMSIM</t>
  </si>
  <si>
    <t>Offered by HSUHK: Bachelor of Management Science and Information Management (Honours)</t>
  </si>
  <si>
    <t>由恒大開辦：管理科學與資訊管理（榮譽）學士</t>
  </si>
  <si>
    <t>JSSH06</t>
  </si>
  <si>
    <t>BA-AD</t>
  </si>
  <si>
    <t>Offered by HSUHK: Bachelor of Arts (Honours) in Art and Design</t>
  </si>
  <si>
    <t>由恒大開辦：藝術設計（榮譽）文學士</t>
  </si>
  <si>
    <t>BHSc(N)</t>
  </si>
  <si>
    <t>Offered by TWC: Bachelor of Health Science (Honours) in Nursing</t>
  </si>
  <si>
    <t>由東華學院開辦：護理學（榮譽）健康科學學士</t>
  </si>
  <si>
    <t>BSc(MLSc)</t>
  </si>
  <si>
    <t>Offered by TWC: Bachelor of Science (Honours) in Medical Laboratory Science</t>
  </si>
  <si>
    <t>由東華學院開辦：醫療化驗科學（榮譽）理學士</t>
  </si>
  <si>
    <t>BSc(RT)</t>
  </si>
  <si>
    <t>Offered by TWC: Bachelor of Science (Honours) in Radiation Therapy</t>
  </si>
  <si>
    <t>由東華學院開辦：放射治療學（榮譽）理學士</t>
  </si>
  <si>
    <t>BSc(OT)</t>
  </si>
  <si>
    <t>Offered by TWC: Bachelor of Science (Honours) in Occupational Therapy</t>
  </si>
  <si>
    <t>由東華學院開辦：職業治療學（榮譽）理學士</t>
  </si>
  <si>
    <t>BSc(PT)</t>
  </si>
  <si>
    <t>Offered by TWC: Bachelor of Science (Honours) in Physiotherapy</t>
  </si>
  <si>
    <t>由東華學院開辦：物理治療學(榮譽)理學士</t>
  </si>
  <si>
    <t>BA(Hons) CreWri&amp;FilmArts</t>
  </si>
  <si>
    <t>Offered by OUHK: Bachelor of Arts with Honours in Creative Writing and Film ArtsUPDATED</t>
  </si>
  <si>
    <t>由公開大學開辦：創意寫作與電影藝術榮譽文學士</t>
  </si>
  <si>
    <t>BFA (Hons) Animation VE</t>
  </si>
  <si>
    <t>Offered by OUHK: Bachelor of Fine Arts with Honours in Animation and Visual EffectsUPDATED</t>
  </si>
  <si>
    <t>由公開大學開辦：動畫及視覺特效榮譽藝術學士</t>
  </si>
  <si>
    <t>BFA (Hons) IDDA</t>
  </si>
  <si>
    <t>Offered by OUHK: Bachelor of Fine Arts with Honours in Imaging Design and Digital ArtUPDATED</t>
  </si>
  <si>
    <t>由公開大學開辦：影像設計及數碼藝術榮譽藝術學士</t>
  </si>
  <si>
    <t>BNursing (Hons) General</t>
  </si>
  <si>
    <t>Offered by OUHK: Bachelor of Nursing with Honours in General Health CareUPDATED</t>
  </si>
  <si>
    <t>由公開大學開辦：護理學榮譽學士（普通科）</t>
  </si>
  <si>
    <t>BNursing (Hons) Mental</t>
  </si>
  <si>
    <t>Offered by OUHK: Bachelor of Nursing with Honours in Mental Health CareUPDATED</t>
  </si>
  <si>
    <t>由公開大學開辦：護理學榮譽學士（精神科）</t>
  </si>
  <si>
    <t>JSSU55</t>
  </si>
  <si>
    <t>BSc(Hons) Physiotherapy</t>
  </si>
  <si>
    <t>Offered by OUHK: Bachelor of Science with Honours in PhysiotherapyUPDATED</t>
  </si>
  <si>
    <t>由公開大學開辦：物理治療學榮譽理學士</t>
  </si>
  <si>
    <t>BEng (Hons) Test &amp; Cert</t>
  </si>
  <si>
    <t>Offered by OUHK: Bachelor of Engineering with Honours in Testing and CertificationUPDATED</t>
  </si>
  <si>
    <t>由公開大學開辦：檢測和認證榮譽工學士</t>
  </si>
  <si>
    <t>BSc(Hons)Test Sci &amp; Cert</t>
  </si>
  <si>
    <t>Offered by OUHK: Bachelor of Science with Honours in Testing Science and CertificationUPDATED</t>
  </si>
  <si>
    <t>由公開大學開辦：檢測科學和認證榮譽理學士</t>
  </si>
  <si>
    <t>JSSU69</t>
  </si>
  <si>
    <t>BSc(Hons)FoodTestSci</t>
  </si>
  <si>
    <t>Offered by OUHK: Bachelor of Science with Honours in Food Testing ScienceUPDATED</t>
  </si>
  <si>
    <t>由公開大學開辦：食品測試科學榮譽理學士</t>
  </si>
  <si>
    <t>JSSU70</t>
  </si>
  <si>
    <t>BSc(Hons) Data Sci &amp; AI</t>
  </si>
  <si>
    <t>Offered by OUHK: Bachelor of Science with Honours in Data Science and Artificial IntelligenceUPDATED</t>
  </si>
  <si>
    <t>由公開大學開辦：數據科學及人工智能榮譽理學士</t>
  </si>
  <si>
    <t>BComp(Hons)Internet Tech</t>
  </si>
  <si>
    <t>Offered by OUHK: Bachelor of Computing with Honours in Internet TechnologyUPDATED</t>
  </si>
  <si>
    <t>由公開大學開辦：互聯網科技榮譽電腦學學士</t>
  </si>
  <si>
    <t>B Intl Hospitality(Hons)</t>
  </si>
  <si>
    <t>Offered by OUHK: Bachelor of International Hospitality and Attractions Management with HonoursUPDATED</t>
  </si>
  <si>
    <t>由公開大學開辦：國際款待及景區管理榮譽學士</t>
  </si>
  <si>
    <t>B(Hons)Sports &amp; R Mgnt</t>
  </si>
  <si>
    <t>Offered by OUHK: Bachelor of Sports and Recreation Management with HonoursUPDATED</t>
  </si>
  <si>
    <t>由公開大學開辦：運動及康樂管理榮譽學士</t>
  </si>
  <si>
    <t>BBA (Hons) Fintech</t>
  </si>
  <si>
    <t>Offered by OUHK: Bachelor of Business Administration with Honours in Financial Technology and InnovationUPDATED</t>
  </si>
  <si>
    <t>由公開大學開辦：金融科技及創新榮譽工商管理學士</t>
  </si>
  <si>
    <t>BBA (Hons) GM &amp; SC Mgt</t>
  </si>
  <si>
    <t>Offered by OUHK: Bachelor of Business Administration with Honours in Global Marketing and Supply Chain ManagementUPDATED</t>
  </si>
  <si>
    <t>由公開大學開辦：環球市場及供應鏈榮譽工商管理學士</t>
  </si>
  <si>
    <t>BA(FD)</t>
  </si>
  <si>
    <t>Offered by VTC-THEi: Bachelor of Arts (Honours) in Fashion DesignUPDATED</t>
  </si>
  <si>
    <t>由香港高科院開辦：時裝設計（榮譽）文學士</t>
  </si>
  <si>
    <t>BA(PD)</t>
  </si>
  <si>
    <t>Offered by VTC-THEi: Bachelor of Arts (Honours) in Product DesignUPDATED</t>
  </si>
  <si>
    <t>由香港高科院開辦：產品設計（榮譽）文學士</t>
  </si>
  <si>
    <t>BA(LA)</t>
  </si>
  <si>
    <t>Offered by VTC-THEi: Bachelor of Arts (Honours) in Landscape ArchitectureUPDATED</t>
  </si>
  <si>
    <t>由香港高科院開辦：園境建築（榮譽）文學士</t>
  </si>
  <si>
    <t>BA(CAM)</t>
  </si>
  <si>
    <t>Offered by VTC-THEi: Bachelor of Arts (Honours) in Culinary Arts and ManagementUPDATED</t>
  </si>
  <si>
    <t>由香港高科院開辦：廚藝及管理（榮譽）文學士</t>
  </si>
  <si>
    <t>BEng(CE)</t>
  </si>
  <si>
    <t>Offered by VTC-THEi: Bachelor of Engineering (Honours) in Civil EngineeringUPDATED</t>
  </si>
  <si>
    <t>由香港高科院開辦：土木工程（榮譽）工學士</t>
  </si>
  <si>
    <t>BSc(HALM)</t>
  </si>
  <si>
    <t>Offered by VTC-THEi: Bachelor of Science (Honours) in Horticulture, Arboriculture and Landscape ManagementUPDATED</t>
  </si>
  <si>
    <t>由香港高科院開辦：園藝樹藝及園境管理（榮譽）理學士</t>
  </si>
  <si>
    <t>BSc(SUR)</t>
  </si>
  <si>
    <t>Offered by VTC-THEi: Bachelor of Science (Honours) in SurveyingUPDATED</t>
  </si>
  <si>
    <t>由香港高科院開辦：測量學（榮譽）理學士</t>
  </si>
  <si>
    <t>BSocSc(SRM)</t>
  </si>
  <si>
    <t>Offered by VTC-THEi: Bachelor of Social Sciences (Honours) in Sports and Recreation ManagementUPDATED</t>
  </si>
  <si>
    <t>由香港高科院開辦：運動及康樂管理（榮譽）社會科學學士</t>
  </si>
  <si>
    <t>BSc(MTI)</t>
  </si>
  <si>
    <t>Offered by VTC-THEi: Bachelor of Science (Honours) in Multimedia Technology and Innovation</t>
  </si>
  <si>
    <t>由香港高科院開辦：創新及多媒體科技（榮譽）理學士</t>
  </si>
  <si>
    <t>BSc(ICT)</t>
  </si>
  <si>
    <t>Offered by VTC-THEi: Bachelor of Science (Honours) in Information and Communications TechnologyUPDATED</t>
  </si>
  <si>
    <t>由香港高科院開辦：資訊及通訊科技（榮譽）理學士</t>
  </si>
  <si>
    <t>JSSW01</t>
  </si>
  <si>
    <t>BAvOM</t>
  </si>
  <si>
    <t>Offered by UOWCHK: Bachelor of Aviation (Honours) in Operations and Management</t>
  </si>
  <si>
    <t>JSSY01</t>
  </si>
  <si>
    <t>BCom (Hons) FinTech</t>
  </si>
  <si>
    <t>Offered by HKSYU: Bachelor of Commerce (Honours) in Financial Technology</t>
  </si>
  <si>
    <t>由仁大開辦： 金融科技（榮譽）商學士</t>
  </si>
  <si>
    <t>藝術設計（榮譽）文學士</t>
  </si>
  <si>
    <t>藝術設計（榮譽）文學士</t>
    <phoneticPr fontId="2" type="noConversion"/>
  </si>
  <si>
    <t>物理治療學榮譽理學士</t>
  </si>
  <si>
    <t>物理治療學榮譽理學士</t>
    <phoneticPr fontId="2" type="noConversion"/>
  </si>
  <si>
    <t>食品測試科學榮譽理學士</t>
    <phoneticPr fontId="2" type="noConversion"/>
  </si>
  <si>
    <t>數據科學及人工智能榮譽理學士</t>
  </si>
  <si>
    <t>數據科學及人工智能榮譽理學士</t>
    <phoneticPr fontId="2" type="noConversion"/>
  </si>
  <si>
    <t>由香港伍倫貢學院開辦：營運及管理（榮譽）航空學士</t>
    <phoneticPr fontId="2" type="noConversion"/>
  </si>
  <si>
    <t>營運及管理（榮譽）航空學士</t>
  </si>
  <si>
    <t>營運及管理（榮譽）航空學士</t>
    <phoneticPr fontId="2" type="noConversion"/>
  </si>
  <si>
    <t>金融科技（榮譽）商學士</t>
  </si>
  <si>
    <t>金融科技（榮譽）商學士</t>
    <phoneticPr fontId="2" type="noConversion"/>
  </si>
  <si>
    <t>樹仁大學</t>
    <phoneticPr fontId="2" type="noConversion"/>
  </si>
  <si>
    <t>伍倫貢學院</t>
    <phoneticPr fontId="2" type="noConversion"/>
  </si>
  <si>
    <t>JSSW01</t>
    <phoneticPr fontId="2" type="noConversion"/>
  </si>
  <si>
    <t>JSSU55</t>
    <phoneticPr fontId="2" type="noConversion"/>
  </si>
  <si>
    <t>無資料</t>
    <phoneticPr fontId="2" type="noConversion"/>
  </si>
  <si>
    <t>https://www.cihe.edu.hk/en/programmes/index.html</t>
    <phoneticPr fontId="2" type="noConversion"/>
  </si>
  <si>
    <t>明愛:</t>
    <phoneticPr fontId="2" type="noConversion"/>
  </si>
  <si>
    <t>珠海:</t>
    <phoneticPr fontId="2" type="noConversion"/>
  </si>
  <si>
    <t>分數:</t>
    <phoneticPr fontId="2" type="noConversion"/>
  </si>
  <si>
    <t>課程:</t>
    <phoneticPr fontId="2" type="noConversion"/>
  </si>
  <si>
    <t>恆大:</t>
    <phoneticPr fontId="2" type="noConversion"/>
  </si>
  <si>
    <t>東華:</t>
    <phoneticPr fontId="2" type="noConversion"/>
  </si>
  <si>
    <t>公大:</t>
    <phoneticPr fontId="2" type="noConversion"/>
  </si>
  <si>
    <t>THEi:</t>
    <phoneticPr fontId="2" type="noConversion"/>
  </si>
  <si>
    <t>伍倫貢:</t>
    <phoneticPr fontId="2" type="noConversion"/>
  </si>
  <si>
    <t>樹仁:</t>
    <phoneticPr fontId="2" type="noConversion"/>
  </si>
  <si>
    <t>人文學院</t>
    <phoneticPr fontId="2" type="noConversion"/>
  </si>
  <si>
    <t>數學/M12</t>
    <phoneticPr fontId="2" type="noConversion"/>
  </si>
  <si>
    <t>JS8416</t>
    <phoneticPr fontId="2" type="noConversion"/>
  </si>
  <si>
    <t>中國歷史教育榮譽學士</t>
    <phoneticPr fontId="2" type="noConversion"/>
  </si>
  <si>
    <t>教育及人類發展學院</t>
  </si>
  <si>
    <t>教育及人類發展學院</t>
    <phoneticPr fontId="2" type="noConversion"/>
  </si>
  <si>
    <t>博文及社會科學學院</t>
    <phoneticPr fontId="2" type="noConversion"/>
  </si>
  <si>
    <t>理學(組+綜)</t>
  </si>
  <si>
    <t>化/組化</t>
  </si>
  <si>
    <t>JS1801入學要求</t>
  </si>
  <si>
    <t>兩科都有</t>
  </si>
  <si>
    <t>UST</t>
  </si>
  <si>
    <t>1.</t>
  </si>
  <si>
    <t>2.</t>
  </si>
  <si>
    <t>3.</t>
  </si>
  <si>
    <t>O&amp;A 及使用須知:</t>
  </si>
  <si>
    <t>建築學院</t>
  </si>
  <si>
    <t>法律學院</t>
  </si>
  <si>
    <t>文理學士學位</t>
  </si>
  <si>
    <t>Band A</t>
  </si>
  <si>
    <t>Band B</t>
  </si>
  <si>
    <t>Band C</t>
  </si>
  <si>
    <t>Band D</t>
  </si>
  <si>
    <t>Band E</t>
  </si>
  <si>
    <t>Year</t>
  </si>
  <si>
    <t>Total</t>
  </si>
  <si>
    <t>Total</t>
    <phoneticPr fontId="2" type="noConversion"/>
  </si>
  <si>
    <t>取錄人數</t>
  </si>
  <si>
    <t>2020年</t>
  </si>
  <si>
    <t>2020年</t>
    <phoneticPr fontId="2" type="noConversion"/>
  </si>
  <si>
    <t>2019年</t>
    <phoneticPr fontId="2" type="noConversion"/>
  </si>
  <si>
    <t>2018年</t>
    <phoneticPr fontId="2" type="noConversion"/>
  </si>
  <si>
    <t>申請人數</t>
    <phoneticPr fontId="2" type="noConversion"/>
  </si>
  <si>
    <t>JS1014</t>
    <phoneticPr fontId="2" type="noConversion"/>
  </si>
  <si>
    <t>https://www.cuhk.edu.hk/adm/jupas/admission_grades_2020.pdf</t>
    <phoneticPr fontId="2" type="noConversion"/>
  </si>
  <si>
    <t>請選擇第四選修科</t>
  </si>
  <si>
    <t>申請人數</t>
  </si>
  <si>
    <t>JS3765</t>
    <phoneticPr fontId="2" type="noConversion"/>
  </si>
  <si>
    <t>JS3777</t>
    <phoneticPr fontId="2" type="noConversion"/>
  </si>
  <si>
    <t>專業會計學</t>
    <phoneticPr fontId="2" type="noConversion"/>
  </si>
  <si>
    <t>有冇讀化/生</t>
    <phoneticPr fontId="2" type="noConversion"/>
  </si>
  <si>
    <t>JS2410/4501/5811</t>
    <phoneticPr fontId="2" type="noConversion"/>
  </si>
  <si>
    <t>成績(以星星表示)</t>
    <phoneticPr fontId="2" type="noConversion"/>
  </si>
  <si>
    <t>原始輸入</t>
    <phoneticPr fontId="2" type="noConversion"/>
  </si>
  <si>
    <t>防錯</t>
    <phoneticPr fontId="2" type="noConversion"/>
  </si>
  <si>
    <t>轉換後成績</t>
    <phoneticPr fontId="2" type="noConversion"/>
  </si>
  <si>
    <t xml:space="preserve">	BSC(SURV)</t>
  </si>
  <si>
    <t xml:space="preserve">	BA(LS)</t>
  </si>
  <si>
    <t xml:space="preserve">	BA(US)</t>
  </si>
  <si>
    <t xml:space="preserve">	BA</t>
  </si>
  <si>
    <t xml:space="preserve">	BEcon/BEcon&amp;Fin</t>
  </si>
  <si>
    <t xml:space="preserve">	BBA/BBA(Acc&amp;Fin)</t>
  </si>
  <si>
    <t xml:space="preserve">	BFin(AMPB)</t>
  </si>
  <si>
    <t xml:space="preserve">	BBA(IS)</t>
  </si>
  <si>
    <t xml:space="preserve">	BBA(Law)&amp;LLB</t>
  </si>
  <si>
    <t xml:space="preserve">	BSc(QFin)</t>
  </si>
  <si>
    <t xml:space="preserve">	BA&amp;BED(LangEd)-Chin</t>
  </si>
  <si>
    <t xml:space="preserve">	BED(ECE&amp;SE)</t>
  </si>
  <si>
    <t xml:space="preserve">	BED&amp;BSC</t>
  </si>
  <si>
    <t xml:space="preserve">	BSC(SPEECH)</t>
  </si>
  <si>
    <t xml:space="preserve">	BENG(BME)</t>
  </si>
  <si>
    <t xml:space="preserve">	BENG(EngSc)</t>
  </si>
  <si>
    <t xml:space="preserve">	BENG</t>
  </si>
  <si>
    <t xml:space="preserve">	BA&amp;LLB</t>
  </si>
  <si>
    <t xml:space="preserve">	LLB</t>
  </si>
  <si>
    <t xml:space="preserve">	MBBS</t>
  </si>
  <si>
    <t xml:space="preserve">	BNURS</t>
  </si>
  <si>
    <t>Bpharm</t>
  </si>
  <si>
    <t xml:space="preserve">	BBiomedSc</t>
  </si>
  <si>
    <t xml:space="preserve">	BSC(AC)</t>
  </si>
  <si>
    <t xml:space="preserve">	BSC</t>
  </si>
  <si>
    <t xml:space="preserve">	BSS</t>
  </si>
  <si>
    <t xml:space="preserve">	BSS(GL)&amp;LLB</t>
  </si>
  <si>
    <t xml:space="preserve">	BJ</t>
  </si>
  <si>
    <t xml:space="preserve">	BASc</t>
  </si>
  <si>
    <t xml:space="preserve">	BASc(Design+)</t>
  </si>
  <si>
    <t xml:space="preserve">	BASc(FinTech)</t>
  </si>
  <si>
    <t xml:space="preserve">	BASc(GHD)</t>
  </si>
  <si>
    <t xml:space="preserve">	FOOD SAFE TECH</t>
  </si>
  <si>
    <t xml:space="preserve">	TRANS SYS ENGG</t>
  </si>
  <si>
    <t xml:space="preserve">	ENV &amp; SUSTAIN DEVELOP</t>
  </si>
  <si>
    <t xml:space="preserve">	PROPERTY MGT</t>
  </si>
  <si>
    <t xml:space="preserve">	ACCT &amp; FINANCE</t>
  </si>
  <si>
    <t xml:space="preserve">	MED LAB SCI</t>
  </si>
  <si>
    <t xml:space="preserve">	FASHION &amp; TEXTILES</t>
  </si>
  <si>
    <t xml:space="preserve">	AVIATION ENGG</t>
  </si>
  <si>
    <t xml:space="preserve">	INT &amp; MULTI MEDIA TECH</t>
  </si>
  <si>
    <t xml:space="preserve">	PROD &amp; INDUSTRIAL ENGG</t>
  </si>
  <si>
    <t xml:space="preserve">	DESIGN</t>
  </si>
  <si>
    <t xml:space="preserve">	LOG &amp; ENTERPRISE ENGG</t>
  </si>
  <si>
    <t xml:space="preserve">	MGT</t>
  </si>
  <si>
    <t xml:space="preserve">	BIOMEDICAL ENGG</t>
  </si>
  <si>
    <t xml:space="preserve">	RADIOGRAPHY</t>
  </si>
  <si>
    <t xml:space="preserve">	OCCUPATIONAL THERAPY</t>
  </si>
  <si>
    <t xml:space="preserve">	PHYSIOTHERAPY</t>
  </si>
  <si>
    <t xml:space="preserve">	NURSING</t>
  </si>
  <si>
    <t xml:space="preserve">	OPTOMETRY</t>
  </si>
  <si>
    <t xml:space="preserve">	SOCIAL WORK</t>
  </si>
  <si>
    <t xml:space="preserve">	INT'L SHIP &amp; TRANS LGT</t>
  </si>
  <si>
    <t xml:space="preserve">	ELECTRONIC &amp; INFO ENGG</t>
  </si>
  <si>
    <t xml:space="preserve">	ELECTRICAL ENGG</t>
  </si>
  <si>
    <t xml:space="preserve">	CIVIL ENGG</t>
  </si>
  <si>
    <t xml:space="preserve">	MECHANICAL ENGG</t>
  </si>
  <si>
    <t xml:space="preserve">	BLDG SERV ENGG</t>
  </si>
  <si>
    <t xml:space="preserve">	SOC POLICY &amp; SOC ENTREPR</t>
  </si>
  <si>
    <t xml:space="preserve">	SURVEYING</t>
  </si>
  <si>
    <t xml:space="preserve">	LINGUISTICS &amp; TRANSLAT</t>
  </si>
  <si>
    <t xml:space="preserve">	TOUR &amp; EVENTS MGT</t>
  </si>
  <si>
    <t xml:space="preserve">	ENGL &amp; APP LINGUISTICS</t>
  </si>
  <si>
    <t xml:space="preserve">	COMPUTING</t>
  </si>
  <si>
    <t xml:space="preserve">	HOTEL MGT</t>
  </si>
  <si>
    <t xml:space="preserve">	MARKETING</t>
  </si>
  <si>
    <t xml:space="preserve">	ACCOUNTANCY</t>
  </si>
  <si>
    <t xml:space="preserve">	APP BIO</t>
  </si>
  <si>
    <t xml:space="preserve">	ENGG PHY</t>
  </si>
  <si>
    <t xml:space="preserve">	CHEM TECH</t>
  </si>
  <si>
    <t xml:space="preserve">	HD BLDG SERV ENGG</t>
  </si>
  <si>
    <t xml:space="preserve">	HD BLDG TECH &amp; MGT(ENGG)</t>
  </si>
  <si>
    <t xml:space="preserve">	HD CHEM TECH</t>
  </si>
  <si>
    <t xml:space="preserve">	HD CIVIL ENGG</t>
  </si>
  <si>
    <t xml:space="preserve">	HD ELECTRICAL ENGG</t>
  </si>
  <si>
    <t xml:space="preserve">	HD ELECTRONIC INFO ENGG</t>
  </si>
  <si>
    <t xml:space="preserve">	HD LAND SUR &amp; GEO-INFO</t>
  </si>
  <si>
    <t xml:space="preserve">	HD INDUSTRIAL &amp; SYS ENGG</t>
  </si>
  <si>
    <t xml:space="preserve">	CHI LANG &amp; LIT</t>
  </si>
  <si>
    <t xml:space="preserve">	CULTURAL STUDIES</t>
  </si>
  <si>
    <t xml:space="preserve">	CULTURAL MANAGEMENT</t>
  </si>
  <si>
    <t xml:space="preserve">	ENGLISH</t>
  </si>
  <si>
    <t xml:space="preserve">	LINGUISTICS</t>
  </si>
  <si>
    <t xml:space="preserve">	MUSIC</t>
  </si>
  <si>
    <t xml:space="preserve">	PHILOSOPHY</t>
  </si>
  <si>
    <t xml:space="preserve">	RELIGION</t>
  </si>
  <si>
    <t xml:space="preserve">	CHINESE STUDIES</t>
  </si>
  <si>
    <t xml:space="preserve">	INTEGRATED BBA</t>
  </si>
  <si>
    <t xml:space="preserve">	IFAA</t>
  </si>
  <si>
    <t xml:space="preserve">	PROF ACCOUNTANCY</t>
  </si>
  <si>
    <t xml:space="preserve">	QFIN</t>
  </si>
  <si>
    <t xml:space="preserve">	BBA-JD</t>
  </si>
  <si>
    <t xml:space="preserve">	QFRM</t>
  </si>
  <si>
    <t xml:space="preserve">	PHY ED, EX SCI &amp; HEALTH</t>
  </si>
  <si>
    <t xml:space="preserve">	BA (CHI) BEd (CHI EDU)</t>
  </si>
  <si>
    <t xml:space="preserve">	BA (ENG) BEd (ENG EDU)</t>
  </si>
  <si>
    <t xml:space="preserve">	BEd (ECE)</t>
  </si>
  <si>
    <t xml:space="preserve">	ENGINEERING</t>
  </si>
  <si>
    <t xml:space="preserve">	BENG FINTECH</t>
  </si>
  <si>
    <t xml:space="preserve">	BMEG</t>
  </si>
  <si>
    <t xml:space="preserve">	AIST</t>
  </si>
  <si>
    <t xml:space="preserve">	PUBLIC HEALTH</t>
  </si>
  <si>
    <t xml:space="preserve">	BIOMEDICAL SCIENCES</t>
  </si>
  <si>
    <t xml:space="preserve">	SCIENCE</t>
  </si>
  <si>
    <t xml:space="preserve">	ESSC (AS / GEO)</t>
  </si>
  <si>
    <t xml:space="preserve">	ENRICHMENT MATHEMATICS</t>
  </si>
  <si>
    <t xml:space="preserve">	THEORETICAL PHYSICS</t>
  </si>
  <si>
    <t xml:space="preserve">	RISK MGT SCI</t>
  </si>
  <si>
    <t xml:space="preserve">	ARCHITECTURE</t>
  </si>
  <si>
    <t xml:space="preserve">	ECONOMICS</t>
  </si>
  <si>
    <t xml:space="preserve">	URBAN STUDIES</t>
  </si>
  <si>
    <t xml:space="preserve">	GOV'T &amp; PUBLIC ADMIN</t>
  </si>
  <si>
    <t xml:space="preserve">	GLOBAL COMM</t>
  </si>
  <si>
    <t xml:space="preserve">	SOCIOLOGY</t>
  </si>
  <si>
    <t xml:space="preserve">	DSPS</t>
  </si>
  <si>
    <t xml:space="preserve"> 使用須知 及 免責聲明</t>
  </si>
  <si>
    <t>JS6418</t>
  </si>
  <si>
    <t>BNURS-ALT</t>
  </si>
  <si>
    <t>PCB組綜</t>
    <phoneticPr fontId="2" type="noConversion"/>
  </si>
  <si>
    <t>PCB組</t>
    <phoneticPr fontId="2" type="noConversion"/>
  </si>
  <si>
    <t>PCB組綜+資</t>
    <phoneticPr fontId="2" type="noConversion"/>
  </si>
  <si>
    <t>JS6456/6494</t>
    <phoneticPr fontId="2" type="noConversion"/>
  </si>
  <si>
    <t>生+組</t>
    <phoneticPr fontId="2" type="noConversion"/>
  </si>
  <si>
    <t>JS6157</t>
    <phoneticPr fontId="2" type="noConversion"/>
  </si>
  <si>
    <t>JS6925/37/51/63</t>
    <phoneticPr fontId="2" type="noConversion"/>
  </si>
  <si>
    <t>JS6482/6901/6119/6107</t>
    <phoneticPr fontId="2" type="noConversion"/>
  </si>
  <si>
    <t>生+化+組</t>
    <phoneticPr fontId="2" type="noConversion"/>
  </si>
  <si>
    <t>JS6949</t>
    <phoneticPr fontId="2" type="noConversion"/>
  </si>
  <si>
    <t>請選擇語言科目</t>
  </si>
  <si>
    <t>面試</t>
  </si>
  <si>
    <t>放榜前</t>
  </si>
  <si>
    <t>https://www.admo.cityu.edu.hk/interview_arrangements/jupas</t>
  </si>
  <si>
    <t>放榜後</t>
  </si>
  <si>
    <t>放榜前+後</t>
  </si>
  <si>
    <t>JS1216</t>
  </si>
  <si>
    <t>工學士(智能製造工程學)</t>
  </si>
  <si>
    <t>P/C/DAT/ICT/M12/組</t>
  </si>
  <si>
    <t>JS1216</t>
    <phoneticPr fontId="2" type="noConversion"/>
  </si>
  <si>
    <t>ITME</t>
    <phoneticPr fontId="2" type="noConversion"/>
  </si>
  <si>
    <t>社會科學學士(社會工作)</t>
    <phoneticPr fontId="2" type="noConversion"/>
  </si>
  <si>
    <t>放榜前</t>
    <phoneticPr fontId="2" type="noConversion"/>
  </si>
  <si>
    <t>面試</t>
    <phoneticPr fontId="2" type="noConversion"/>
  </si>
  <si>
    <t xml:space="preserve">放榜前+後 </t>
    <phoneticPr fontId="2" type="noConversion"/>
  </si>
  <si>
    <t xml:space="preserve">放榜後 </t>
    <phoneticPr fontId="2" type="noConversion"/>
  </si>
  <si>
    <t>TBC</t>
    <phoneticPr fontId="2" type="noConversion"/>
  </si>
  <si>
    <t>放榜後</t>
    <phoneticPr fontId="2" type="noConversion"/>
  </si>
  <si>
    <t>放榜前+後</t>
    <phoneticPr fontId="2" type="noConversion"/>
  </si>
  <si>
    <t>JS9272</t>
    <phoneticPr fontId="2" type="noConversion"/>
  </si>
  <si>
    <t>*港大自2019/20年度起推出「加分制」，考獲5級或以上學科將獲額外加分。( Lv.5 -&gt; 5.5 | Lv.5* -&gt; 7 | Lv. 5** -&gt;8.5)</t>
    <phoneticPr fontId="2" type="noConversion"/>
  </si>
  <si>
    <t>*理大自2020/21年度起推出「加分制」，考獲5級或以上學科將獲額外加分。( Lv.5 -&gt; 5.5 | Lv.5* -&gt; 7 | Lv. 5** -&gt;8.5)</t>
    <phoneticPr fontId="2" type="noConversion"/>
  </si>
  <si>
    <r>
      <t>*城大公佈的分數為</t>
    </r>
    <r>
      <rPr>
        <b/>
        <sz val="12"/>
        <color theme="1"/>
        <rFont val="微軟正黑體"/>
        <family val="2"/>
        <charset val="136"/>
      </rPr>
      <t>已計比重的分數</t>
    </r>
    <r>
      <rPr>
        <sz val="10"/>
        <color theme="1"/>
        <rFont val="微軟正黑體"/>
        <family val="2"/>
        <charset val="136"/>
      </rPr>
      <t>，只供參考。</t>
    </r>
    <phoneticPr fontId="2" type="noConversion"/>
  </si>
  <si>
    <r>
      <t>*浸大公佈的分數為平均分，以及</t>
    </r>
    <r>
      <rPr>
        <b/>
        <sz val="12"/>
        <color theme="1"/>
        <rFont val="微軟正黑體"/>
        <family val="2"/>
        <charset val="136"/>
      </rPr>
      <t>未計比重的原始分數</t>
    </r>
    <r>
      <rPr>
        <sz val="10"/>
        <color theme="1"/>
        <rFont val="微軟正黑體"/>
        <family val="2"/>
        <charset val="136"/>
      </rPr>
      <t>，以上含比重分數一律以</t>
    </r>
    <r>
      <rPr>
        <b/>
        <sz val="12"/>
        <color theme="1"/>
        <rFont val="微軟正黑體"/>
        <family val="2"/>
        <charset val="136"/>
      </rPr>
      <t>最大比重</t>
    </r>
    <r>
      <rPr>
        <sz val="10"/>
        <color theme="1"/>
        <rFont val="微軟正黑體"/>
        <family val="2"/>
        <charset val="136"/>
      </rPr>
      <t>作估算</t>
    </r>
    <r>
      <rPr>
        <b/>
        <sz val="10"/>
        <color theme="1"/>
        <rFont val="微軟正黑體"/>
        <family val="2"/>
        <charset val="136"/>
      </rPr>
      <t>，</t>
    </r>
    <r>
      <rPr>
        <sz val="10"/>
        <color theme="1"/>
        <rFont val="微軟正黑體"/>
        <family val="2"/>
        <charset val="136"/>
      </rPr>
      <t>或會</t>
    </r>
    <r>
      <rPr>
        <b/>
        <sz val="12"/>
        <color theme="1"/>
        <rFont val="微軟正黑體"/>
        <family val="2"/>
        <charset val="136"/>
      </rPr>
      <t>稍為高於真實分數</t>
    </r>
    <r>
      <rPr>
        <sz val="10"/>
        <color theme="1"/>
        <rFont val="微軟正黑體"/>
        <family val="2"/>
        <charset val="136"/>
      </rPr>
      <t>，只供參考。</t>
    </r>
    <phoneticPr fontId="2" type="noConversion"/>
  </si>
  <si>
    <r>
      <rPr>
        <sz val="10"/>
        <color theme="1"/>
        <rFont val="微軟正黑體"/>
        <family val="2"/>
        <charset val="136"/>
      </rPr>
      <t>*理大公佈的分數為</t>
    </r>
    <r>
      <rPr>
        <b/>
        <sz val="12"/>
        <color theme="1"/>
        <rFont val="微軟正黑體"/>
        <family val="2"/>
        <charset val="136"/>
      </rPr>
      <t>未乘比重的原始分數</t>
    </r>
    <r>
      <rPr>
        <sz val="10"/>
        <color theme="1"/>
        <rFont val="微軟正黑體"/>
        <family val="2"/>
        <charset val="136"/>
      </rPr>
      <t>，以上參考分數先加分制作基礎，再計算比重。</t>
    </r>
    <r>
      <rPr>
        <b/>
        <sz val="12"/>
        <color theme="1"/>
        <rFont val="微軟正黑體"/>
        <family val="2"/>
        <charset val="136"/>
      </rPr>
      <t>含比重分數</t>
    </r>
    <r>
      <rPr>
        <sz val="10"/>
        <color theme="1"/>
        <rFont val="微軟正黑體"/>
        <family val="2"/>
        <charset val="136"/>
      </rPr>
      <t>一律以</t>
    </r>
    <r>
      <rPr>
        <b/>
        <sz val="12"/>
        <color theme="1"/>
        <rFont val="微軟正黑體"/>
        <family val="2"/>
        <charset val="136"/>
      </rPr>
      <t>最大比重</t>
    </r>
    <r>
      <rPr>
        <sz val="10"/>
        <color theme="1"/>
        <rFont val="微軟正黑體"/>
        <family val="2"/>
        <charset val="136"/>
      </rPr>
      <t>作估算，或會</t>
    </r>
    <r>
      <rPr>
        <b/>
        <sz val="12"/>
        <color theme="1"/>
        <rFont val="微軟正黑體"/>
        <family val="2"/>
        <charset val="136"/>
      </rPr>
      <t>稍為高於真實分數</t>
    </r>
    <r>
      <rPr>
        <sz val="10"/>
        <color theme="1"/>
        <rFont val="微軟正黑體"/>
        <family val="2"/>
        <charset val="136"/>
      </rPr>
      <t>，只供參考。</t>
    </r>
    <phoneticPr fontId="2" type="noConversion"/>
  </si>
  <si>
    <r>
      <rPr>
        <sz val="10"/>
        <color theme="1"/>
        <rFont val="微軟正黑體"/>
        <family val="2"/>
        <charset val="136"/>
      </rPr>
      <t>*中大公佈的分數為</t>
    </r>
    <r>
      <rPr>
        <b/>
        <sz val="12"/>
        <color theme="1"/>
        <rFont val="微軟正黑體"/>
        <family val="2"/>
        <charset val="136"/>
      </rPr>
      <t>未乘比重的原始分數</t>
    </r>
    <r>
      <rPr>
        <sz val="10"/>
        <color theme="1"/>
        <rFont val="微軟正黑體"/>
        <family val="2"/>
        <charset val="136"/>
      </rPr>
      <t>，以上參考分數先加分制作基礎，再計算比重。</t>
    </r>
    <r>
      <rPr>
        <b/>
        <sz val="12"/>
        <color theme="1"/>
        <rFont val="微軟正黑體"/>
        <family val="2"/>
        <charset val="136"/>
      </rPr>
      <t>含比重分數</t>
    </r>
    <r>
      <rPr>
        <sz val="10"/>
        <color theme="1"/>
        <rFont val="微軟正黑體"/>
        <family val="2"/>
        <charset val="136"/>
      </rPr>
      <t>一律以</t>
    </r>
    <r>
      <rPr>
        <b/>
        <sz val="12"/>
        <color theme="1"/>
        <rFont val="微軟正黑體"/>
        <family val="2"/>
        <charset val="136"/>
      </rPr>
      <t>最大比重</t>
    </r>
    <r>
      <rPr>
        <sz val="10"/>
        <color theme="1"/>
        <rFont val="微軟正黑體"/>
        <family val="2"/>
        <charset val="136"/>
      </rPr>
      <t>作估算，或會</t>
    </r>
    <r>
      <rPr>
        <b/>
        <sz val="12"/>
        <color theme="1"/>
        <rFont val="微軟正黑體"/>
        <family val="2"/>
        <charset val="136"/>
      </rPr>
      <t>稍為高於真實分數</t>
    </r>
    <r>
      <rPr>
        <sz val="10"/>
        <color theme="1"/>
        <rFont val="微軟正黑體"/>
        <family val="2"/>
        <charset val="136"/>
      </rPr>
      <t>，只供參考。</t>
    </r>
    <phoneticPr fontId="2" type="noConversion"/>
  </si>
  <si>
    <r>
      <rPr>
        <sz val="10"/>
        <color theme="1"/>
        <rFont val="微軟正黑體"/>
        <family val="2"/>
        <charset val="136"/>
      </rPr>
      <t>*科大公佈的分數為</t>
    </r>
    <r>
      <rPr>
        <b/>
        <sz val="12"/>
        <color theme="1"/>
        <rFont val="微軟正黑體"/>
        <family val="2"/>
        <charset val="136"/>
      </rPr>
      <t>已計比重的分數</t>
    </r>
    <r>
      <rPr>
        <sz val="10"/>
        <color theme="1"/>
        <rFont val="微軟正黑體"/>
        <family val="2"/>
        <charset val="136"/>
      </rPr>
      <t>，只供參考。</t>
    </r>
    <phoneticPr fontId="2" type="noConversion"/>
  </si>
  <si>
    <r>
      <rPr>
        <sz val="10"/>
        <color theme="1"/>
        <rFont val="微軟正黑體"/>
        <family val="2"/>
        <charset val="136"/>
      </rPr>
      <t>*教大公佈的分數為</t>
    </r>
    <r>
      <rPr>
        <b/>
        <sz val="12"/>
        <color theme="1"/>
        <rFont val="微軟正黑體"/>
        <family val="2"/>
        <charset val="136"/>
      </rPr>
      <t>最佳5科平均分數</t>
    </r>
    <r>
      <rPr>
        <sz val="10"/>
        <color theme="1"/>
        <rFont val="微軟正黑體"/>
        <family val="2"/>
        <charset val="136"/>
      </rPr>
      <t>，但</t>
    </r>
    <r>
      <rPr>
        <b/>
        <sz val="12"/>
        <color theme="1"/>
        <rFont val="微軟正黑體"/>
        <family val="2"/>
        <charset val="136"/>
      </rPr>
      <t>未計比重</t>
    </r>
    <r>
      <rPr>
        <sz val="10"/>
        <color theme="1"/>
        <rFont val="微軟正黑體"/>
        <family val="2"/>
        <charset val="136"/>
      </rPr>
      <t>的分數</t>
    </r>
    <r>
      <rPr>
        <b/>
        <sz val="10"/>
        <color theme="1"/>
        <rFont val="微軟正黑體"/>
        <family val="2"/>
        <charset val="136"/>
      </rPr>
      <t>，</t>
    </r>
    <r>
      <rPr>
        <sz val="10"/>
        <color theme="1"/>
        <rFont val="微軟正黑體"/>
        <family val="2"/>
        <charset val="136"/>
      </rPr>
      <t>以上分數</t>
    </r>
    <r>
      <rPr>
        <b/>
        <sz val="12"/>
        <color theme="1"/>
        <rFont val="微軟正黑體"/>
        <family val="2"/>
        <charset val="136"/>
      </rPr>
      <t>不含比重</t>
    </r>
    <r>
      <rPr>
        <b/>
        <sz val="10"/>
        <color theme="1"/>
        <rFont val="微軟正黑體"/>
        <family val="2"/>
        <charset val="136"/>
      </rPr>
      <t>，</t>
    </r>
    <r>
      <rPr>
        <sz val="10"/>
        <color theme="1"/>
        <rFont val="微軟正黑體"/>
        <family val="2"/>
        <charset val="136"/>
      </rPr>
      <t>或會與</t>
    </r>
    <r>
      <rPr>
        <b/>
        <sz val="12"/>
        <color theme="1"/>
        <rFont val="微軟正黑體"/>
        <family val="2"/>
        <charset val="136"/>
      </rPr>
      <t>真實收生分數有別</t>
    </r>
    <r>
      <rPr>
        <sz val="10"/>
        <color theme="1"/>
        <rFont val="微軟正黑體"/>
        <family val="2"/>
        <charset val="136"/>
      </rPr>
      <t>，只供參考</t>
    </r>
    <r>
      <rPr>
        <b/>
        <sz val="10"/>
        <color theme="1"/>
        <rFont val="微軟正黑體"/>
        <family val="2"/>
        <charset val="136"/>
      </rPr>
      <t>。</t>
    </r>
    <phoneticPr fontId="2" type="noConversion"/>
  </si>
  <si>
    <r>
      <t>*嶺大公佈的分數為</t>
    </r>
    <r>
      <rPr>
        <b/>
        <sz val="12"/>
        <color theme="1"/>
        <rFont val="微軟正黑體"/>
        <family val="2"/>
        <charset val="136"/>
      </rPr>
      <t>已乘比重的分數</t>
    </r>
    <r>
      <rPr>
        <sz val="10"/>
        <color theme="1"/>
        <rFont val="微軟正黑體"/>
        <family val="2"/>
        <charset val="136"/>
      </rPr>
      <t>，只供參考。</t>
    </r>
    <phoneticPr fontId="2" type="noConversion"/>
  </si>
  <si>
    <r>
      <t>*公大公佈的分數為</t>
    </r>
    <r>
      <rPr>
        <b/>
        <sz val="12"/>
        <color theme="1"/>
        <rFont val="微軟正黑體"/>
        <family val="2"/>
        <charset val="136"/>
      </rPr>
      <t>已計比重的分數</t>
    </r>
    <r>
      <rPr>
        <sz val="10"/>
        <color theme="1"/>
        <rFont val="微軟正黑體"/>
        <family val="2"/>
        <charset val="136"/>
      </rPr>
      <t>，只供參考。</t>
    </r>
    <phoneticPr fontId="2" type="noConversion"/>
  </si>
  <si>
    <r>
      <t>*SSSDP公佈的分數包括</t>
    </r>
    <r>
      <rPr>
        <b/>
        <sz val="12"/>
        <color theme="1"/>
        <rFont val="微軟正黑體"/>
        <family val="2"/>
        <charset val="136"/>
      </rPr>
      <t>已計比重的分數</t>
    </r>
    <r>
      <rPr>
        <b/>
        <sz val="10"/>
        <color theme="1"/>
        <rFont val="微軟正黑體"/>
        <family val="2"/>
        <charset val="136"/>
      </rPr>
      <t>，</t>
    </r>
    <r>
      <rPr>
        <sz val="10"/>
        <color theme="1"/>
        <rFont val="微軟正黑體"/>
        <family val="2"/>
        <charset val="136"/>
      </rPr>
      <t>以及</t>
    </r>
    <r>
      <rPr>
        <b/>
        <sz val="12"/>
        <color theme="1"/>
        <rFont val="微軟正黑體"/>
        <family val="2"/>
        <charset val="136"/>
      </rPr>
      <t>平均分數</t>
    </r>
    <r>
      <rPr>
        <sz val="10"/>
        <color theme="1"/>
        <rFont val="微軟正黑體"/>
        <family val="2"/>
        <charset val="136"/>
      </rPr>
      <t>，只供參考。</t>
    </r>
    <phoneticPr fontId="2" type="noConversion"/>
  </si>
  <si>
    <t>*放榜後 面試日期暫為 七月尾至八月頭 (30 Jul to early Aug 2021)。</t>
    <phoneticPr fontId="2" type="noConversion"/>
  </si>
  <si>
    <t>護理學學士菁英領袖培育專修組別</t>
    <phoneticPr fontId="2" type="noConversion"/>
  </si>
  <si>
    <t>https://join.ust.hk/admissions/jupas#jupas-interview</t>
    <phoneticPr fontId="2" type="noConversion"/>
  </si>
  <si>
    <t>https://www.jupas.edu.hk/f/page/3667/af_2020_JUPAS.pdf</t>
    <phoneticPr fontId="2" type="noConversion"/>
  </si>
  <si>
    <t>未公佈</t>
    <phoneticPr fontId="2" type="noConversion"/>
  </si>
  <si>
    <t>*面試須知:</t>
    <phoneticPr fontId="2" type="noConversion"/>
  </si>
  <si>
    <t>Note 1: In view of the large number of applicants, preference for interview invitation will be given to candidates who place the programme as their Band-A choice.</t>
    <phoneticPr fontId="2" type="noConversion"/>
  </si>
  <si>
    <t>Note 2: If the programme has scheduled two interview sessions, candidates are normally required to attend one interview session only.</t>
    <phoneticPr fontId="2" type="noConversion"/>
  </si>
  <si>
    <t>https://admissions.hku.hk/apply/jupas/interview</t>
    <phoneticPr fontId="2" type="noConversion"/>
  </si>
  <si>
    <t>https://aal.hku.hk/admissions/local/sites/default/files/2021%20Programme%20Admissions%20Information.pdf</t>
    <phoneticPr fontId="2" type="noConversion"/>
  </si>
  <si>
    <t>https://aal.hku.hk/admissions/local/admissions-information?page=jupas-admissions-scheme</t>
    <phoneticPr fontId="2" type="noConversion"/>
  </si>
  <si>
    <t>https://aal.hku.hk/admissions/local/sites/default/files/2020%20Admissions%20Score.pdf</t>
    <phoneticPr fontId="2" type="noConversion"/>
  </si>
  <si>
    <t>https://join.ust.hk/admissions/jupas</t>
    <phoneticPr fontId="2" type="noConversion"/>
  </si>
  <si>
    <t>https://www.cuhk.edu.hk/adm/jupas/useful-information-2021.pdf</t>
    <phoneticPr fontId="2" type="noConversion"/>
  </si>
  <si>
    <t>https://www.cuhk.edu.hk/adm/jupas/arrangement-for-more-than-one-sitting-2021.pdf</t>
    <phoneticPr fontId="2" type="noConversion"/>
  </si>
  <si>
    <t>https://www.cuhk.edu.hk/adm/jupas/projected-enrolment-2021.pdf</t>
    <phoneticPr fontId="2" type="noConversion"/>
  </si>
  <si>
    <t>https://www51.polyu.edu.hk/eprospectus/ug/jupas/interview-arrangement</t>
    <phoneticPr fontId="2" type="noConversion"/>
  </si>
  <si>
    <t>https://www.ln.edu.hk/admissions/ug/jupas/interview-arrangement</t>
    <phoneticPr fontId="2" type="noConversion"/>
  </si>
  <si>
    <t>放榜前/後</t>
    <phoneticPr fontId="2" type="noConversion"/>
  </si>
  <si>
    <t>有</t>
    <phoneticPr fontId="2" type="noConversion"/>
  </si>
  <si>
    <t>JSST02</t>
    <phoneticPr fontId="2" type="noConversion"/>
  </si>
  <si>
    <t>化學/組(化) 有冇Lv4?</t>
    <phoneticPr fontId="2" type="noConversion"/>
  </si>
  <si>
    <t>JSST03</t>
    <phoneticPr fontId="2" type="noConversion"/>
  </si>
  <si>
    <t>PCB綜組 有冇Lv3?</t>
    <phoneticPr fontId="2" type="noConversion"/>
  </si>
  <si>
    <t>物理/組(物)/綜 有冇Lv3?</t>
    <phoneticPr fontId="2" type="noConversion"/>
  </si>
  <si>
    <t>JSST04</t>
    <phoneticPr fontId="2" type="noConversion"/>
  </si>
  <si>
    <t>生物/組(生) 有冇Lv3?</t>
    <phoneticPr fontId="2" type="noConversion"/>
  </si>
  <si>
    <t>或有</t>
    <phoneticPr fontId="2" type="noConversion"/>
  </si>
  <si>
    <t>Retake:</t>
    <phoneticPr fontId="2" type="noConversion"/>
  </si>
  <si>
    <t xml:space="preserve">(只需選擇有重新報考的科目) </t>
    <phoneticPr fontId="2" type="noConversion"/>
  </si>
  <si>
    <t>4.</t>
    <phoneticPr fontId="2" type="noConversion"/>
  </si>
  <si>
    <t>重考?</t>
    <phoneticPr fontId="2" type="noConversion"/>
  </si>
  <si>
    <t>選修科</t>
    <phoneticPr fontId="2" type="noConversion"/>
  </si>
  <si>
    <t>已選擇科目</t>
    <phoneticPr fontId="2" type="noConversion"/>
  </si>
  <si>
    <t>5%或更少</t>
    <phoneticPr fontId="2" type="noConversion"/>
  </si>
  <si>
    <t>*中大自2019/20年度起推出「加分制」，考獲5級或以上學科將獲額外加分。( Lv.5 -&gt; 5.5 | Lv.5* -&gt; 7 | Lv. 5** -&gt;8.5) (JS4501及JS4502 除外)</t>
    <phoneticPr fontId="2" type="noConversion"/>
  </si>
  <si>
    <t>估算方式:</t>
    <phoneticPr fontId="2" type="noConversion"/>
  </si>
  <si>
    <t>由於城大每年均會直接公佈加權後分數 (即已計算比重)，故此處直接引用城大數字，未有作任何估算。</t>
    <phoneticPr fontId="2" type="noConversion"/>
  </si>
  <si>
    <t>由於浸大每年除了公佈平均分外，亦會公佈各分布位置(中位數、下四分位數)的同學的詳細分數，故此處即以其細分 加以比重 作估算。</t>
    <phoneticPr fontId="2" type="noConversion"/>
  </si>
  <si>
    <t>*理大的計分方式比較獨特，其比重計算方式如下︰被列作「最高比重」的科目，將會乘以 10倍 比重 ； 核心科目 (4C) 作最少會乘以 7倍 ；至於其他選修科目，則會乘以 5 或 7 倍 的比重。</t>
    <phoneticPr fontId="2" type="noConversion"/>
  </si>
  <si>
    <t>*以JS3650為例，其「最高比重」科目為 「英文、數學、M1/2、生物、化學、物理、組合科學」</t>
    <phoneticPr fontId="2" type="noConversion"/>
  </si>
  <si>
    <t>*「最佳X科」的計算方式，則是先計算「加分制」，再計算上述比重，最後從已計算比重的科目中挑選最高分者。</t>
    <phoneticPr fontId="2" type="noConversion"/>
  </si>
  <si>
    <t xml:space="preserve">*假設某同學考獲 物理 Lv.3 、化學 Lv.4，而比重為︰物理 x7、化學 x5，兩者選其一時則會是選擇 物理，因為 3x7(21) 大於 4x5(20) </t>
    <phoneticPr fontId="2" type="noConversion"/>
  </si>
  <si>
    <r>
      <t>*計算比重後，分數為︰中文 4x7 (</t>
    </r>
    <r>
      <rPr>
        <b/>
        <sz val="10"/>
        <color theme="1"/>
        <rFont val="微軟正黑體"/>
        <family val="2"/>
        <charset val="136"/>
      </rPr>
      <t>28</t>
    </r>
    <r>
      <rPr>
        <sz val="10"/>
        <color theme="1"/>
        <rFont val="微軟正黑體"/>
        <family val="2"/>
        <charset val="136"/>
      </rPr>
      <t>)、英文 5.5x10 (</t>
    </r>
    <r>
      <rPr>
        <b/>
        <sz val="10"/>
        <color theme="1"/>
        <rFont val="微軟正黑體"/>
        <family val="2"/>
        <charset val="136"/>
      </rPr>
      <t>55</t>
    </r>
    <r>
      <rPr>
        <sz val="10"/>
        <color theme="1"/>
        <rFont val="微軟正黑體"/>
        <family val="2"/>
        <charset val="136"/>
      </rPr>
      <t>) 、數學 7x10 (</t>
    </r>
    <r>
      <rPr>
        <b/>
        <sz val="10"/>
        <color theme="1"/>
        <rFont val="微軟正黑體"/>
        <family val="2"/>
        <charset val="136"/>
      </rPr>
      <t>70</t>
    </r>
    <r>
      <rPr>
        <sz val="10"/>
        <color theme="1"/>
        <rFont val="微軟正黑體"/>
        <family val="2"/>
        <charset val="136"/>
      </rPr>
      <t>) 、通識 4x7 (</t>
    </r>
    <r>
      <rPr>
        <b/>
        <sz val="10"/>
        <color theme="1"/>
        <rFont val="微軟正黑體"/>
        <family val="2"/>
        <charset val="136"/>
      </rPr>
      <t>28</t>
    </r>
    <r>
      <rPr>
        <sz val="10"/>
        <color theme="1"/>
        <rFont val="微軟正黑體"/>
        <family val="2"/>
        <charset val="136"/>
      </rPr>
      <t>) 、選修一  7x10 (</t>
    </r>
    <r>
      <rPr>
        <b/>
        <sz val="10"/>
        <color theme="1"/>
        <rFont val="微軟正黑體"/>
        <family val="2"/>
        <charset val="136"/>
      </rPr>
      <t>70</t>
    </r>
    <r>
      <rPr>
        <sz val="10"/>
        <color theme="1"/>
        <rFont val="微軟正黑體"/>
        <family val="2"/>
        <charset val="136"/>
      </rPr>
      <t>) 、選修二  5.5x10 (</t>
    </r>
    <r>
      <rPr>
        <b/>
        <sz val="10"/>
        <color theme="1"/>
        <rFont val="微軟正黑體"/>
        <family val="2"/>
        <charset val="136"/>
      </rPr>
      <t>55</t>
    </r>
    <r>
      <rPr>
        <sz val="10"/>
        <color theme="1"/>
        <rFont val="微軟正黑體"/>
        <family val="2"/>
        <charset val="136"/>
      </rPr>
      <t>) 、選修三 5.5x10 (</t>
    </r>
    <r>
      <rPr>
        <b/>
        <sz val="10"/>
        <color theme="1"/>
        <rFont val="微軟正黑體"/>
        <family val="2"/>
        <charset val="136"/>
      </rPr>
      <t>55</t>
    </r>
    <r>
      <rPr>
        <sz val="10"/>
        <color theme="1"/>
        <rFont val="微軟正黑體"/>
        <family val="2"/>
        <charset val="136"/>
      </rPr>
      <t>) 、 M1/2  5.5x10 (</t>
    </r>
    <r>
      <rPr>
        <b/>
        <sz val="10"/>
        <color theme="1"/>
        <rFont val="微軟正黑體"/>
        <family val="2"/>
        <charset val="136"/>
      </rPr>
      <t>55</t>
    </r>
    <r>
      <rPr>
        <sz val="10"/>
        <color theme="1"/>
        <rFont val="微軟正黑體"/>
        <family val="2"/>
        <charset val="136"/>
      </rPr>
      <t>)</t>
    </r>
    <phoneticPr fontId="2" type="noConversion"/>
  </si>
  <si>
    <r>
      <t xml:space="preserve">*最後以其計分方式，即 Best 6 作挑選，得出︰70 + 70 + 55 + 55 + 55 + 55 = </t>
    </r>
    <r>
      <rPr>
        <b/>
        <sz val="10"/>
        <color theme="1"/>
        <rFont val="微軟正黑體"/>
        <family val="2"/>
        <charset val="136"/>
      </rPr>
      <t>360</t>
    </r>
    <phoneticPr fontId="2" type="noConversion"/>
  </si>
  <si>
    <r>
      <t>*其中位數詳細分數為︰中文 4 、英文 5 、數學 5* 、通識 4 、選修一  5* 、選修二  5 、選修三 5 、 M1/2  5 ，此處將假設其三科選修</t>
    </r>
    <r>
      <rPr>
        <b/>
        <sz val="10"/>
        <color theme="1"/>
        <rFont val="微軟正黑體"/>
        <family val="2"/>
        <charset val="136"/>
      </rPr>
      <t>「食中曬比重」</t>
    </r>
    <r>
      <rPr>
        <sz val="10"/>
        <color theme="1"/>
        <rFont val="微軟正黑體"/>
        <family val="2"/>
        <charset val="136"/>
      </rPr>
      <t>，即為 「生物、化學、物理」。</t>
    </r>
    <phoneticPr fontId="2" type="noConversion"/>
  </si>
  <si>
    <t>*以JS2420為例，其比重為 「中文、英文、化學」x1.5、 「生物、中國文學、組合科學、數學、物理」x1.25</t>
    <phoneticPr fontId="2" type="noConversion"/>
  </si>
  <si>
    <r>
      <t>*其中位數詳細分數為︰中文 3 、英文 4 、數學 3 、通識 4 、選修一  5 、選修二  4 ，此處將假設其兩科選修</t>
    </r>
    <r>
      <rPr>
        <b/>
        <sz val="10"/>
        <color theme="1"/>
        <rFont val="微軟正黑體"/>
        <family val="2"/>
        <charset val="136"/>
      </rPr>
      <t>「食中曬比重」</t>
    </r>
    <r>
      <rPr>
        <sz val="10"/>
        <color theme="1"/>
        <rFont val="微軟正黑體"/>
        <family val="2"/>
        <charset val="136"/>
      </rPr>
      <t>，即為 「化學」(x1.5) 及「生物/物理 等」(x1.25)。</t>
    </r>
    <phoneticPr fontId="2" type="noConversion"/>
  </si>
  <si>
    <r>
      <t>*計算比重後，分數為︰中文 3x1.5 (</t>
    </r>
    <r>
      <rPr>
        <b/>
        <sz val="10"/>
        <color theme="1"/>
        <rFont val="微軟正黑體"/>
        <family val="2"/>
        <charset val="136"/>
      </rPr>
      <t>4.5</t>
    </r>
    <r>
      <rPr>
        <sz val="10"/>
        <color theme="1"/>
        <rFont val="微軟正黑體"/>
        <family val="2"/>
        <charset val="136"/>
      </rPr>
      <t>)、英文 4x1.5 (</t>
    </r>
    <r>
      <rPr>
        <b/>
        <sz val="10"/>
        <color theme="1"/>
        <rFont val="微軟正黑體"/>
        <family val="2"/>
        <charset val="136"/>
      </rPr>
      <t>6</t>
    </r>
    <r>
      <rPr>
        <sz val="10"/>
        <color theme="1"/>
        <rFont val="微軟正黑體"/>
        <family val="2"/>
        <charset val="136"/>
      </rPr>
      <t>) 、數學 3x1.25 (</t>
    </r>
    <r>
      <rPr>
        <b/>
        <sz val="10"/>
        <color theme="1"/>
        <rFont val="微軟正黑體"/>
        <family val="2"/>
        <charset val="136"/>
      </rPr>
      <t>3.75</t>
    </r>
    <r>
      <rPr>
        <sz val="10"/>
        <color theme="1"/>
        <rFont val="微軟正黑體"/>
        <family val="2"/>
        <charset val="136"/>
      </rPr>
      <t>) 、通識 4 (</t>
    </r>
    <r>
      <rPr>
        <b/>
        <sz val="10"/>
        <color theme="1"/>
        <rFont val="微軟正黑體"/>
        <family val="2"/>
        <charset val="136"/>
      </rPr>
      <t>4</t>
    </r>
    <r>
      <rPr>
        <sz val="10"/>
        <color theme="1"/>
        <rFont val="微軟正黑體"/>
        <family val="2"/>
        <charset val="136"/>
      </rPr>
      <t>) 、選修一  5x1.5 (</t>
    </r>
    <r>
      <rPr>
        <b/>
        <sz val="10"/>
        <color theme="1"/>
        <rFont val="微軟正黑體"/>
        <family val="2"/>
        <charset val="136"/>
      </rPr>
      <t>7.5</t>
    </r>
    <r>
      <rPr>
        <sz val="10"/>
        <color theme="1"/>
        <rFont val="微軟正黑體"/>
        <family val="2"/>
        <charset val="136"/>
      </rPr>
      <t>) 、選修二  4x1.25 (</t>
    </r>
    <r>
      <rPr>
        <b/>
        <sz val="10"/>
        <color theme="1"/>
        <rFont val="微軟正黑體"/>
        <family val="2"/>
        <charset val="136"/>
      </rPr>
      <t>5</t>
    </r>
    <r>
      <rPr>
        <sz val="10"/>
        <color theme="1"/>
        <rFont val="微軟正黑體"/>
        <family val="2"/>
        <charset val="136"/>
      </rPr>
      <t xml:space="preserve">) </t>
    </r>
    <phoneticPr fontId="2" type="noConversion"/>
  </si>
  <si>
    <r>
      <t xml:space="preserve">*最後以其計分方式，即 Best 5 作挑選，得出︰7.5 + 6 + 5 + 4.5 + 4 = </t>
    </r>
    <r>
      <rPr>
        <b/>
        <sz val="10"/>
        <color theme="1"/>
        <rFont val="微軟正黑體"/>
        <family val="2"/>
        <charset val="136"/>
      </rPr>
      <t>27</t>
    </r>
    <phoneticPr fontId="2" type="noConversion"/>
  </si>
  <si>
    <t>*原因是現實中修讀「單一科學」(如 物理) 的同學，並不能同時修讀含有其成份的組合科學 (即 組合科學(物理、化學) 及 (物理、生物))。</t>
    <phoneticPr fontId="2" type="noConversion"/>
  </si>
  <si>
    <t>*故此其分數必然不可能有兩科選修有最高比重，故此類情況將只有估算其中一科作最高比重。</t>
    <phoneticPr fontId="2" type="noConversion"/>
  </si>
  <si>
    <t>*此處為方便估算，「最高比重」科目將會 x10，核心科目至少 x7，其他選修則會一律當作 x5。(以下會列出例外)</t>
    <phoneticPr fontId="2" type="noConversion"/>
  </si>
  <si>
    <t>*此外，因為此處將參考分數的比重儘量向上估算，部份學科或會出現估算後 下四分位數(LQ) 高於 中位數 (Median) 的情況。</t>
    <phoneticPr fontId="2" type="noConversion"/>
  </si>
  <si>
    <t>*經考慮後，此類學科的估算會作適量的調整，以免同學高估自己的入學機會。</t>
    <phoneticPr fontId="2" type="noConversion"/>
  </si>
  <si>
    <t>*部份學科 (如 JS3777) 或會列出兩科「最高比重」 (JS3777: 物理、組合科學(物理))，但此處只會為其中一科的選修作最高估算。</t>
    <phoneticPr fontId="2" type="noConversion"/>
  </si>
  <si>
    <t>*而選修有「最高比重」的學科 (如 JS3650)，由於理大並未有列出參考分數的選修科目，此處保守起見，將會假設參考分數的選修科均有最大比重，故估算分數或會高於真實分數，請注意。</t>
    <phoneticPr fontId="2" type="noConversion"/>
  </si>
  <si>
    <t>*無「最高比重」的學科 (即 JS3662 及 JS3765)，將會先計算比重 (核心科目 x 7、選修 x 5)，再以其計分方式計算 (如 4C2X，則會將4科主科分數相加，再加上最高的2科選修)。</t>
    <phoneticPr fontId="2" type="noConversion"/>
  </si>
  <si>
    <t>*為了公平比較往年數據，新學年修改了比重的學科 (如 JS3375) 在此處將繼續以往年比重估算，請注意。</t>
    <phoneticPr fontId="2" type="noConversion"/>
  </si>
  <si>
    <t xml:space="preserve">*調整過的學科有: </t>
    <phoneticPr fontId="2" type="noConversion"/>
  </si>
  <si>
    <t>*無比重的學科 (如 JS2020, JS2021)，將直接以其計分方式計算 (如 4C2X，將會將4科主科分數相加，再加上最高的2科選修)。</t>
    <phoneticPr fontId="2" type="noConversion"/>
  </si>
  <si>
    <t>*只有主科有比重的學科 (如 JS2320)，則會直接為主科計算比重，然後再加上剩餘科目分數。</t>
    <phoneticPr fontId="2" type="noConversion"/>
  </si>
  <si>
    <t>*而選修有比重的學科 (如 JS2420)，由於浸大並未有列出參考分數的選修科目，此處保守起見，將會假設參考分數的選修科均有最大比重，故估算分數或會高於真實分數，請注意。</t>
    <phoneticPr fontId="2" type="noConversion"/>
  </si>
  <si>
    <t>*為了公平比較往年數據，新學年修改了計分方式的學科 (如 JS2510) 在此處將繼續以往年方式估算，請注意。</t>
    <phoneticPr fontId="2" type="noConversion"/>
  </si>
  <si>
    <t>*由於理大並無公布高級文憑學科的詳細參考分數，此處並不能提供加權後的估算分數，只能引用其平均分，請注意。</t>
    <phoneticPr fontId="2" type="noConversion"/>
  </si>
  <si>
    <t>由於中大每年除了公佈平均分外，亦會公佈各分布位置(上四分位數、中位數、下四分位數)的同學的詳細分數，故此處即以其細分 加以比重 作估算。</t>
    <phoneticPr fontId="2" type="noConversion"/>
  </si>
  <si>
    <t>*所有科目先計算「加分制」，再計算上述比重，最後從已計算比重的科目中挑選最高分者。</t>
    <phoneticPr fontId="2" type="noConversion"/>
  </si>
  <si>
    <t>*只有主科有比重的學科 (如 JS4862)，則會直接為主科計算比重，然後再加上剩餘科目分數。</t>
    <phoneticPr fontId="2" type="noConversion"/>
  </si>
  <si>
    <t>*無比重的學科 (如 JS4537)，將直接以其計分方式計算 (如 Best 5，將會將計算「加分制」後最高的5科相加)。</t>
    <phoneticPr fontId="2" type="noConversion"/>
  </si>
  <si>
    <t>*而選修有比重的學科 (如 JS4401)，由於中大並未有列出參考分數的選修科目，此處保守起見，將會假設參考分數的選修科均有最大比重，故估算分數或會高於真實分數，請注意。</t>
    <phoneticPr fontId="2" type="noConversion"/>
  </si>
  <si>
    <t>*以JS4401為例，其比重為 「M1/2」x1.75 、「數學、物理、生物、化學、組合科學、ICT、DAT」x1.5 、「通識」x0.5</t>
    <phoneticPr fontId="2" type="noConversion"/>
  </si>
  <si>
    <r>
      <t>*其中位數詳細分數為︰中文 5* 、英文 3 、數學 4 、通識 4 、選修一  4 、選修二  4 、 M1/2  3 ，此處將假設其兩科選修</t>
    </r>
    <r>
      <rPr>
        <b/>
        <sz val="10"/>
        <color theme="1"/>
        <rFont val="微軟正黑體"/>
        <family val="2"/>
        <charset val="136"/>
      </rPr>
      <t>「食中曬比重」</t>
    </r>
    <r>
      <rPr>
        <sz val="10"/>
        <color theme="1"/>
        <rFont val="微軟正黑體"/>
        <family val="2"/>
        <charset val="136"/>
      </rPr>
      <t>，即為 「物理、生物…等」(x1.5)。</t>
    </r>
    <phoneticPr fontId="2" type="noConversion"/>
  </si>
  <si>
    <r>
      <t>*計算比重後，分數為︰中文 7 (</t>
    </r>
    <r>
      <rPr>
        <b/>
        <sz val="10"/>
        <color theme="1"/>
        <rFont val="微軟正黑體"/>
        <family val="2"/>
        <charset val="136"/>
      </rPr>
      <t>7</t>
    </r>
    <r>
      <rPr>
        <sz val="10"/>
        <color theme="1"/>
        <rFont val="微軟正黑體"/>
        <family val="2"/>
        <charset val="136"/>
      </rPr>
      <t>)、英文 3 (</t>
    </r>
    <r>
      <rPr>
        <b/>
        <sz val="10"/>
        <color theme="1"/>
        <rFont val="微軟正黑體"/>
        <family val="2"/>
        <charset val="136"/>
      </rPr>
      <t>3</t>
    </r>
    <r>
      <rPr>
        <sz val="10"/>
        <color theme="1"/>
        <rFont val="微軟正黑體"/>
        <family val="2"/>
        <charset val="136"/>
      </rPr>
      <t>) 、數學 4x1.5 (</t>
    </r>
    <r>
      <rPr>
        <b/>
        <sz val="10"/>
        <color theme="1"/>
        <rFont val="微軟正黑體"/>
        <family val="2"/>
        <charset val="136"/>
      </rPr>
      <t>6</t>
    </r>
    <r>
      <rPr>
        <sz val="10"/>
        <color theme="1"/>
        <rFont val="微軟正黑體"/>
        <family val="2"/>
        <charset val="136"/>
      </rPr>
      <t>) 、通識 4x0.5 (</t>
    </r>
    <r>
      <rPr>
        <b/>
        <sz val="10"/>
        <color theme="1"/>
        <rFont val="微軟正黑體"/>
        <family val="2"/>
        <charset val="136"/>
      </rPr>
      <t>2</t>
    </r>
    <r>
      <rPr>
        <sz val="10"/>
        <color theme="1"/>
        <rFont val="微軟正黑體"/>
        <family val="2"/>
        <charset val="136"/>
      </rPr>
      <t>) 、選修一  4x1.5 (</t>
    </r>
    <r>
      <rPr>
        <b/>
        <sz val="10"/>
        <color theme="1"/>
        <rFont val="微軟正黑體"/>
        <family val="2"/>
        <charset val="136"/>
      </rPr>
      <t>6</t>
    </r>
    <r>
      <rPr>
        <sz val="10"/>
        <color theme="1"/>
        <rFont val="微軟正黑體"/>
        <family val="2"/>
        <charset val="136"/>
      </rPr>
      <t>) 、選修二  4x1.5 (</t>
    </r>
    <r>
      <rPr>
        <b/>
        <sz val="10"/>
        <color theme="1"/>
        <rFont val="微軟正黑體"/>
        <family val="2"/>
        <charset val="136"/>
      </rPr>
      <t>6</t>
    </r>
    <r>
      <rPr>
        <sz val="10"/>
        <color theme="1"/>
        <rFont val="微軟正黑體"/>
        <family val="2"/>
        <charset val="136"/>
      </rPr>
      <t>) 、 M1/2  3x1.75 (</t>
    </r>
    <r>
      <rPr>
        <b/>
        <sz val="10"/>
        <color theme="1"/>
        <rFont val="微軟正黑體"/>
        <family val="2"/>
        <charset val="136"/>
      </rPr>
      <t>5.25</t>
    </r>
    <r>
      <rPr>
        <sz val="10"/>
        <color theme="1"/>
        <rFont val="微軟正黑體"/>
        <family val="2"/>
        <charset val="136"/>
      </rPr>
      <t>)</t>
    </r>
    <phoneticPr fontId="2" type="noConversion"/>
  </si>
  <si>
    <r>
      <t xml:space="preserve">*最後以其計分方式，即 Best 5 作挑選，得出︰7 + 6 + 6 + 6 + 5.25 = </t>
    </r>
    <r>
      <rPr>
        <b/>
        <sz val="10"/>
        <color theme="1"/>
        <rFont val="微軟正黑體"/>
        <family val="2"/>
        <charset val="136"/>
      </rPr>
      <t>30.25</t>
    </r>
    <phoneticPr fontId="2" type="noConversion"/>
  </si>
  <si>
    <t>*為了公平比較往年數據，新學年修改了計分方式 或 比重的學科 (如 JS4254、JS4812) 在此處將繼續以往年方式 或 比重估算，請注意。</t>
    <phoneticPr fontId="2" type="noConversion"/>
  </si>
  <si>
    <t>由於科大每年均會直接公佈加權後分數 (即已計算比重)，故此處直接引用科大數字，未有作任何估算。</t>
    <phoneticPr fontId="2" type="noConversion"/>
  </si>
  <si>
    <t>由於嶺大每年均會直接公佈加權後分數 (即已計算比重)，故此處直接引用嶺大數字，未有作任何估算。</t>
    <phoneticPr fontId="2" type="noConversion"/>
  </si>
  <si>
    <t>估算方式:</t>
  </si>
  <si>
    <t>由於教大每年只會直接公佈未有計算比重的平均分數，故此處無法為比重作任何估算，只能列出其科目供同學參考。</t>
    <phoneticPr fontId="2" type="noConversion"/>
  </si>
  <si>
    <t>由於公大每年均會直接公佈加權後分數 (即已計算比重)，故此處直接引用公大數字，未有作任何估算。</t>
    <phoneticPr fontId="2" type="noConversion"/>
  </si>
  <si>
    <t>SSSDP 各院校公佈的參考分數各有不同，以下將詳細列出各院校的方式。</t>
    <phoneticPr fontId="2" type="noConversion"/>
  </si>
  <si>
    <t>公佈的為未有計算比重的平均分數，但無提及科目比重，故未有作出估算。</t>
    <phoneticPr fontId="2" type="noConversion"/>
  </si>
  <si>
    <t>公佈的為未有計算比重的 上四分位數 及 下四分位數 ，但無提及科目比重，故未有作出估算。</t>
    <phoneticPr fontId="2" type="noConversion"/>
  </si>
  <si>
    <t>公佈的未有計算比重的平均分數，故此處無法為比重作任何估算，只能列出其科目供同學參考。</t>
    <phoneticPr fontId="2" type="noConversion"/>
  </si>
  <si>
    <t>公佈的為加權後分數 (即已計算比重)，故此處直接引用公大數字，未有作任何估算。</t>
    <phoneticPr fontId="2" type="noConversion"/>
  </si>
  <si>
    <t>運動及康樂管理（榮譽）社會科學學士</t>
    <phoneticPr fontId="2" type="noConversion"/>
  </si>
  <si>
    <t>JSSV09</t>
    <phoneticPr fontId="2" type="noConversion"/>
  </si>
  <si>
    <t>並未有公佈任何數字。</t>
    <phoneticPr fontId="2" type="noConversion"/>
  </si>
  <si>
    <t>重考扣分 (測試中)</t>
    <phoneticPr fontId="2" type="noConversion"/>
  </si>
  <si>
    <r>
      <t>此計算器提供的資料只作一般私人參考用途，並不可視為官方的詳盡及權威性的說明，亦不可取代專業諮詢。使用前請先留意</t>
    </r>
    <r>
      <rPr>
        <b/>
        <sz val="11"/>
        <color theme="1"/>
        <rFont val="微軟正黑體"/>
        <family val="2"/>
        <charset val="136"/>
      </rPr>
      <t>最新版本</t>
    </r>
    <r>
      <rPr>
        <sz val="10"/>
        <color theme="1"/>
        <rFont val="微軟正黑體"/>
        <family val="2"/>
        <charset val="136"/>
      </rPr>
      <t>，以及閱讀</t>
    </r>
    <r>
      <rPr>
        <b/>
        <sz val="11"/>
        <color theme="1"/>
        <rFont val="微軟正黑體"/>
        <family val="2"/>
        <charset val="136"/>
      </rPr>
      <t>使用須知</t>
    </r>
    <r>
      <rPr>
        <sz val="10"/>
        <color theme="1"/>
        <rFont val="微軟正黑體"/>
        <family val="2"/>
        <charset val="136"/>
      </rPr>
      <t>。
本人在編製此計算器時已力求審慎，盡可能確保計算器所提供的資料正確無誤、沒有錯漏，惟在個別情況下，這些資料仍可能與最新的情況有所不同。本人並不保證計算器內全部資料在各方面均絕對正確、毫無錯漏。任何使用此計算器人士，須自行承擔一切風險，對於因使用或依據此計算器內所提供的任何資料而引致的任何損失或損害，本人一概無須負上任何法律責任。</t>
    </r>
    <phoneticPr fontId="2" type="noConversion"/>
  </si>
  <si>
    <t>編號</t>
    <phoneticPr fontId="2" type="noConversion"/>
  </si>
  <si>
    <t>PB/BAFS/C(PB)/I/DAT</t>
    <phoneticPr fontId="2" type="noConversion"/>
  </si>
  <si>
    <t>JS4682</t>
    <phoneticPr fontId="2" type="noConversion"/>
  </si>
  <si>
    <t>JS8507</t>
    <phoneticPr fontId="2" type="noConversion"/>
  </si>
  <si>
    <t>更正 JS6004 錯誤以Best 5計分</t>
    <phoneticPr fontId="2" type="noConversion"/>
  </si>
  <si>
    <t>醫療化驗科學(榮譽)理學士學位</t>
    <phoneticPr fontId="2" type="noConversion"/>
  </si>
  <si>
    <t>分數概覽 (未加權)</t>
    <phoneticPr fontId="2" type="noConversion"/>
  </si>
  <si>
    <t>此處顯示為2020年方式及數字 (分數已計比重)</t>
    <phoneticPr fontId="2" type="noConversion"/>
  </si>
  <si>
    <t>M1/2?</t>
    <phoneticPr fontId="2" type="noConversion"/>
  </si>
  <si>
    <t>Cat C</t>
    <phoneticPr fontId="2" type="noConversion"/>
  </si>
  <si>
    <t>ApL</t>
    <phoneticPr fontId="2" type="noConversion"/>
  </si>
  <si>
    <t>v</t>
    <phoneticPr fontId="2" type="noConversion"/>
  </si>
  <si>
    <t>E</t>
    <phoneticPr fontId="2" type="noConversion"/>
  </si>
  <si>
    <t>B</t>
    <phoneticPr fontId="2" type="noConversion"/>
  </si>
  <si>
    <t>有 生/化/物/組/綜/M1/2/ICT</t>
    <phoneticPr fontId="2" type="noConversion"/>
  </si>
  <si>
    <t>組合科學(物理、化學)</t>
    <phoneticPr fontId="2" type="noConversion"/>
  </si>
  <si>
    <t>組合科學(生物、化學)</t>
    <phoneticPr fontId="2" type="noConversion"/>
  </si>
  <si>
    <t>組合科學(物理、生物)</t>
    <phoneticPr fontId="2" type="noConversion"/>
  </si>
  <si>
    <t>更正 「組合科學」未有計算比重</t>
    <phoneticPr fontId="2" type="noConversion"/>
  </si>
  <si>
    <t>JSSH01</t>
    <phoneticPr fontId="2" type="noConversion"/>
  </si>
  <si>
    <t>JSSA01</t>
    <phoneticPr fontId="2" type="noConversion"/>
  </si>
  <si>
    <t>生物/組(生) 有冇Lv2?</t>
    <phoneticPr fontId="2" type="noConversion"/>
  </si>
  <si>
    <t>物/生/組(物、生) 有冇Lv3?</t>
    <phoneticPr fontId="2" type="noConversion"/>
  </si>
  <si>
    <t>JSSV05</t>
    <phoneticPr fontId="2" type="noConversion"/>
  </si>
  <si>
    <t>PCB綜組M 有冇Lv2?</t>
    <phoneticPr fontId="2" type="noConversion"/>
  </si>
  <si>
    <t>JSSY01</t>
    <phoneticPr fontId="2" type="noConversion"/>
  </si>
  <si>
    <t>ICT有冇Lv3?</t>
    <phoneticPr fontId="2" type="noConversion"/>
  </si>
  <si>
    <t>JSSA03</t>
    <phoneticPr fontId="2" type="noConversion"/>
  </si>
  <si>
    <t>JS4070</t>
    <phoneticPr fontId="2" type="noConversion"/>
  </si>
  <si>
    <t>更正 JS4252, JS7503 2021年 新比重</t>
    <phoneticPr fontId="2" type="noConversion"/>
  </si>
  <si>
    <t>JS3832@</t>
  </si>
  <si>
    <t>JS3533#</t>
  </si>
  <si>
    <t>X1</t>
    <phoneticPr fontId="2" type="noConversion"/>
  </si>
  <si>
    <t>X2</t>
  </si>
  <si>
    <t>X3</t>
  </si>
  <si>
    <t>比重</t>
    <phoneticPr fontId="2" type="noConversion"/>
  </si>
  <si>
    <r>
      <t xml:space="preserve">由於理大每年除了公佈平均分外，亦會公佈各分布位置(中位數、下四分位數)的同學的詳細分數，故此處即以其細分 加以比重 作估算。 </t>
    </r>
    <r>
      <rPr>
        <b/>
        <sz val="11"/>
        <color theme="1"/>
        <rFont val="微軟正黑體"/>
        <family val="2"/>
        <charset val="136"/>
      </rPr>
      <t>(詳情請參考 Poly Ref Score 版面)</t>
    </r>
    <phoneticPr fontId="2" type="noConversion"/>
  </si>
  <si>
    <t>包括面試表現等，故亦有可能出現LQ高於Median的情況。</t>
    <phoneticPr fontId="2" type="noConversion"/>
  </si>
  <si>
    <r>
      <t>*港大公佈的分數為</t>
    </r>
    <r>
      <rPr>
        <b/>
        <sz val="12"/>
        <color theme="1"/>
        <rFont val="微軟正黑體"/>
        <family val="2"/>
        <charset val="136"/>
      </rPr>
      <t>已計加分制及比重的分數</t>
    </r>
    <r>
      <rPr>
        <sz val="10"/>
        <color theme="1"/>
        <rFont val="微軟正黑體"/>
        <family val="2"/>
        <charset val="136"/>
      </rPr>
      <t>，只供參考。</t>
    </r>
    <phoneticPr fontId="2" type="noConversion"/>
  </si>
  <si>
    <t>由於港大今年直接公佈加權後分數 (即已計算比重)，故此處直接引用港大數字，未有作任何估算。</t>
    <phoneticPr fontId="2" type="noConversion"/>
  </si>
  <si>
    <t>*然而，港大提供的新資料文件中或有少許錯漏，此處將列出其問題 及 處理。</t>
    <phoneticPr fontId="2" type="noConversion"/>
  </si>
  <si>
    <t>JS6004:</t>
    <phoneticPr fontId="2" type="noConversion"/>
  </si>
  <si>
    <t>在舊文件中，此科 中位數及下四分位數 分別為 34 及 32，但新文件中為 35 及 33。由於此科未有比重，故推論為人為錯誤。</t>
    <phoneticPr fontId="2" type="noConversion"/>
  </si>
  <si>
    <t>保守起見，計算器會採用更高之分數，即 35 及 33。</t>
    <phoneticPr fontId="2" type="noConversion"/>
  </si>
  <si>
    <t>JS6236:</t>
    <phoneticPr fontId="2" type="noConversion"/>
  </si>
  <si>
    <t>在舊文件中，此科 3個分數 分別為 39、 34 及 32，但在新文件中只有列出 中位數，並顯示為 41。</t>
    <phoneticPr fontId="2" type="noConversion"/>
  </si>
  <si>
    <t>由於該科於2020年的耶錄人數只有2位，故應為舊文件出錯，此處會採用 41 為 參考分數。</t>
    <phoneticPr fontId="2" type="noConversion"/>
  </si>
  <si>
    <t>計比重</t>
    <phoneticPr fontId="2" type="noConversion"/>
  </si>
  <si>
    <t>JS6107</t>
    <phoneticPr fontId="2" type="noConversion"/>
  </si>
  <si>
    <t>最佳理科(有比重)</t>
    <phoneticPr fontId="2" type="noConversion"/>
  </si>
  <si>
    <t>Penalty</t>
    <phoneticPr fontId="2" type="noConversion"/>
  </si>
  <si>
    <t>Final</t>
    <phoneticPr fontId="2" type="noConversion"/>
  </si>
  <si>
    <t>JS6119/6901</t>
    <phoneticPr fontId="2" type="noConversion"/>
  </si>
  <si>
    <t>JS6224</t>
    <phoneticPr fontId="2" type="noConversion"/>
  </si>
  <si>
    <t>https://admissions.hku.hk/sites/default/files/2021-07/HKU%20Programme%20Scoring%20Formula%20for%202021%20JUPAS%20Admissions.pdf</t>
    <phoneticPr fontId="2" type="noConversion"/>
  </si>
  <si>
    <t>*斜體 = 2021年新科目/新安排，粗體 = 有比重</t>
    <phoneticPr fontId="2" type="noConversion"/>
  </si>
  <si>
    <t>請選擇第三選修科</t>
  </si>
  <si>
    <t>JS7606</t>
    <phoneticPr fontId="2" type="noConversion"/>
  </si>
  <si>
    <t>PolyU 參考分數</t>
    <phoneticPr fontId="2" type="noConversion"/>
  </si>
  <si>
    <t>Retake扣分資訊</t>
    <phoneticPr fontId="2" type="noConversion"/>
  </si>
  <si>
    <t>目前只得 CUHK 及 HKU 有列明重考扣分</t>
    <phoneticPr fontId="2" type="noConversion"/>
  </si>
  <si>
    <t>現時香港只有CUHK及HKU兩間院校有列明重考扣分︰</t>
    <phoneticPr fontId="2" type="noConversion"/>
  </si>
  <si>
    <t>中國語文</t>
  </si>
  <si>
    <t>英國語文</t>
  </si>
  <si>
    <t>數學</t>
  </si>
  <si>
    <t>通識教育</t>
  </si>
  <si>
    <t>數學延伸</t>
  </si>
  <si>
    <t>今年重考</t>
    <phoneticPr fontId="2" type="noConversion"/>
  </si>
  <si>
    <t>扣分</t>
    <phoneticPr fontId="2" type="noConversion"/>
  </si>
  <si>
    <t>護理學學士菁英領袖培育專修組別</t>
  </si>
  <si>
    <t>JS6212</t>
    <phoneticPr fontId="2" type="noConversion"/>
  </si>
  <si>
    <t>合併成績</t>
    <phoneticPr fontId="2" type="noConversion"/>
  </si>
  <si>
    <t>Best results in 2 or more sittings of HKDSE</t>
  </si>
  <si>
    <t>Best results in 2 or more sittings of HKDSE</t>
    <phoneticPr fontId="2" type="noConversion"/>
  </si>
  <si>
    <t>Best results in the latest 2 sittings of HKDSE, one of which should include the year of admission (i.e. 2021)</t>
    <phoneticPr fontId="2" type="noConversion"/>
  </si>
  <si>
    <t>Best results in year 2020 and 2021 Only</t>
    <phoneticPr fontId="2" type="noConversion"/>
  </si>
  <si>
    <t>Best results in year 2019 and 2021, or, 2020 and 2021</t>
    <phoneticPr fontId="2" type="noConversion"/>
  </si>
  <si>
    <t>Best results in the latest 3 sittings of HKDSE</t>
    <phoneticPr fontId="2" type="noConversion"/>
  </si>
  <si>
    <t>Latest results in 2 or more sittings of HKDSE</t>
    <phoneticPr fontId="2" type="noConversion"/>
  </si>
  <si>
    <t>Best Results in Years 2020 and 2021 only (other sitting(s) will be considered on a case-by-case basis)</t>
    <phoneticPr fontId="2" type="noConversion"/>
  </si>
  <si>
    <t>Best results in the Latest 2 Sittings of HKDSE, one of which should include the year of admission (i.e. 2021)</t>
    <phoneticPr fontId="2" type="noConversion"/>
  </si>
  <si>
    <t>此功能只能計算 2020 重考的情況，暫未能考慮其他年份</t>
    <phoneticPr fontId="2" type="noConversion"/>
  </si>
  <si>
    <t>你的總分</t>
    <phoneticPr fontId="2" type="noConversion"/>
  </si>
  <si>
    <t>#CUHK!F15</t>
  </si>
  <si>
    <t>#CUHK!G15</t>
  </si>
  <si>
    <t>#CUHK!H15</t>
  </si>
  <si>
    <t>#CUHK!F17</t>
  </si>
  <si>
    <t>#CUHK!G17</t>
  </si>
  <si>
    <t>#CUHK!H17</t>
  </si>
  <si>
    <t>#CUHK!F18</t>
  </si>
  <si>
    <t>#CUHK!G18</t>
  </si>
  <si>
    <t>#CUHK!H18</t>
  </si>
  <si>
    <t>#CUHK!F19</t>
  </si>
  <si>
    <t>#CUHK!G19</t>
  </si>
  <si>
    <t>#CUHK!H19</t>
  </si>
  <si>
    <t>#CUHK!F20</t>
  </si>
  <si>
    <t>#CUHK!G20</t>
  </si>
  <si>
    <t>#CUHK!H20</t>
  </si>
  <si>
    <t>#CUHK!F21</t>
  </si>
  <si>
    <t>#CUHK!G21</t>
  </si>
  <si>
    <t>#CUHK!H21</t>
  </si>
  <si>
    <t>#CUHK!F22</t>
  </si>
  <si>
    <t>#CUHK!G22</t>
  </si>
  <si>
    <t>#CUHK!H22</t>
  </si>
  <si>
    <t>#CUHK!F24</t>
  </si>
  <si>
    <t>#CUHK!G24</t>
  </si>
  <si>
    <t>#CUHK!H24</t>
  </si>
  <si>
    <t>#CUHK!F26</t>
  </si>
  <si>
    <t>#CUHK!G26</t>
  </si>
  <si>
    <t>#CUHK!H26</t>
  </si>
  <si>
    <t>#CUHK!F27</t>
  </si>
  <si>
    <t>#CUHK!G27</t>
  </si>
  <si>
    <t>#CUHK!H27</t>
  </si>
  <si>
    <t>#CUHK!F28</t>
  </si>
  <si>
    <t>#CUHK!G28</t>
  </si>
  <si>
    <t>#CUHK!H28</t>
  </si>
  <si>
    <t>#CUHK!F29</t>
  </si>
  <si>
    <t>#CUHK!G29</t>
  </si>
  <si>
    <t>#CUHK!H29</t>
  </si>
  <si>
    <t>#CUHK!F37</t>
  </si>
  <si>
    <t>#CUHK!G37</t>
  </si>
  <si>
    <t>#CUHK!H37</t>
  </si>
  <si>
    <t>#CUHK!F38</t>
  </si>
  <si>
    <t>#CUHK!G38</t>
  </si>
  <si>
    <t>#CUHK!H38</t>
  </si>
  <si>
    <t>#CUHK!F40</t>
  </si>
  <si>
    <t>#CUHK!G40</t>
  </si>
  <si>
    <t>#CUHK!H40</t>
  </si>
  <si>
    <t>#CUHK!F54</t>
  </si>
  <si>
    <t>#CUHK!G54</t>
  </si>
  <si>
    <t>#CUHK!H54</t>
  </si>
  <si>
    <t>#CUHK!F62</t>
  </si>
  <si>
    <t>#CUHK!G62</t>
  </si>
  <si>
    <t>#CUHK!H62</t>
  </si>
  <si>
    <t>最近3次</t>
  </si>
  <si>
    <t>最近3次</t>
    <phoneticPr fontId="2" type="noConversion"/>
  </si>
  <si>
    <t>參考資料</t>
    <phoneticPr fontId="2" type="noConversion"/>
  </si>
  <si>
    <t>https://admissions.hku.hk/apply/jupas</t>
    <phoneticPr fontId="2" type="noConversion"/>
  </si>
  <si>
    <t>更正 主頁 部分合併學額 顯示錯誤</t>
    <phoneticPr fontId="2" type="noConversion"/>
  </si>
  <si>
    <t>Band A</t>
    <phoneticPr fontId="2" type="noConversion"/>
  </si>
  <si>
    <t>取錄人數</t>
    <phoneticPr fontId="2" type="noConversion"/>
  </si>
  <si>
    <t>競爭人數</t>
    <phoneticPr fontId="2" type="noConversion"/>
  </si>
  <si>
    <t>競爭人數: 幾多人爭一個位</t>
    <phoneticPr fontId="2" type="noConversion"/>
  </si>
  <si>
    <t>282*</t>
    <phoneticPr fontId="2" type="noConversion"/>
  </si>
  <si>
    <t>19*</t>
    <phoneticPr fontId="2" type="noConversion"/>
  </si>
  <si>
    <t>265*</t>
    <phoneticPr fontId="2" type="noConversion"/>
  </si>
  <si>
    <t>424*</t>
    <phoneticPr fontId="2" type="noConversion"/>
  </si>
  <si>
    <t>125*</t>
    <phoneticPr fontId="2" type="noConversion"/>
  </si>
  <si>
    <t>*= 合併學額</t>
    <phoneticPr fontId="2" type="noConversion"/>
  </si>
  <si>
    <t>https://www.twc.edu.hk/en/Programme_cat</t>
    <phoneticPr fontId="2" type="noConversion"/>
  </si>
  <si>
    <t>https://www.chuhai.edu.hk/study-subsidy-scheme-designated-professions-sectors-sssdp-202021</t>
    <phoneticPr fontId="2" type="noConversion"/>
  </si>
  <si>
    <t>https://registry.hsu.edu.hk/prospective-students/undergraduate/programmes-offered/</t>
    <phoneticPr fontId="2" type="noConversion"/>
  </si>
  <si>
    <t>https://www.thei.edu.hk/admissions/local-students-admission-for-year-1-entry/student-subsidy-scheme-for-designated-professions-sections/sssdp-for-academic-year-2021-22</t>
    <phoneticPr fontId="2" type="noConversion"/>
  </si>
  <si>
    <t>https://www.uowchk.edu.hk/study-at-uowchk/find-programmes/programmes-by-entry-level/bachelor-degrees/</t>
    <phoneticPr fontId="2" type="noConversion"/>
  </si>
  <si>
    <t>https://ef.hksyu.edu/Programmes/BCom-in-FinTech</t>
    <phoneticPr fontId="2" type="noConversion"/>
  </si>
  <si>
    <t>https://www.jupas.edu.hk/en/programme/sssdp/</t>
    <phoneticPr fontId="2" type="noConversion"/>
  </si>
  <si>
    <t>https://www.jupas.edu.hk/f/page/3669/af_2020_SSSDP.pdf</t>
    <phoneticPr fontId="2" type="noConversion"/>
  </si>
  <si>
    <t>更正 SSSDP 東華 錯誤以 4C1X 計分</t>
    <phoneticPr fontId="2" type="noConversion"/>
  </si>
  <si>
    <t>更正 JS3739 通識比重 (應為x7而非x10)</t>
    <phoneticPr fontId="2" type="noConversion"/>
  </si>
  <si>
    <t>更正 JS1202 選修科 入學要求</t>
    <phoneticPr fontId="2" type="noConversion"/>
  </si>
  <si>
    <t>更正 JS7225 數學科 入學要求</t>
    <phoneticPr fontId="2" type="noConversion"/>
  </si>
  <si>
    <t>更正 JS6860/6793/6808 主頁 入學資格 錯誤</t>
    <phoneticPr fontId="2" type="noConversion"/>
  </si>
  <si>
    <t>HKU商科</t>
    <phoneticPr fontId="2" type="noConversion"/>
  </si>
  <si>
    <t>Core</t>
    <phoneticPr fontId="2" type="noConversion"/>
  </si>
  <si>
    <t>Core &gt; M1/2?</t>
    <phoneticPr fontId="2" type="noConversion"/>
  </si>
  <si>
    <t>更正 HKU 商科 M1/2 比重 計算錯誤</t>
  </si>
  <si>
    <t>更正 JS6107 分數計算錯誤</t>
  </si>
  <si>
    <t>更正 JS6781 錯誤計算 M1/2 為選修</t>
    <phoneticPr fontId="2" type="noConversion"/>
  </si>
  <si>
    <t>更正 JS7101 分數計算錯誤</t>
    <phoneticPr fontId="2" type="noConversion"/>
  </si>
  <si>
    <t>更正 HKBU 未有計算 M1/2作選修</t>
    <phoneticPr fontId="2" type="noConversion"/>
  </si>
  <si>
    <t xml:space="preserve">請在下載後以電腦 Excel 開啟及使用。 (不能用Google Sheet) </t>
    <phoneticPr fontId="2" type="noConversion"/>
  </si>
  <si>
    <t>若未能開啟/使用，則可嘗試Drive中的「簡化版」方式使用</t>
    <phoneticPr fontId="2" type="noConversion"/>
  </si>
  <si>
    <t>更正 JS6224 錯誤計算理科為x2</t>
    <phoneticPr fontId="2" type="noConversion"/>
  </si>
  <si>
    <t>更正 JS4719 參考分數錯誤</t>
  </si>
  <si>
    <t>更正 CU及HKU醫療科 M1/2 計算錯誤</t>
    <phoneticPr fontId="2" type="noConversion"/>
  </si>
  <si>
    <t>JS4501/4502</t>
    <phoneticPr fontId="2" type="noConversion"/>
  </si>
  <si>
    <t>最低分:</t>
    <phoneticPr fontId="2" type="noConversion"/>
  </si>
  <si>
    <t>更正 HKBU 丙類科目分數</t>
    <phoneticPr fontId="2" type="noConversion"/>
  </si>
  <si>
    <t>更正 JS4252 未有計算選修比重</t>
    <phoneticPr fontId="2" type="noConversion"/>
  </si>
  <si>
    <t>更正 JS6901 錯誤計算 M1/2 及 通識比重</t>
    <phoneticPr fontId="2" type="noConversion"/>
  </si>
  <si>
    <t xml:space="preserve">更正 JS4501 分數計算錯誤 </t>
    <phoneticPr fontId="2" type="noConversion"/>
  </si>
  <si>
    <t xml:space="preserve">更正 JS2410 入學要求錯誤 </t>
    <phoneticPr fontId="2" type="noConversion"/>
  </si>
  <si>
    <t xml:space="preserve">更正 JS1112 數學入學要求錯誤 </t>
    <phoneticPr fontId="2" type="noConversion"/>
  </si>
  <si>
    <t>更正 JS6901 未有計算最佳理科比重</t>
    <phoneticPr fontId="2" type="noConversion"/>
  </si>
  <si>
    <t>v1.2.7 UPDATE PATCH:</t>
    <phoneticPr fontId="2" type="noConversion"/>
  </si>
  <si>
    <t>分數</t>
    <phoneticPr fontId="2" type="noConversion"/>
  </si>
  <si>
    <t>估算理由</t>
    <phoneticPr fontId="2" type="noConversion"/>
  </si>
  <si>
    <t>此處中位數的其中一科選修比重作 x7，並非 x5</t>
    <phoneticPr fontId="2" type="noConversion"/>
  </si>
  <si>
    <t>*JS3387: 由於估算比重後，LQ會高於Median，</t>
    <phoneticPr fontId="2" type="noConversion"/>
  </si>
  <si>
    <t>此處下四分位數只有兩科選修比重作 x10，剩餘選修 x5</t>
    <phoneticPr fontId="2" type="noConversion"/>
  </si>
  <si>
    <t>*JS3375: 由於估算比重後，LQ會高於Median，</t>
    <phoneticPr fontId="2" type="noConversion"/>
  </si>
  <si>
    <t>*JS3765:此科並無額外比重，但由於院校收生會考慮其他因素，</t>
    <phoneticPr fontId="2" type="noConversion"/>
  </si>
  <si>
    <t>此處下四分位數只有一科選修比重作 x10，其他選修 x5</t>
    <phoneticPr fontId="2" type="noConversion"/>
  </si>
  <si>
    <t>*JS3478: 由於估算比重後，LQ會高於Median，</t>
    <phoneticPr fontId="2" type="noConversion"/>
  </si>
  <si>
    <t>*JS3557: 由於估算比重後，LQ會高於Median，</t>
    <phoneticPr fontId="2" type="noConversion"/>
  </si>
  <si>
    <t>*JS3636: 由於估算比重後，LQ會高於Median，</t>
    <phoneticPr fontId="2" type="noConversion"/>
  </si>
  <si>
    <t>*JS3674: 由於估算比重後，LQ會高於Median，</t>
    <phoneticPr fontId="2" type="noConversion"/>
  </si>
  <si>
    <t>此處下四分位數的第二科選修比重作 x7，並非 x10</t>
    <phoneticPr fontId="2" type="noConversion"/>
  </si>
  <si>
    <t>*JS3466: 由於估算比重後，LQ會高於Median，</t>
    <phoneticPr fontId="2" type="noConversion"/>
  </si>
  <si>
    <t>*JS3375: 下四分位數只有兩科選修比重作 x10，剩餘選修 x5</t>
  </si>
  <si>
    <t>*JS3387: 中位數的其中一科選修比重作 x7，並非 x5</t>
  </si>
  <si>
    <t>*JS3466: 中位數的其中一科選修比重作 x7，並非 x5</t>
  </si>
  <si>
    <t>*JS3478: 下四分位數只有一科選修比重作 x10，其他選修 x5</t>
  </si>
  <si>
    <t>*JS3557: 中位數的其中一科選修比重作 x7，並非 x5</t>
  </si>
  <si>
    <t>*JS3636: 下四分位數的第二科選修比重作 x7，並非 x10</t>
  </si>
  <si>
    <t>*JS3674: 中位數的其中一科選修比重作 x7，並非 x5</t>
  </si>
  <si>
    <t>請選擇第一選修科</t>
  </si>
  <si>
    <t>請選擇第二選修科</t>
  </si>
  <si>
    <t>v1.0.0-1.2.6 UPDATE PATCH:</t>
  </si>
  <si>
    <t>更正 JS6248 錯誤將M1/2示為入學要求</t>
    <phoneticPr fontId="2" type="noConversion"/>
  </si>
  <si>
    <t>v1.2.8 UPDATE PATCH:</t>
    <phoneticPr fontId="2" type="noConversion"/>
  </si>
  <si>
    <t>改善PolyU參考分數界面</t>
    <phoneticPr fontId="2" type="noConversion"/>
  </si>
  <si>
    <t>2021 JUPAS 計分器 Ver 1.2.8</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</si>
</sst>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0;0"/>
    <numFmt numFmtId="177" formatCode="\(\+0%\);\(\-0%\);\(0%\)"/>
    <numFmt numFmtId="178" formatCode="0.00_);[Red]\(0.00\)"/>
    <numFmt numFmtId="179" formatCode="0.00_ ;[Red]\-0.00\ "/>
    <numFmt numFmtId="180" formatCode="\+0%;\-0%;0%"/>
    <numFmt numFmtId="181" formatCode="0.####"/>
  </numFmts>
  <fonts count="55">
    <font>
      <sz val="12"/>
      <color theme="1"/>
      <name val="新細明體"/>
      <family val="2"/>
      <charset val="136"/>
      <scheme val="minor"/>
    </font>
    <font>
      <sz val="10"/>
      <color theme="1"/>
      <name val="微軟正黑體"/>
      <family val="2"/>
      <charset val="136"/>
    </font>
    <font>
      <sz val="9"/>
      <name val="新細明體"/>
      <family val="2"/>
      <charset val="136"/>
      <scheme val="minor"/>
    </font>
    <font>
      <sz val="9"/>
      <color theme="1"/>
      <name val="微軟正黑體"/>
      <family val="2"/>
      <charset val="136"/>
    </font>
    <font>
      <sz val="9"/>
      <name val="新細明體"/>
      <family val="3"/>
      <charset val="136"/>
      <scheme val="minor"/>
    </font>
    <font>
      <sz val="12"/>
      <color theme="1"/>
      <name val="微軟正黑體"/>
      <family val="2"/>
      <charset val="136"/>
    </font>
    <font>
      <b/>
      <sz val="12"/>
      <color theme="1"/>
      <name val="微軟正黑體"/>
      <family val="2"/>
      <charset val="136"/>
    </font>
    <font>
      <sz val="9"/>
      <color indexed="81"/>
      <name val="Tahoma"/>
      <family val="2"/>
    </font>
    <font>
      <b/>
      <sz val="9"/>
      <color indexed="81"/>
      <name val="Tahoma"/>
      <family val="2"/>
    </font>
    <font>
      <b/>
      <sz val="9"/>
      <color indexed="81"/>
      <name val="細明體"/>
      <family val="3"/>
      <charset val="136"/>
    </font>
    <font>
      <sz val="10"/>
      <color rgb="FF434343"/>
      <name val="微軟正黑體"/>
      <family val="2"/>
      <charset val="136"/>
    </font>
    <font>
      <sz val="12"/>
      <color theme="1"/>
      <name val="新細明體"/>
      <family val="2"/>
      <charset val="136"/>
      <scheme val="minor"/>
    </font>
    <font>
      <b/>
      <sz val="10"/>
      <color theme="1"/>
      <name val="微軟正黑體"/>
      <family val="2"/>
      <charset val="136"/>
    </font>
    <font>
      <sz val="10"/>
      <color theme="2" tint="-0.249977111117893"/>
      <name val="微軟正黑體"/>
      <family val="2"/>
      <charset val="136"/>
    </font>
    <font>
      <sz val="8"/>
      <color indexed="81"/>
      <name val="Tahoma"/>
      <family val="2"/>
    </font>
    <font>
      <sz val="10"/>
      <name val="微軟正黑體"/>
      <family val="2"/>
      <charset val="136"/>
    </font>
    <font>
      <sz val="9"/>
      <color indexed="81"/>
      <name val="細明體"/>
      <family val="3"/>
      <charset val="136"/>
    </font>
    <font>
      <b/>
      <sz val="10"/>
      <color theme="5" tint="-0.499984740745262"/>
      <name val="微軟正黑體"/>
      <family val="2"/>
      <charset val="136"/>
    </font>
    <font>
      <sz val="12"/>
      <color theme="4" tint="-0.249977111117893"/>
      <name val="微軟正黑體"/>
      <family val="2"/>
      <charset val="136"/>
    </font>
    <font>
      <b/>
      <sz val="10"/>
      <color theme="2" tint="-0.249977111117893"/>
      <name val="微軟正黑體"/>
      <family val="2"/>
      <charset val="136"/>
    </font>
    <font>
      <b/>
      <sz val="10"/>
      <color theme="0"/>
      <name val="微軟正黑體"/>
      <family val="2"/>
      <charset val="136"/>
    </font>
    <font>
      <b/>
      <sz val="10"/>
      <name val="微軟正黑體"/>
      <family val="2"/>
      <charset val="136"/>
    </font>
    <font>
      <sz val="10"/>
      <color theme="4" tint="-0.249977111117893"/>
      <name val="微軟正黑體"/>
      <family val="2"/>
      <charset val="136"/>
    </font>
    <font>
      <sz val="10"/>
      <color theme="0"/>
      <name val="微軟正黑體"/>
      <family val="2"/>
      <charset val="136"/>
    </font>
    <font>
      <b/>
      <sz val="12"/>
      <color rgb="FFFF0000"/>
      <name val="微軟正黑體"/>
      <family val="2"/>
      <charset val="136"/>
    </font>
    <font>
      <u/>
      <sz val="12"/>
      <color theme="10"/>
      <name val="新細明體"/>
      <family val="2"/>
      <charset val="136"/>
      <scheme val="minor"/>
    </font>
    <font>
      <b/>
      <sz val="8"/>
      <color theme="1"/>
      <name val="微軟正黑體"/>
      <family val="2"/>
      <charset val="136"/>
    </font>
    <font>
      <b/>
      <sz val="11"/>
      <color theme="1"/>
      <name val="微軟正黑體"/>
      <family val="2"/>
      <charset val="136"/>
    </font>
    <font>
      <b/>
      <sz val="20"/>
      <color theme="1"/>
      <name val="微軟正黑體"/>
      <family val="2"/>
      <charset val="136"/>
    </font>
    <font>
      <b/>
      <sz val="9"/>
      <color theme="1"/>
      <name val="微軟正黑體"/>
      <family val="2"/>
      <charset val="136"/>
    </font>
    <font>
      <u/>
      <sz val="10"/>
      <color theme="10"/>
      <name val="微軟正黑體"/>
      <family val="2"/>
      <charset val="136"/>
    </font>
    <font>
      <b/>
      <sz val="14"/>
      <color rgb="FFFF0000"/>
      <name val="微軟正黑體"/>
      <family val="2"/>
      <charset val="136"/>
    </font>
    <font>
      <b/>
      <sz val="11"/>
      <color rgb="FFFF0000"/>
      <name val="微軟正黑體"/>
      <family val="2"/>
      <charset val="136"/>
    </font>
    <font>
      <b/>
      <i/>
      <sz val="10"/>
      <color theme="1"/>
      <name val="微軟正黑體"/>
      <family val="2"/>
      <charset val="136"/>
    </font>
    <font>
      <sz val="11"/>
      <color rgb="FF9C0006"/>
      <name val="新細明體"/>
      <family val="2"/>
      <scheme val="minor"/>
    </font>
    <font>
      <sz val="10"/>
      <color rgb="FFFF0000"/>
      <name val="微軟正黑體"/>
      <family val="2"/>
      <charset val="136"/>
    </font>
    <font>
      <sz val="12"/>
      <color rgb="FFFF0000"/>
      <name val="微軟正黑體"/>
      <family val="2"/>
      <charset val="136"/>
    </font>
    <font>
      <b/>
      <i/>
      <sz val="12"/>
      <color theme="1"/>
      <name val="微軟正黑體"/>
      <family val="2"/>
      <charset val="136"/>
    </font>
    <font>
      <b/>
      <i/>
      <sz val="10"/>
      <color rgb="FFFF0000"/>
      <name val="微軟正黑體"/>
      <family val="2"/>
      <charset val="136"/>
    </font>
    <font>
      <b/>
      <i/>
      <sz val="10"/>
      <name val="微軟正黑體"/>
      <family val="2"/>
      <charset val="136"/>
    </font>
    <font>
      <sz val="12"/>
      <name val="微軟正黑體"/>
      <family val="2"/>
      <charset val="136"/>
    </font>
    <font>
      <b/>
      <i/>
      <sz val="12"/>
      <name val="微軟正黑體"/>
      <family val="2"/>
      <charset val="136"/>
    </font>
    <font>
      <b/>
      <sz val="12"/>
      <name val="微軟正黑體"/>
      <family val="2"/>
      <charset val="136"/>
    </font>
    <font>
      <sz val="10"/>
      <color theme="9" tint="-0.499984740745262"/>
      <name val="微軟正黑體"/>
      <family val="2"/>
      <charset val="136"/>
    </font>
    <font>
      <sz val="9"/>
      <color theme="9" tint="-0.499984740745262"/>
      <name val="微軟正黑體"/>
      <family val="2"/>
      <charset val="136"/>
    </font>
    <font>
      <sz val="10"/>
      <color theme="2" tint="-0.499984740745262"/>
      <name val="微軟正黑體"/>
      <family val="2"/>
      <charset val="136"/>
    </font>
    <font>
      <b/>
      <sz val="12"/>
      <color theme="0"/>
      <name val="微軟正黑體"/>
      <family val="2"/>
      <charset val="136"/>
    </font>
    <font>
      <sz val="12"/>
      <color theme="0"/>
      <name val="微軟正黑體"/>
      <family val="2"/>
      <charset val="136"/>
    </font>
    <font>
      <i/>
      <sz val="10"/>
      <name val="微軟正黑體"/>
      <family val="2"/>
      <charset val="136"/>
    </font>
    <font>
      <i/>
      <sz val="10"/>
      <color theme="1"/>
      <name val="微軟正黑體"/>
      <family val="2"/>
      <charset val="136"/>
    </font>
    <font>
      <sz val="10"/>
      <color theme="1" tint="0.34998626667073579"/>
      <name val="微軟正黑體"/>
      <family val="2"/>
      <charset val="136"/>
    </font>
    <font>
      <sz val="10"/>
      <color theme="1"/>
      <name val="新細明體"/>
      <family val="2"/>
      <charset val="136"/>
      <scheme val="minor"/>
    </font>
    <font>
      <b/>
      <sz val="14"/>
      <color theme="1"/>
      <name val="微軟正黑體"/>
      <family val="2"/>
      <charset val="136"/>
    </font>
    <font>
      <b/>
      <sz val="11"/>
      <color theme="9" tint="-0.499984740745262"/>
      <name val="微軟正黑體"/>
      <family val="2"/>
      <charset val="136"/>
    </font>
    <font>
      <sz val="9"/>
      <color rgb="FF000000"/>
      <name val="Microsoft JhengHei UI"/>
      <family val="2"/>
      <charset val="136"/>
    </font>
  </fonts>
  <fills count="3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rgb="FFFFFFCC"/>
        <bgColor indexed="64"/>
      </patternFill>
    </fill>
    <fill>
      <patternFill patternType="solid">
        <fgColor theme="9" tint="-0.249977111117893"/>
        <bgColor indexed="64"/>
      </patternFill>
    </fill>
    <fill>
      <patternFill patternType="solid">
        <fgColor rgb="FFA04310"/>
        <bgColor indexed="64"/>
      </patternFill>
    </fill>
    <fill>
      <patternFill patternType="solid">
        <fgColor theme="4" tint="0.59999389629810485"/>
        <bgColor indexed="64"/>
      </patternFill>
    </fill>
    <fill>
      <patternFill patternType="solid">
        <fgColor rgb="FF6600CC"/>
        <bgColor indexed="64"/>
      </patternFill>
    </fill>
    <fill>
      <patternFill patternType="solid">
        <fgColor rgb="FFE24100"/>
        <bgColor indexed="64"/>
      </patternFill>
    </fill>
    <fill>
      <patternFill patternType="solid">
        <fgColor theme="9" tint="0.79998168889431442"/>
        <bgColor indexed="64"/>
      </patternFill>
    </fill>
    <fill>
      <patternFill patternType="solid">
        <fgColor rgb="FFCC0066"/>
        <bgColor indexed="64"/>
      </patternFill>
    </fill>
    <fill>
      <patternFill patternType="solid">
        <fgColor rgb="FFFFEBFF"/>
        <bgColor indexed="64"/>
      </patternFill>
    </fill>
    <fill>
      <patternFill patternType="solid">
        <fgColor rgb="FFCC000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ECE9D8"/>
        <bgColor indexed="64"/>
      </patternFill>
    </fill>
    <fill>
      <patternFill patternType="solid">
        <fgColor theme="8" tint="-0.499984740745262"/>
        <bgColor indexed="64"/>
      </patternFill>
    </fill>
    <fill>
      <patternFill patternType="solid">
        <fgColor theme="7" tint="-0.499984740745262"/>
        <bgColor indexed="64"/>
      </patternFill>
    </fill>
    <fill>
      <patternFill patternType="solid">
        <fgColor theme="5" tint="0.59999389629810485"/>
        <bgColor indexed="64"/>
      </patternFill>
    </fill>
    <fill>
      <patternFill patternType="solid">
        <fgColor rgb="FFFFC7CE"/>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3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CCCCFF"/>
        <bgColor indexed="64"/>
      </patternFill>
    </fill>
    <fill>
      <patternFill patternType="solid">
        <fgColor theme="2" tint="-9.9978637043366805E-2"/>
        <bgColor indexed="64"/>
      </patternFill>
    </fill>
    <fill>
      <patternFill patternType="solid">
        <fgColor rgb="FFA9D08E"/>
        <bgColor indexed="64"/>
      </patternFill>
    </fill>
    <fill>
      <patternFill patternType="solid">
        <fgColor rgb="FF9933FF"/>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9" tint="-0.24994659260841701"/>
      </left>
      <right/>
      <top/>
      <bottom/>
      <diagonal/>
    </border>
    <border>
      <left/>
      <right style="thin">
        <color theme="0" tint="-0.249977111117893"/>
      </right>
      <top/>
      <bottom/>
      <diagonal/>
    </border>
  </borders>
  <cellStyleXfs count="4">
    <xf numFmtId="0" fontId="0" fillId="0" borderId="0">
      <alignment vertical="center"/>
    </xf>
    <xf numFmtId="9" fontId="11" fillId="0" borderId="0" applyFont="0" applyFill="0" applyBorder="0" applyAlignment="0" applyProtection="0">
      <alignment vertical="center"/>
    </xf>
    <xf numFmtId="0" fontId="25" fillId="0" borderId="0" applyNumberFormat="0" applyFill="0" applyBorder="0" applyAlignment="0" applyProtection="0">
      <alignment vertical="center"/>
    </xf>
    <xf numFmtId="0" fontId="34" fillId="22" borderId="0" applyNumberFormat="0" applyBorder="0" applyAlignment="0" applyProtection="0"/>
  </cellStyleXfs>
  <cellXfs count="515">
    <xf numFmtId="0" fontId="0" fillId="0" borderId="0" xfId="0">
      <alignment vertical="center"/>
    </xf>
    <xf numFmtId="0" fontId="3" fillId="0" borderId="0" xfId="0" applyFont="1" applyFill="1" applyAlignment="1">
      <alignment horizontal="center"/>
    </xf>
    <xf numFmtId="0" fontId="1" fillId="0" borderId="0" xfId="0" applyFont="1">
      <alignment vertical="center"/>
    </xf>
    <xf numFmtId="0" fontId="10" fillId="0" borderId="0" xfId="0" applyFont="1">
      <alignment vertical="center"/>
    </xf>
    <xf numFmtId="0" fontId="12" fillId="3" borderId="0" xfId="0" applyFont="1" applyFill="1">
      <alignment vertical="center"/>
    </xf>
    <xf numFmtId="0" fontId="1" fillId="3" borderId="0" xfId="0" applyFont="1" applyFill="1">
      <alignment vertical="center"/>
    </xf>
    <xf numFmtId="0" fontId="0" fillId="3" borderId="0" xfId="0" applyFill="1">
      <alignment vertical="center"/>
    </xf>
    <xf numFmtId="0" fontId="13" fillId="3" borderId="0" xfId="0" applyFont="1" applyFill="1" applyAlignment="1">
      <alignment horizontal="center" vertical="center"/>
    </xf>
    <xf numFmtId="176" fontId="1" fillId="3" borderId="0" xfId="0" applyNumberFormat="1" applyFont="1" applyFill="1" applyAlignment="1">
      <alignment horizontal="center" vertical="center"/>
    </xf>
    <xf numFmtId="177" fontId="1" fillId="3" borderId="0" xfId="1" applyNumberFormat="1" applyFont="1" applyFill="1" applyAlignment="1">
      <alignment horizontal="center" vertical="center"/>
    </xf>
    <xf numFmtId="0" fontId="15" fillId="3" borderId="0" xfId="0" applyFont="1" applyFill="1">
      <alignment vertical="center"/>
    </xf>
    <xf numFmtId="0" fontId="1" fillId="6" borderId="0" xfId="0" applyFont="1" applyFill="1">
      <alignment vertical="center"/>
    </xf>
    <xf numFmtId="0" fontId="12" fillId="0" borderId="0" xfId="0" applyFont="1" applyFill="1">
      <alignment vertical="center"/>
    </xf>
    <xf numFmtId="0" fontId="1" fillId="0" borderId="0" xfId="0" applyFont="1" applyFill="1">
      <alignment vertical="center"/>
    </xf>
    <xf numFmtId="0" fontId="5" fillId="0" borderId="0" xfId="0" applyFont="1" applyFill="1" applyAlignment="1">
      <alignment horizontal="center"/>
    </xf>
    <xf numFmtId="0" fontId="12" fillId="0" borderId="0" xfId="0" applyFont="1">
      <alignment vertical="center"/>
    </xf>
    <xf numFmtId="0" fontId="5" fillId="0" borderId="0" xfId="0" applyFont="1">
      <alignment vertical="center"/>
    </xf>
    <xf numFmtId="0" fontId="0" fillId="3" borderId="0" xfId="0" applyFill="1" applyAlignment="1">
      <alignment horizontal="center" vertical="center"/>
    </xf>
    <xf numFmtId="0" fontId="1" fillId="3" borderId="0" xfId="0" applyFont="1" applyFill="1" applyAlignment="1">
      <alignment horizontal="center" vertical="center"/>
    </xf>
    <xf numFmtId="0" fontId="1" fillId="0" borderId="0" xfId="0" applyFont="1" applyFill="1" applyAlignment="1">
      <alignment horizontal="center" vertical="center"/>
    </xf>
    <xf numFmtId="0" fontId="5" fillId="0" borderId="0" xfId="0" applyFont="1" applyFill="1">
      <alignment vertical="center"/>
    </xf>
    <xf numFmtId="0" fontId="5" fillId="0" borderId="0" xfId="0" applyNumberFormat="1" applyFont="1">
      <alignment vertical="center"/>
    </xf>
    <xf numFmtId="0" fontId="0" fillId="3" borderId="0" xfId="0" applyFill="1" applyAlignment="1">
      <alignment horizontal="right" vertical="center"/>
    </xf>
    <xf numFmtId="0" fontId="0" fillId="3" borderId="0" xfId="0" applyFill="1" applyAlignment="1">
      <alignment horizontal="left" vertical="center"/>
    </xf>
    <xf numFmtId="0" fontId="12" fillId="0" borderId="0" xfId="0" applyFont="1" applyAlignment="1">
      <alignment horizontal="center" vertical="center"/>
    </xf>
    <xf numFmtId="0" fontId="5" fillId="0" borderId="0" xfId="0" applyFont="1" applyAlignment="1">
      <alignment horizontal="center" vertical="center"/>
    </xf>
    <xf numFmtId="0" fontId="1" fillId="0" borderId="0" xfId="0" applyFont="1" applyAlignment="1">
      <alignment horizontal="left" vertical="center"/>
    </xf>
    <xf numFmtId="0" fontId="1" fillId="3" borderId="0" xfId="0" applyFont="1" applyFill="1" applyAlignment="1">
      <alignment horizontal="right" vertical="center"/>
    </xf>
    <xf numFmtId="0" fontId="1" fillId="3" borderId="0" xfId="0" applyFont="1" applyFill="1" applyAlignment="1">
      <alignment horizontal="left" vertical="center"/>
    </xf>
    <xf numFmtId="0" fontId="0" fillId="3" borderId="0" xfId="0" applyFill="1" applyBorder="1">
      <alignment vertical="center"/>
    </xf>
    <xf numFmtId="0" fontId="0" fillId="3" borderId="0" xfId="0" applyFill="1" applyBorder="1" applyAlignment="1">
      <alignment horizontal="center" vertical="center"/>
    </xf>
    <xf numFmtId="0" fontId="12" fillId="3" borderId="0" xfId="0" applyFont="1" applyFill="1" applyBorder="1">
      <alignment vertical="center"/>
    </xf>
    <xf numFmtId="0" fontId="0" fillId="3" borderId="0" xfId="0" applyFill="1" applyBorder="1" applyAlignment="1">
      <alignment horizontal="right" vertical="center"/>
    </xf>
    <xf numFmtId="0" fontId="0" fillId="3" borderId="0" xfId="0" applyFill="1" applyBorder="1" applyAlignment="1">
      <alignment horizontal="left" vertical="center"/>
    </xf>
    <xf numFmtId="0" fontId="1" fillId="3" borderId="0" xfId="0" applyFont="1" applyFill="1" applyBorder="1">
      <alignment vertical="center"/>
    </xf>
    <xf numFmtId="0" fontId="1" fillId="3" borderId="0" xfId="0" applyFont="1" applyFill="1" applyBorder="1" applyAlignment="1">
      <alignment horizontal="center" vertical="center"/>
    </xf>
    <xf numFmtId="0" fontId="1" fillId="3" borderId="0" xfId="0" applyFont="1" applyFill="1" applyBorder="1" applyAlignment="1">
      <alignment horizontal="right" vertical="center"/>
    </xf>
    <xf numFmtId="0" fontId="1" fillId="3" borderId="0" xfId="0" applyFont="1" applyFill="1" applyBorder="1" applyAlignment="1">
      <alignment horizontal="left" vertical="center"/>
    </xf>
    <xf numFmtId="0" fontId="20" fillId="7" borderId="0" xfId="0" applyFont="1" applyFill="1">
      <alignment vertical="center"/>
    </xf>
    <xf numFmtId="176" fontId="1" fillId="3" borderId="0" xfId="0" applyNumberFormat="1" applyFont="1" applyFill="1" applyAlignment="1">
      <alignment horizontal="right" vertical="center"/>
    </xf>
    <xf numFmtId="177" fontId="1" fillId="3" borderId="0" xfId="1" applyNumberFormat="1" applyFont="1" applyFill="1" applyAlignment="1">
      <alignment horizontal="left" vertical="center"/>
    </xf>
    <xf numFmtId="0" fontId="15" fillId="3" borderId="0" xfId="0" applyFont="1" applyFill="1" applyAlignment="1">
      <alignment horizontal="center" vertical="center"/>
    </xf>
    <xf numFmtId="0" fontId="10" fillId="3" borderId="0" xfId="0" applyFont="1" applyFill="1">
      <alignment vertical="center"/>
    </xf>
    <xf numFmtId="0" fontId="5" fillId="0" borderId="0" xfId="0" applyFont="1" applyAlignment="1">
      <alignment horizontal="right" vertical="center"/>
    </xf>
    <xf numFmtId="0" fontId="5" fillId="3" borderId="0" xfId="0" applyFont="1" applyFill="1" applyBorder="1">
      <alignment vertical="center"/>
    </xf>
    <xf numFmtId="0" fontId="20" fillId="8" borderId="0" xfId="0" applyFont="1" applyFill="1">
      <alignment vertical="center"/>
    </xf>
    <xf numFmtId="0" fontId="12" fillId="9" borderId="0" xfId="0" applyFont="1" applyFill="1">
      <alignment vertical="center"/>
    </xf>
    <xf numFmtId="0" fontId="12" fillId="9" borderId="0" xfId="0" applyFont="1" applyFill="1" applyAlignment="1">
      <alignment horizontal="center" vertical="center"/>
    </xf>
    <xf numFmtId="0" fontId="20" fillId="10" borderId="0" xfId="0" applyFont="1" applyFill="1">
      <alignment vertical="center"/>
    </xf>
    <xf numFmtId="0" fontId="19" fillId="3" borderId="0" xfId="0" applyFont="1" applyFill="1" applyAlignment="1">
      <alignment horizontal="center" vertical="center"/>
    </xf>
    <xf numFmtId="0" fontId="5" fillId="3" borderId="0" xfId="0" applyFont="1" applyFill="1" applyAlignment="1">
      <alignment horizontal="center" vertical="center"/>
    </xf>
    <xf numFmtId="0" fontId="20" fillId="11" borderId="0" xfId="0" applyFont="1" applyFill="1">
      <alignment vertical="center"/>
    </xf>
    <xf numFmtId="0" fontId="1" fillId="0" borderId="0" xfId="0" applyFont="1" applyAlignment="1">
      <alignment horizontal="center" vertical="center"/>
    </xf>
    <xf numFmtId="0" fontId="12" fillId="3" borderId="0" xfId="0" applyFont="1" applyFill="1" applyAlignment="1">
      <alignment horizontal="center" vertical="center"/>
    </xf>
    <xf numFmtId="0" fontId="20" fillId="13" borderId="0" xfId="0" applyFont="1" applyFill="1">
      <alignment vertical="center"/>
    </xf>
    <xf numFmtId="0" fontId="20" fillId="13" borderId="0" xfId="0" applyFont="1" applyFill="1" applyAlignment="1">
      <alignment horizontal="center" vertical="center"/>
    </xf>
    <xf numFmtId="0" fontId="5" fillId="0" borderId="0" xfId="0" applyFont="1" applyAlignment="1">
      <alignment horizontal="left" vertical="center"/>
    </xf>
    <xf numFmtId="0" fontId="20" fillId="15" borderId="0" xfId="0" applyFont="1" applyFill="1">
      <alignment vertical="center"/>
    </xf>
    <xf numFmtId="0" fontId="20" fillId="15" borderId="0" xfId="0" applyFont="1" applyFill="1" applyAlignment="1">
      <alignment horizontal="center" vertical="center"/>
    </xf>
    <xf numFmtId="0" fontId="23" fillId="15" borderId="0" xfId="0" applyFont="1" applyFill="1">
      <alignment vertical="center"/>
    </xf>
    <xf numFmtId="0" fontId="12" fillId="3" borderId="0" xfId="0" applyFont="1" applyFill="1" applyAlignment="1">
      <alignment horizontal="center" vertical="center"/>
    </xf>
    <xf numFmtId="0" fontId="12" fillId="3" borderId="0" xfId="0" applyFont="1" applyFill="1" applyAlignment="1">
      <alignment horizontal="center" vertical="center"/>
    </xf>
    <xf numFmtId="0" fontId="20" fillId="17" borderId="0" xfId="0" applyFont="1" applyFill="1">
      <alignment vertical="center"/>
    </xf>
    <xf numFmtId="0" fontId="20" fillId="17" borderId="0" xfId="0" applyFont="1" applyFill="1" applyAlignment="1">
      <alignment horizontal="center" vertical="center"/>
    </xf>
    <xf numFmtId="0" fontId="1" fillId="18" borderId="0" xfId="0" applyFont="1" applyFill="1">
      <alignment vertical="center"/>
    </xf>
    <xf numFmtId="0" fontId="5" fillId="0" borderId="0" xfId="0" applyFont="1" applyFill="1" applyAlignment="1">
      <alignment horizontal="left" vertical="center"/>
    </xf>
    <xf numFmtId="0" fontId="5" fillId="0" borderId="0" xfId="0" applyNumberFormat="1" applyFont="1" applyFill="1">
      <alignment vertical="center"/>
    </xf>
    <xf numFmtId="0" fontId="21" fillId="3" borderId="0" xfId="0" applyFont="1" applyFill="1" applyAlignment="1">
      <alignment horizontal="center" vertical="center"/>
    </xf>
    <xf numFmtId="0" fontId="5" fillId="0" borderId="0" xfId="0" applyFont="1" applyBorder="1" applyAlignment="1">
      <alignment horizontal="left" vertical="center"/>
    </xf>
    <xf numFmtId="0" fontId="5" fillId="0" borderId="0" xfId="0" applyFont="1" applyBorder="1">
      <alignment vertical="center"/>
    </xf>
    <xf numFmtId="0" fontId="5" fillId="0" borderId="0" xfId="0" applyFont="1" applyFill="1" applyBorder="1">
      <alignment vertical="center"/>
    </xf>
    <xf numFmtId="178" fontId="17" fillId="3" borderId="0" xfId="0" applyNumberFormat="1" applyFont="1" applyFill="1" applyAlignment="1">
      <alignment horizontal="center" vertical="center"/>
    </xf>
    <xf numFmtId="0" fontId="1" fillId="3" borderId="0" xfId="0" applyFont="1" applyFill="1" applyAlignment="1">
      <alignment horizontal="center" vertical="center"/>
    </xf>
    <xf numFmtId="0" fontId="12" fillId="3" borderId="0" xfId="0" applyFont="1" applyFill="1" applyAlignment="1">
      <alignment horizontal="center" vertical="center"/>
    </xf>
    <xf numFmtId="0" fontId="30" fillId="3" borderId="0" xfId="2" applyFont="1" applyFill="1">
      <alignment vertical="center"/>
    </xf>
    <xf numFmtId="0" fontId="30" fillId="0" borderId="0" xfId="2" applyFont="1">
      <alignment vertical="center"/>
    </xf>
    <xf numFmtId="0" fontId="30" fillId="3" borderId="0" xfId="2" applyFont="1" applyFill="1" applyBorder="1">
      <alignment vertical="center"/>
    </xf>
    <xf numFmtId="0" fontId="12" fillId="0" borderId="0" xfId="0" applyFont="1" applyFill="1" applyAlignment="1">
      <alignment horizontal="center" vertical="center"/>
    </xf>
    <xf numFmtId="0" fontId="1" fillId="0" borderId="0" xfId="0" applyFont="1" applyAlignment="1">
      <alignment horizontal="center" vertical="center"/>
    </xf>
    <xf numFmtId="0" fontId="20" fillId="19" borderId="0" xfId="0" applyFont="1" applyFill="1">
      <alignment vertical="center"/>
    </xf>
    <xf numFmtId="0" fontId="20" fillId="20" borderId="0" xfId="0" applyFont="1" applyFill="1">
      <alignment vertical="center"/>
    </xf>
    <xf numFmtId="0" fontId="20" fillId="20" borderId="0" xfId="0" applyFont="1" applyFill="1" applyAlignment="1">
      <alignment horizontal="center" vertical="center"/>
    </xf>
    <xf numFmtId="0" fontId="1" fillId="3" borderId="0" xfId="0" applyFont="1" applyFill="1" applyAlignment="1">
      <alignment horizontal="center" vertical="center"/>
    </xf>
    <xf numFmtId="0" fontId="6" fillId="0" borderId="2" xfId="0" applyFont="1" applyBorder="1">
      <alignment vertical="center"/>
    </xf>
    <xf numFmtId="0" fontId="5" fillId="0" borderId="2" xfId="0" applyFont="1" applyBorder="1">
      <alignment vertical="center"/>
    </xf>
    <xf numFmtId="0" fontId="5" fillId="0" borderId="2" xfId="0" applyFont="1" applyBorder="1" applyAlignment="1">
      <alignment horizontal="left" vertical="center"/>
    </xf>
    <xf numFmtId="0" fontId="6" fillId="0" borderId="2" xfId="0" applyFont="1" applyFill="1" applyBorder="1">
      <alignment vertical="center"/>
    </xf>
    <xf numFmtId="0" fontId="6" fillId="0" borderId="2" xfId="0" applyNumberFormat="1" applyFont="1" applyBorder="1">
      <alignment vertical="center"/>
    </xf>
    <xf numFmtId="0" fontId="5" fillId="0" borderId="2" xfId="0" applyFont="1" applyFill="1" applyBorder="1">
      <alignment vertical="center"/>
    </xf>
    <xf numFmtId="0" fontId="5" fillId="0" borderId="2" xfId="0" applyFont="1" applyFill="1" applyBorder="1" applyAlignment="1">
      <alignment horizontal="left" vertical="center"/>
    </xf>
    <xf numFmtId="0" fontId="5" fillId="0" borderId="2" xfId="0" applyNumberFormat="1" applyFont="1" applyBorder="1">
      <alignment vertical="center"/>
    </xf>
    <xf numFmtId="0" fontId="5" fillId="0" borderId="2" xfId="0" applyFont="1" applyBorder="1" applyAlignment="1">
      <alignment horizontal="center" vertical="center"/>
    </xf>
    <xf numFmtId="0" fontId="5" fillId="21" borderId="2" xfId="0" applyFont="1" applyFill="1" applyBorder="1">
      <alignment vertical="center"/>
    </xf>
    <xf numFmtId="0" fontId="6" fillId="21" borderId="2" xfId="0" applyFont="1" applyFill="1" applyBorder="1" applyAlignment="1">
      <alignment horizontal="left" vertical="center"/>
    </xf>
    <xf numFmtId="0" fontId="6" fillId="21" borderId="2" xfId="0" applyNumberFormat="1" applyFont="1" applyFill="1" applyBorder="1">
      <alignment vertical="center"/>
    </xf>
    <xf numFmtId="0" fontId="5" fillId="0" borderId="2" xfId="0" applyFont="1" applyFill="1" applyBorder="1" applyAlignment="1">
      <alignment horizontal="center"/>
    </xf>
    <xf numFmtId="0" fontId="5" fillId="5" borderId="2" xfId="0" applyFont="1" applyFill="1" applyBorder="1">
      <alignment vertical="center"/>
    </xf>
    <xf numFmtId="0" fontId="6" fillId="0" borderId="2" xfId="0" applyFont="1" applyFill="1" applyBorder="1" applyAlignment="1">
      <alignment horizontal="left" vertical="center"/>
    </xf>
    <xf numFmtId="0" fontId="5" fillId="0" borderId="2" xfId="0" applyFont="1" applyBorder="1" applyAlignment="1">
      <alignment horizontal="right" vertical="center"/>
    </xf>
    <xf numFmtId="0" fontId="5" fillId="0" borderId="2" xfId="0" applyNumberFormat="1" applyFont="1" applyFill="1" applyBorder="1">
      <alignment vertical="center"/>
    </xf>
    <xf numFmtId="0" fontId="24" fillId="0" borderId="2" xfId="0" applyFont="1" applyBorder="1">
      <alignment vertical="center"/>
    </xf>
    <xf numFmtId="0" fontId="12" fillId="3" borderId="0" xfId="0" applyFont="1" applyFill="1" applyAlignment="1">
      <alignment horizontal="center" vertical="center"/>
    </xf>
    <xf numFmtId="0" fontId="1" fillId="0" borderId="0" xfId="0" applyFont="1" applyAlignment="1">
      <alignment horizontal="center" vertical="center"/>
    </xf>
    <xf numFmtId="0" fontId="5" fillId="0" borderId="0" xfId="0" applyFont="1" applyFill="1" applyAlignment="1">
      <alignment vertical="center"/>
    </xf>
    <xf numFmtId="0" fontId="1" fillId="0" borderId="0" xfId="0" applyFont="1" applyAlignment="1">
      <alignment horizontal="center" vertical="center"/>
    </xf>
    <xf numFmtId="0" fontId="12" fillId="3" borderId="0" xfId="0" applyFont="1" applyFill="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vertical="center"/>
    </xf>
    <xf numFmtId="0" fontId="33" fillId="0" borderId="0" xfId="0" applyFont="1" applyFill="1" applyAlignment="1">
      <alignment horizontal="left" vertical="center"/>
    </xf>
    <xf numFmtId="0" fontId="35" fillId="0" borderId="0" xfId="0" applyFont="1">
      <alignment vertical="center"/>
    </xf>
    <xf numFmtId="0" fontId="35" fillId="0" borderId="0" xfId="0" applyFont="1" applyAlignment="1">
      <alignment horizontal="center" vertical="center"/>
    </xf>
    <xf numFmtId="0" fontId="24" fillId="0" borderId="2" xfId="0" applyFont="1" applyFill="1" applyBorder="1">
      <alignment vertical="center"/>
    </xf>
    <xf numFmtId="0" fontId="36" fillId="0" borderId="2" xfId="0" applyFont="1" applyFill="1" applyBorder="1">
      <alignment vertical="center"/>
    </xf>
    <xf numFmtId="0" fontId="36" fillId="0" borderId="2" xfId="0" applyFont="1" applyFill="1" applyBorder="1" applyAlignment="1">
      <alignment horizontal="left" vertical="center"/>
    </xf>
    <xf numFmtId="0" fontId="36" fillId="0" borderId="0" xfId="0" applyFont="1">
      <alignment vertical="center"/>
    </xf>
    <xf numFmtId="0" fontId="36" fillId="0" borderId="0" xfId="0" applyFont="1" applyFill="1">
      <alignment vertical="center"/>
    </xf>
    <xf numFmtId="0" fontId="36" fillId="0" borderId="0" xfId="0" applyFont="1" applyFill="1" applyAlignment="1">
      <alignment horizontal="left" vertical="center"/>
    </xf>
    <xf numFmtId="0" fontId="1" fillId="3" borderId="0" xfId="0" applyFont="1" applyFill="1" applyAlignment="1">
      <alignment vertical="center" wrapText="1"/>
    </xf>
    <xf numFmtId="0" fontId="36" fillId="0" borderId="0" xfId="0" applyFont="1" applyAlignment="1">
      <alignment horizontal="left" vertical="center"/>
    </xf>
    <xf numFmtId="0" fontId="35" fillId="3" borderId="0" xfId="0" applyFont="1" applyFill="1" applyAlignment="1">
      <alignment horizontal="center" vertical="center"/>
    </xf>
    <xf numFmtId="177" fontId="35" fillId="3" borderId="0" xfId="1" applyNumberFormat="1" applyFont="1" applyFill="1" applyAlignment="1">
      <alignment horizontal="center" vertical="center"/>
    </xf>
    <xf numFmtId="176" fontId="35" fillId="3" borderId="0" xfId="0" applyNumberFormat="1"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2" fillId="3" borderId="0" xfId="0" applyFont="1" applyFill="1" applyAlignment="1">
      <alignment horizontal="center" vertical="center"/>
    </xf>
    <xf numFmtId="0" fontId="15" fillId="3" borderId="3" xfId="0" applyFont="1" applyFill="1" applyBorder="1">
      <alignment vertical="center"/>
    </xf>
    <xf numFmtId="0" fontId="15" fillId="3" borderId="5" xfId="0" applyFont="1" applyFill="1" applyBorder="1">
      <alignment vertical="center"/>
    </xf>
    <xf numFmtId="0" fontId="1" fillId="0" borderId="0" xfId="0" applyFont="1" applyFill="1" applyBorder="1" applyAlignment="1">
      <alignment horizontal="center" vertical="center"/>
    </xf>
    <xf numFmtId="0" fontId="1" fillId="14" borderId="0" xfId="0" applyFont="1" applyFill="1" applyBorder="1" applyAlignment="1">
      <alignment horizontal="center" vertical="center"/>
    </xf>
    <xf numFmtId="0" fontId="5" fillId="4" borderId="2" xfId="0" applyFont="1" applyFill="1" applyBorder="1">
      <alignment vertical="center"/>
    </xf>
    <xf numFmtId="0" fontId="6" fillId="16" borderId="2" xfId="0" applyFont="1" applyFill="1" applyBorder="1">
      <alignment vertical="center"/>
    </xf>
    <xf numFmtId="0" fontId="5" fillId="16" borderId="2" xfId="0" applyFont="1" applyFill="1" applyBorder="1">
      <alignment vertical="center"/>
    </xf>
    <xf numFmtId="0" fontId="33" fillId="0" borderId="0" xfId="0" applyFont="1" applyFill="1">
      <alignment vertical="center"/>
    </xf>
    <xf numFmtId="0" fontId="38" fillId="0" borderId="0" xfId="0" applyFont="1" applyFill="1">
      <alignment vertical="center"/>
    </xf>
    <xf numFmtId="0" fontId="13" fillId="0" borderId="0" xfId="0" applyFont="1" applyFill="1" applyAlignment="1">
      <alignment horizontal="center" vertical="center"/>
    </xf>
    <xf numFmtId="0" fontId="0" fillId="0" borderId="0" xfId="0" applyFill="1">
      <alignment vertical="center"/>
    </xf>
    <xf numFmtId="177" fontId="1" fillId="0" borderId="0" xfId="1" applyNumberFormat="1" applyFont="1" applyFill="1" applyAlignment="1">
      <alignment horizontal="left" vertical="center"/>
    </xf>
    <xf numFmtId="0" fontId="5" fillId="21" borderId="2" xfId="0" applyNumberFormat="1" applyFont="1" applyFill="1" applyBorder="1">
      <alignment vertical="center"/>
    </xf>
    <xf numFmtId="0" fontId="6" fillId="16" borderId="2" xfId="0" applyNumberFormat="1" applyFont="1" applyFill="1" applyBorder="1">
      <alignment vertical="center"/>
    </xf>
    <xf numFmtId="0" fontId="5" fillId="16" borderId="2" xfId="0" applyNumberFormat="1" applyFont="1" applyFill="1" applyBorder="1">
      <alignment vertical="center"/>
    </xf>
    <xf numFmtId="0" fontId="6" fillId="0" borderId="2" xfId="0" applyNumberFormat="1" applyFont="1" applyFill="1" applyBorder="1">
      <alignment vertical="center"/>
    </xf>
    <xf numFmtId="0" fontId="5" fillId="5" borderId="2" xfId="0" applyNumberFormat="1" applyFont="1" applyFill="1" applyBorder="1">
      <alignment vertical="center"/>
    </xf>
    <xf numFmtId="0" fontId="36" fillId="0" borderId="2" xfId="0" applyFont="1" applyBorder="1">
      <alignment vertical="center"/>
    </xf>
    <xf numFmtId="0" fontId="5" fillId="16" borderId="2" xfId="0" applyFont="1" applyFill="1" applyBorder="1" applyAlignment="1">
      <alignment horizontal="left" vertical="center"/>
    </xf>
    <xf numFmtId="0" fontId="5" fillId="16" borderId="2" xfId="0" applyNumberFormat="1" applyFont="1" applyFill="1" applyBorder="1" applyAlignment="1">
      <alignment horizontal="left" vertical="center"/>
    </xf>
    <xf numFmtId="0" fontId="5" fillId="2" borderId="2" xfId="0" applyFont="1" applyFill="1" applyBorder="1">
      <alignment vertical="center"/>
    </xf>
    <xf numFmtId="0" fontId="40" fillId="0" borderId="2" xfId="0" applyFont="1" applyFill="1" applyBorder="1" applyAlignment="1">
      <alignment horizontal="left" vertical="center"/>
    </xf>
    <xf numFmtId="0" fontId="40" fillId="0" borderId="2" xfId="0" applyFont="1" applyBorder="1">
      <alignment vertical="center"/>
    </xf>
    <xf numFmtId="0" fontId="5" fillId="3" borderId="2" xfId="0" applyNumberFormat="1" applyFont="1" applyFill="1" applyBorder="1">
      <alignment vertical="center"/>
    </xf>
    <xf numFmtId="0" fontId="5" fillId="3" borderId="2" xfId="0" applyFont="1" applyFill="1" applyBorder="1">
      <alignment vertical="center"/>
    </xf>
    <xf numFmtId="0" fontId="5" fillId="2" borderId="2" xfId="0" applyNumberFormat="1" applyFont="1" applyFill="1" applyBorder="1">
      <alignment vertical="center"/>
    </xf>
    <xf numFmtId="0" fontId="5" fillId="0" borderId="7" xfId="0" applyFont="1" applyBorder="1">
      <alignment vertical="center"/>
    </xf>
    <xf numFmtId="0" fontId="5" fillId="0" borderId="8" xfId="0" applyFont="1" applyBorder="1">
      <alignment vertical="center"/>
    </xf>
    <xf numFmtId="0" fontId="5" fillId="0" borderId="8" xfId="0" applyFont="1" applyBorder="1" applyAlignment="1">
      <alignment horizontal="left" vertical="center"/>
    </xf>
    <xf numFmtId="0" fontId="5" fillId="0" borderId="8" xfId="0" applyNumberFormat="1" applyFont="1" applyBorder="1">
      <alignment vertical="center"/>
    </xf>
    <xf numFmtId="0" fontId="5" fillId="0" borderId="9" xfId="0" applyFont="1" applyBorder="1">
      <alignment vertical="center"/>
    </xf>
    <xf numFmtId="0" fontId="5" fillId="0" borderId="9" xfId="0" applyFont="1" applyBorder="1" applyAlignment="1">
      <alignment horizontal="left" vertical="center"/>
    </xf>
    <xf numFmtId="0" fontId="5" fillId="0" borderId="9" xfId="0" applyNumberFormat="1" applyFont="1" applyBorder="1">
      <alignment vertical="center"/>
    </xf>
    <xf numFmtId="0" fontId="6" fillId="0" borderId="6" xfId="0" applyFont="1" applyFill="1" applyBorder="1">
      <alignment vertical="center"/>
    </xf>
    <xf numFmtId="0" fontId="5" fillId="0" borderId="6" xfId="0" applyFont="1" applyBorder="1">
      <alignment vertical="center"/>
    </xf>
    <xf numFmtId="0" fontId="5" fillId="0" borderId="6" xfId="0" applyFont="1" applyBorder="1" applyAlignment="1">
      <alignment horizontal="left" vertical="center"/>
    </xf>
    <xf numFmtId="0" fontId="6" fillId="0" borderId="6" xfId="0" applyFont="1" applyBorder="1">
      <alignment vertical="center"/>
    </xf>
    <xf numFmtId="0" fontId="6" fillId="0" borderId="6" xfId="0" applyNumberFormat="1" applyFont="1" applyBorder="1">
      <alignment vertical="center"/>
    </xf>
    <xf numFmtId="0" fontId="5" fillId="0" borderId="6" xfId="0" applyFont="1" applyFill="1" applyBorder="1">
      <alignment vertical="center"/>
    </xf>
    <xf numFmtId="0" fontId="5" fillId="0" borderId="6" xfId="0" applyNumberFormat="1" applyFont="1" applyBorder="1">
      <alignment vertical="center"/>
    </xf>
    <xf numFmtId="0" fontId="37" fillId="0" borderId="6" xfId="0" applyFont="1" applyFill="1" applyBorder="1">
      <alignment vertical="center"/>
    </xf>
    <xf numFmtId="0" fontId="41" fillId="0" borderId="6" xfId="0" applyFont="1" applyFill="1" applyBorder="1">
      <alignment vertical="center"/>
    </xf>
    <xf numFmtId="0" fontId="40" fillId="0" borderId="6" xfId="0" applyFont="1" applyFill="1" applyBorder="1">
      <alignment vertical="center"/>
    </xf>
    <xf numFmtId="0" fontId="5" fillId="0" borderId="6" xfId="0" applyNumberFormat="1" applyFont="1" applyFill="1" applyBorder="1">
      <alignment vertical="center"/>
    </xf>
    <xf numFmtId="0" fontId="24" fillId="0" borderId="6" xfId="0" applyFont="1" applyFill="1" applyBorder="1">
      <alignment vertical="center"/>
    </xf>
    <xf numFmtId="0" fontId="42" fillId="0" borderId="2" xfId="0" applyFont="1" applyBorder="1">
      <alignment vertical="center"/>
    </xf>
    <xf numFmtId="0" fontId="5" fillId="0" borderId="10" xfId="0" applyFont="1" applyFill="1" applyBorder="1">
      <alignment vertical="center"/>
    </xf>
    <xf numFmtId="0" fontId="5" fillId="0" borderId="7" xfId="0" applyFont="1" applyFill="1" applyBorder="1">
      <alignment vertical="center"/>
    </xf>
    <xf numFmtId="0" fontId="5" fillId="0" borderId="11" xfId="0" applyFont="1" applyBorder="1" applyAlignment="1">
      <alignment horizontal="left" vertical="center"/>
    </xf>
    <xf numFmtId="0" fontId="1" fillId="0" borderId="0" xfId="0" applyFont="1">
      <alignment vertical="center"/>
    </xf>
    <xf numFmtId="0" fontId="1" fillId="3" borderId="0" xfId="0" applyFont="1" applyFill="1">
      <alignment vertical="center"/>
    </xf>
    <xf numFmtId="0" fontId="13" fillId="3" borderId="0" xfId="0" applyFont="1" applyFill="1" applyAlignment="1">
      <alignment horizontal="center" vertical="center"/>
    </xf>
    <xf numFmtId="176" fontId="1" fillId="3" borderId="0" xfId="0" applyNumberFormat="1" applyFont="1" applyFill="1" applyAlignment="1">
      <alignment horizontal="center" vertical="center"/>
    </xf>
    <xf numFmtId="177" fontId="1" fillId="3" borderId="0" xfId="1" applyNumberFormat="1" applyFont="1" applyFill="1" applyAlignment="1">
      <alignment horizontal="center" vertical="center"/>
    </xf>
    <xf numFmtId="0" fontId="1" fillId="0" borderId="0" xfId="0" applyFont="1" applyFill="1">
      <alignment vertical="center"/>
    </xf>
    <xf numFmtId="0" fontId="5" fillId="0" borderId="0" xfId="0" applyFont="1">
      <alignment vertical="center"/>
    </xf>
    <xf numFmtId="0" fontId="1" fillId="3" borderId="0" xfId="0" applyFont="1" applyFill="1" applyAlignment="1">
      <alignment horizontal="center" vertical="center"/>
    </xf>
    <xf numFmtId="0" fontId="1" fillId="0" borderId="0" xfId="0" applyFont="1" applyFill="1" applyAlignment="1">
      <alignment horizontal="center" vertical="center"/>
    </xf>
    <xf numFmtId="0" fontId="5" fillId="0" borderId="0" xfId="0" applyFont="1" applyFill="1">
      <alignment vertical="center"/>
    </xf>
    <xf numFmtId="0" fontId="5" fillId="0" borderId="0" xfId="0" applyFont="1" applyAlignment="1">
      <alignment horizontal="center" vertical="center"/>
    </xf>
    <xf numFmtId="0" fontId="1"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Border="1">
      <alignment vertical="center"/>
    </xf>
    <xf numFmtId="176" fontId="1" fillId="3" borderId="0" xfId="0" applyNumberFormat="1" applyFont="1" applyFill="1" applyAlignment="1">
      <alignment horizontal="right" vertical="center"/>
    </xf>
    <xf numFmtId="177" fontId="1" fillId="3" borderId="0" xfId="1" applyNumberFormat="1" applyFont="1" applyFill="1" applyAlignment="1">
      <alignment horizontal="left" vertical="center"/>
    </xf>
    <xf numFmtId="0" fontId="5" fillId="3" borderId="0" xfId="0" applyFont="1" applyFill="1">
      <alignment vertical="center"/>
    </xf>
    <xf numFmtId="0" fontId="1" fillId="0" borderId="0" xfId="0" applyFont="1" applyAlignment="1">
      <alignment horizontal="center" vertical="center"/>
    </xf>
    <xf numFmtId="0" fontId="5" fillId="0" borderId="0" xfId="0" applyFont="1" applyAlignment="1">
      <alignment horizontal="left" vertical="center"/>
    </xf>
    <xf numFmtId="178" fontId="17" fillId="3" borderId="0" xfId="0" applyNumberFormat="1" applyFont="1" applyFill="1" applyAlignment="1">
      <alignment horizontal="center" vertical="center"/>
    </xf>
    <xf numFmtId="0" fontId="30" fillId="3" borderId="0" xfId="2" applyFont="1" applyFill="1">
      <alignment vertical="center"/>
    </xf>
    <xf numFmtId="0" fontId="30" fillId="0" borderId="0" xfId="2" applyFont="1">
      <alignment vertical="center"/>
    </xf>
    <xf numFmtId="0" fontId="12" fillId="0" borderId="0" xfId="0" applyFont="1" applyFill="1" applyAlignment="1">
      <alignment horizontal="center" vertical="center"/>
    </xf>
    <xf numFmtId="0" fontId="6" fillId="0" borderId="2" xfId="0" applyFont="1" applyBorder="1">
      <alignment vertical="center"/>
    </xf>
    <xf numFmtId="0" fontId="5" fillId="0" borderId="2" xfId="0" applyFont="1" applyBorder="1">
      <alignment vertical="center"/>
    </xf>
    <xf numFmtId="0" fontId="5" fillId="0" borderId="2" xfId="0" applyFont="1" applyFill="1" applyBorder="1">
      <alignment vertical="center"/>
    </xf>
    <xf numFmtId="0" fontId="5" fillId="0" borderId="2" xfId="0" applyNumberFormat="1" applyFont="1" applyBorder="1">
      <alignment vertical="center"/>
    </xf>
    <xf numFmtId="0" fontId="5" fillId="0" borderId="2" xfId="0" applyNumberFormat="1" applyFont="1" applyFill="1" applyBorder="1">
      <alignment vertical="center"/>
    </xf>
    <xf numFmtId="0" fontId="24" fillId="0" borderId="2" xfId="0" applyFont="1" applyBorder="1">
      <alignment vertical="center"/>
    </xf>
    <xf numFmtId="0" fontId="15" fillId="3" borderId="4" xfId="0" applyFont="1" applyFill="1" applyBorder="1">
      <alignment vertical="center"/>
    </xf>
    <xf numFmtId="0" fontId="5" fillId="16" borderId="2" xfId="0" applyFont="1" applyFill="1" applyBorder="1">
      <alignment vertical="center"/>
    </xf>
    <xf numFmtId="0" fontId="5" fillId="16" borderId="2" xfId="0" applyNumberFormat="1" applyFont="1" applyFill="1" applyBorder="1">
      <alignment vertical="center"/>
    </xf>
    <xf numFmtId="0" fontId="40" fillId="0" borderId="2" xfId="0" applyFont="1" applyBorder="1">
      <alignment vertical="center"/>
    </xf>
    <xf numFmtId="0" fontId="5" fillId="0" borderId="10" xfId="0" applyFont="1" applyFill="1" applyBorder="1">
      <alignment vertical="center"/>
    </xf>
    <xf numFmtId="0" fontId="5" fillId="0" borderId="7" xfId="0" applyFont="1" applyFill="1" applyBorder="1">
      <alignment vertical="center"/>
    </xf>
    <xf numFmtId="0" fontId="5" fillId="0" borderId="0" xfId="0" applyFont="1" applyFill="1" applyAlignment="1">
      <alignment horizontal="center" vertical="center"/>
    </xf>
    <xf numFmtId="0" fontId="5" fillId="12" borderId="0" xfId="0" applyFont="1" applyFill="1" applyBorder="1">
      <alignment vertical="center"/>
    </xf>
    <xf numFmtId="0" fontId="5" fillId="12" borderId="0" xfId="0" applyFont="1" applyFill="1" applyBorder="1" applyAlignment="1">
      <alignment horizontal="center" vertical="center"/>
    </xf>
    <xf numFmtId="0" fontId="28" fillId="12" borderId="0" xfId="0" applyFont="1" applyFill="1" applyBorder="1" applyAlignment="1">
      <alignment horizontal="left" vertical="center"/>
    </xf>
    <xf numFmtId="0" fontId="5" fillId="12" borderId="0" xfId="0" applyFont="1" applyFill="1" applyBorder="1" applyAlignment="1">
      <alignment horizontal="left" vertical="center"/>
    </xf>
    <xf numFmtId="0" fontId="27" fillId="12" borderId="0" xfId="0" applyFont="1" applyFill="1" applyBorder="1" applyAlignment="1">
      <alignment horizontal="left" vertical="center"/>
    </xf>
    <xf numFmtId="0" fontId="6" fillId="12" borderId="0" xfId="0" applyFont="1" applyFill="1" applyBorder="1">
      <alignment vertical="center"/>
    </xf>
    <xf numFmtId="0" fontId="6" fillId="12" borderId="0" xfId="0" applyFont="1" applyFill="1" applyBorder="1" applyAlignment="1">
      <alignment horizontal="left" vertical="center"/>
    </xf>
    <xf numFmtId="0" fontId="12" fillId="12" borderId="0" xfId="0" applyFont="1" applyFill="1" applyBorder="1">
      <alignment vertical="center"/>
    </xf>
    <xf numFmtId="0" fontId="3" fillId="12" borderId="0" xfId="0" applyFont="1" applyFill="1" applyBorder="1">
      <alignment vertical="center"/>
    </xf>
    <xf numFmtId="0" fontId="1" fillId="12" borderId="0" xfId="0" applyFont="1" applyFill="1" applyBorder="1">
      <alignment vertical="center"/>
    </xf>
    <xf numFmtId="0" fontId="26" fillId="12" borderId="0" xfId="0" applyFont="1" applyFill="1" applyBorder="1">
      <alignment vertical="center"/>
    </xf>
    <xf numFmtId="1" fontId="5" fillId="12" borderId="0" xfId="0" applyNumberFormat="1" applyFont="1" applyFill="1" applyBorder="1" applyAlignment="1">
      <alignment horizontal="center" vertical="center"/>
    </xf>
    <xf numFmtId="0" fontId="5" fillId="12" borderId="0" xfId="0" applyFont="1" applyFill="1" applyBorder="1" applyAlignment="1">
      <alignment horizontal="left" vertical="top"/>
    </xf>
    <xf numFmtId="0" fontId="6" fillId="12" borderId="0" xfId="0" applyFont="1" applyFill="1" applyAlignment="1">
      <alignment horizontal="left" vertical="center"/>
    </xf>
    <xf numFmtId="0" fontId="29" fillId="12" borderId="0" xfId="0" applyNumberFormat="1" applyFont="1" applyFill="1" applyBorder="1" applyAlignment="1">
      <alignment horizontal="left" vertical="center"/>
    </xf>
    <xf numFmtId="0" fontId="5" fillId="12" borderId="0" xfId="0" applyFont="1" applyFill="1">
      <alignment vertical="center"/>
    </xf>
    <xf numFmtId="0" fontId="22" fillId="12" borderId="0" xfId="0" applyFont="1" applyFill="1" applyAlignment="1">
      <alignment horizontal="left" vertical="center"/>
    </xf>
    <xf numFmtId="0" fontId="5" fillId="12" borderId="0" xfId="0" applyFont="1" applyFill="1" applyAlignment="1">
      <alignment horizontal="center" vertical="center"/>
    </xf>
    <xf numFmtId="0" fontId="29" fillId="12" borderId="0" xfId="0" applyNumberFormat="1" applyFont="1" applyFill="1" applyBorder="1">
      <alignment vertical="center"/>
    </xf>
    <xf numFmtId="0" fontId="12" fillId="12" borderId="0" xfId="0" applyFont="1" applyFill="1" applyAlignment="1">
      <alignment horizontal="left" vertical="center"/>
    </xf>
    <xf numFmtId="0" fontId="12" fillId="12" borderId="0" xfId="0" applyFont="1" applyFill="1" applyBorder="1" applyAlignment="1">
      <alignment horizontal="left" vertical="center"/>
    </xf>
    <xf numFmtId="0" fontId="6" fillId="12" borderId="0" xfId="0" applyFont="1" applyFill="1" applyAlignment="1">
      <alignment horizontal="right" vertical="center"/>
    </xf>
    <xf numFmtId="0" fontId="5" fillId="12" borderId="1" xfId="0" applyFont="1" applyFill="1" applyBorder="1">
      <alignment vertical="center"/>
    </xf>
    <xf numFmtId="0" fontId="6" fillId="12" borderId="0" xfId="0" applyFont="1" applyFill="1">
      <alignment vertical="center"/>
    </xf>
    <xf numFmtId="0" fontId="1" fillId="12" borderId="0" xfId="0" applyFont="1" applyFill="1">
      <alignment vertical="center"/>
    </xf>
    <xf numFmtId="0" fontId="1" fillId="12" borderId="0" xfId="0" applyFont="1" applyFill="1" applyBorder="1" applyAlignment="1">
      <alignment horizontal="left" vertical="center"/>
    </xf>
    <xf numFmtId="0" fontId="1" fillId="12" borderId="0" xfId="0" applyFont="1" applyFill="1" applyBorder="1" applyAlignment="1">
      <alignment horizontal="center" vertical="center"/>
    </xf>
    <xf numFmtId="0" fontId="1" fillId="12" borderId="0" xfId="0" applyFont="1" applyFill="1" applyAlignment="1">
      <alignment horizontal="center" vertical="center"/>
    </xf>
    <xf numFmtId="0" fontId="18" fillId="12" borderId="0" xfId="0" applyFont="1" applyFill="1" applyAlignment="1">
      <alignment horizontal="left" vertical="center"/>
    </xf>
    <xf numFmtId="0" fontId="32" fillId="12" borderId="0" xfId="0" applyFont="1" applyFill="1" applyBorder="1">
      <alignment vertical="center"/>
    </xf>
    <xf numFmtId="0" fontId="24" fillId="12" borderId="0" xfId="0" applyFont="1" applyFill="1" applyBorder="1" applyAlignment="1">
      <alignment horizontal="left" vertical="center"/>
    </xf>
    <xf numFmtId="0" fontId="1" fillId="3" borderId="6" xfId="0" applyFont="1" applyFill="1" applyBorder="1">
      <alignment vertical="center"/>
    </xf>
    <xf numFmtId="0" fontId="33" fillId="3" borderId="6" xfId="0" applyFont="1" applyFill="1" applyBorder="1">
      <alignment vertical="center"/>
    </xf>
    <xf numFmtId="0" fontId="13" fillId="3" borderId="0" xfId="0" applyFont="1" applyFill="1" applyBorder="1" applyAlignment="1">
      <alignment horizontal="center" vertical="center"/>
    </xf>
    <xf numFmtId="0" fontId="43" fillId="12" borderId="0" xfId="0" applyFont="1" applyFill="1" applyAlignment="1">
      <alignment horizontal="left" vertical="center"/>
    </xf>
    <xf numFmtId="0" fontId="5" fillId="23" borderId="0" xfId="0" applyFont="1" applyFill="1" applyBorder="1">
      <alignment vertical="center"/>
    </xf>
    <xf numFmtId="0" fontId="1" fillId="24" borderId="0" xfId="0" applyNumberFormat="1" applyFont="1" applyFill="1" applyAlignment="1">
      <alignment horizontal="left" vertical="center"/>
    </xf>
    <xf numFmtId="0" fontId="5" fillId="24" borderId="0" xfId="0" applyFont="1" applyFill="1" applyBorder="1">
      <alignment vertical="center"/>
    </xf>
    <xf numFmtId="0" fontId="1" fillId="24" borderId="12" xfId="0" applyNumberFormat="1" applyFont="1" applyFill="1" applyBorder="1" applyAlignment="1">
      <alignment horizontal="left" vertical="center"/>
    </xf>
    <xf numFmtId="0" fontId="33" fillId="3" borderId="0" xfId="0" applyFont="1" applyFill="1" applyAlignment="1">
      <alignment horizontal="center" vertical="center"/>
    </xf>
    <xf numFmtId="0" fontId="37" fillId="0" borderId="0" xfId="0" applyFont="1" applyFill="1" applyAlignment="1">
      <alignment horizontal="center" vertical="center"/>
    </xf>
    <xf numFmtId="0" fontId="12" fillId="3" borderId="0" xfId="0" applyFont="1" applyFill="1"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Fill="1" applyAlignment="1">
      <alignment horizontal="left" vertical="center"/>
    </xf>
    <xf numFmtId="0" fontId="15" fillId="3" borderId="0" xfId="2" applyFont="1" applyFill="1" applyAlignment="1">
      <alignment horizontal="left" vertical="center"/>
    </xf>
    <xf numFmtId="0" fontId="20" fillId="13" borderId="0" xfId="0" applyFont="1" applyFill="1" applyAlignment="1">
      <alignment horizontal="center" vertical="center"/>
    </xf>
    <xf numFmtId="0" fontId="12" fillId="0" borderId="0" xfId="0" applyFont="1" applyFill="1" applyAlignment="1">
      <alignment horizontal="center" vertical="center"/>
    </xf>
    <xf numFmtId="0" fontId="1" fillId="0" borderId="0" xfId="0" applyFont="1" applyAlignment="1">
      <alignment horizontal="center" vertical="center"/>
    </xf>
    <xf numFmtId="0" fontId="5" fillId="4" borderId="2" xfId="0" applyNumberFormat="1" applyFont="1" applyFill="1" applyBorder="1">
      <alignment vertical="center"/>
    </xf>
    <xf numFmtId="0" fontId="12" fillId="0" borderId="0" xfId="0" applyFont="1" applyFill="1" applyAlignment="1">
      <alignment vertical="center"/>
    </xf>
    <xf numFmtId="0" fontId="21" fillId="0" borderId="0" xfId="0" applyFont="1">
      <alignment vertical="center"/>
    </xf>
    <xf numFmtId="0" fontId="44" fillId="12" borderId="0" xfId="0" applyFont="1" applyFill="1" applyBorder="1">
      <alignment vertical="center"/>
    </xf>
    <xf numFmtId="0" fontId="44" fillId="12" borderId="0" xfId="0" applyFont="1" applyFill="1" applyBorder="1" applyAlignment="1">
      <alignment horizontal="left" vertical="center"/>
    </xf>
    <xf numFmtId="49" fontId="6" fillId="12" borderId="0" xfId="0" applyNumberFormat="1" applyFont="1" applyFill="1" applyBorder="1" applyAlignment="1">
      <alignment horizontal="right" vertical="center"/>
    </xf>
    <xf numFmtId="0" fontId="20" fillId="13" borderId="0" xfId="0" applyFont="1" applyFill="1" applyAlignment="1">
      <alignment horizontal="center" vertical="center"/>
    </xf>
    <xf numFmtId="9" fontId="1" fillId="0" borderId="0" xfId="0" applyNumberFormat="1" applyFont="1" applyFill="1" applyAlignment="1">
      <alignment horizontal="center" vertical="center"/>
    </xf>
    <xf numFmtId="0" fontId="12" fillId="3" borderId="0" xfId="0" applyFont="1" applyFill="1" applyAlignment="1">
      <alignment horizontal="center" vertical="center"/>
    </xf>
    <xf numFmtId="0" fontId="1" fillId="3" borderId="13" xfId="0" applyFont="1" applyFill="1" applyBorder="1" applyAlignment="1">
      <alignment horizontal="center" vertical="center"/>
    </xf>
    <xf numFmtId="0" fontId="12" fillId="0" borderId="0" xfId="0" applyFont="1" applyFill="1" applyBorder="1">
      <alignment vertical="center"/>
    </xf>
    <xf numFmtId="0" fontId="3" fillId="0" borderId="0" xfId="0" applyFont="1" applyFill="1" applyBorder="1">
      <alignment vertical="center"/>
    </xf>
    <xf numFmtId="0" fontId="5" fillId="0" borderId="0" xfId="0" applyFont="1" applyFill="1" applyBorder="1" applyAlignment="1">
      <alignment horizontal="center" vertical="center"/>
    </xf>
    <xf numFmtId="0" fontId="12" fillId="3" borderId="0" xfId="0" applyFont="1" applyFill="1" applyBorder="1" applyAlignment="1">
      <alignment horizontal="center" vertical="center"/>
    </xf>
    <xf numFmtId="0" fontId="12" fillId="3" borderId="0" xfId="0" applyFont="1" applyFill="1" applyAlignment="1">
      <alignment vertical="center"/>
    </xf>
    <xf numFmtId="0" fontId="20" fillId="0" borderId="0" xfId="0" applyFont="1" applyFill="1">
      <alignment vertical="center"/>
    </xf>
    <xf numFmtId="0" fontId="0" fillId="0" borderId="0" xfId="0" applyFill="1" applyBorder="1">
      <alignment vertical="center"/>
    </xf>
    <xf numFmtId="0" fontId="12" fillId="3" borderId="0" xfId="0" applyFont="1" applyFill="1" applyAlignment="1">
      <alignment horizontal="center" vertical="center"/>
    </xf>
    <xf numFmtId="0" fontId="20" fillId="17" borderId="0" xfId="0" applyFont="1" applyFill="1" applyAlignment="1">
      <alignment horizontal="center" vertical="center"/>
    </xf>
    <xf numFmtId="0" fontId="1" fillId="0" borderId="0" xfId="0" applyFont="1" applyAlignment="1">
      <alignment horizontal="center" vertical="center"/>
    </xf>
    <xf numFmtId="0" fontId="20" fillId="8" borderId="0" xfId="0" applyFont="1" applyFill="1" applyAlignment="1">
      <alignment horizontal="center" vertical="center"/>
    </xf>
    <xf numFmtId="0" fontId="1" fillId="24" borderId="0" xfId="0" applyNumberFormat="1" applyFont="1" applyFill="1" applyAlignment="1">
      <alignment horizontal="center" vertical="center"/>
    </xf>
    <xf numFmtId="179" fontId="12" fillId="12" borderId="0" xfId="0" applyNumberFormat="1" applyFont="1" applyFill="1" applyBorder="1" applyAlignment="1">
      <alignment horizontal="center" vertical="center"/>
    </xf>
    <xf numFmtId="0" fontId="12" fillId="12" borderId="0" xfId="0" applyFont="1" applyFill="1" applyBorder="1" applyAlignment="1">
      <alignment horizontal="center" vertical="center"/>
    </xf>
    <xf numFmtId="0" fontId="12" fillId="3" borderId="0" xfId="0" applyFont="1" applyFill="1" applyAlignment="1">
      <alignment horizontal="center" vertical="center"/>
    </xf>
    <xf numFmtId="0" fontId="45" fillId="3" borderId="0" xfId="0" applyFont="1" applyFill="1" applyAlignment="1">
      <alignment horizontal="center" vertical="center"/>
    </xf>
    <xf numFmtId="0" fontId="45" fillId="3" borderId="0" xfId="0" applyFont="1" applyFill="1" applyBorder="1" applyAlignment="1">
      <alignment horizontal="center" vertical="center"/>
    </xf>
    <xf numFmtId="0" fontId="12" fillId="25" borderId="0" xfId="0" applyFont="1" applyFill="1" applyAlignment="1">
      <alignment horizontal="center" vertical="center"/>
    </xf>
    <xf numFmtId="0" fontId="12" fillId="26" borderId="0" xfId="0" applyFont="1" applyFill="1" applyAlignment="1">
      <alignment horizontal="center" vertical="center"/>
    </xf>
    <xf numFmtId="0" fontId="1" fillId="25" borderId="0" xfId="0" applyFont="1" applyFill="1" applyAlignment="1">
      <alignment horizontal="center" vertical="center"/>
    </xf>
    <xf numFmtId="0" fontId="1" fillId="26" borderId="0" xfId="0" applyFont="1" applyFill="1" applyAlignment="1">
      <alignment horizontal="center" vertical="center"/>
    </xf>
    <xf numFmtId="0" fontId="1" fillId="27" borderId="0" xfId="0" applyFont="1" applyFill="1" applyAlignment="1">
      <alignment horizontal="center" vertical="center"/>
    </xf>
    <xf numFmtId="0" fontId="12" fillId="27" borderId="0" xfId="0" applyFont="1" applyFill="1" applyAlignment="1">
      <alignment horizontal="center" vertical="center"/>
    </xf>
    <xf numFmtId="0" fontId="5" fillId="3" borderId="0" xfId="0" applyFont="1" applyFill="1" applyAlignment="1">
      <alignment vertical="center"/>
    </xf>
    <xf numFmtId="0" fontId="5" fillId="0" borderId="0" xfId="0" applyFont="1" applyAlignment="1">
      <alignment vertical="center"/>
    </xf>
    <xf numFmtId="0" fontId="46" fillId="8" borderId="0" xfId="0" applyFont="1" applyFill="1">
      <alignment vertical="center"/>
    </xf>
    <xf numFmtId="0" fontId="12" fillId="3" borderId="0" xfId="0" applyFont="1" applyFill="1" applyAlignment="1">
      <alignment horizontal="center" vertical="center"/>
    </xf>
    <xf numFmtId="0" fontId="1" fillId="0" borderId="0" xfId="0" applyFont="1" applyAlignment="1">
      <alignment horizontal="center" vertical="center"/>
    </xf>
    <xf numFmtId="0" fontId="20" fillId="10" borderId="0" xfId="0" applyFont="1" applyFill="1" applyAlignment="1">
      <alignment horizontal="center" vertical="center"/>
    </xf>
    <xf numFmtId="0" fontId="1" fillId="3" borderId="0" xfId="0" applyFont="1" applyFill="1" applyAlignment="1">
      <alignment horizontal="center" vertical="center"/>
    </xf>
    <xf numFmtId="0" fontId="12" fillId="28" borderId="0" xfId="0" applyFont="1" applyFill="1" applyAlignment="1">
      <alignment horizontal="center" vertical="center"/>
    </xf>
    <xf numFmtId="0" fontId="1" fillId="28" borderId="0" xfId="0" applyFont="1" applyFill="1" applyAlignment="1">
      <alignment horizontal="center" vertical="center"/>
    </xf>
    <xf numFmtId="0" fontId="20" fillId="13" borderId="0" xfId="0" applyFont="1" applyFill="1" applyAlignment="1">
      <alignment horizontal="center" vertical="center"/>
    </xf>
    <xf numFmtId="0" fontId="12" fillId="3" borderId="0" xfId="0" applyFont="1" applyFill="1" applyAlignment="1">
      <alignment horizontal="center" vertical="center"/>
    </xf>
    <xf numFmtId="0" fontId="20" fillId="17" borderId="0" xfId="0" applyFont="1" applyFill="1" applyAlignment="1">
      <alignment horizontal="center" vertical="center"/>
    </xf>
    <xf numFmtId="0" fontId="20" fillId="8" borderId="0" xfId="0" applyFont="1" applyFill="1" applyAlignment="1">
      <alignment horizontal="center" vertical="center"/>
    </xf>
    <xf numFmtId="0" fontId="20" fillId="10" borderId="0" xfId="0" applyFont="1" applyFill="1" applyAlignment="1">
      <alignment horizontal="center" vertical="center"/>
    </xf>
    <xf numFmtId="0" fontId="12" fillId="9" borderId="0" xfId="0" applyFont="1" applyFill="1" applyAlignment="1">
      <alignment horizontal="center" vertical="center"/>
    </xf>
    <xf numFmtId="0" fontId="1" fillId="3" borderId="0" xfId="0" applyFont="1" applyFill="1" applyAlignment="1">
      <alignment horizontal="center" vertical="center"/>
    </xf>
    <xf numFmtId="0" fontId="12" fillId="5" borderId="0" xfId="0" applyFont="1" applyFill="1" applyAlignment="1">
      <alignment horizontal="center" vertical="center"/>
    </xf>
    <xf numFmtId="0" fontId="1" fillId="5" borderId="0" xfId="0" applyFont="1" applyFill="1" applyAlignment="1">
      <alignment horizontal="center" vertical="center"/>
    </xf>
    <xf numFmtId="0" fontId="21" fillId="9" borderId="0" xfId="0" applyFont="1" applyFill="1" applyAlignment="1">
      <alignment horizontal="center" vertical="center"/>
    </xf>
    <xf numFmtId="0" fontId="33" fillId="0" borderId="0" xfId="0" applyFont="1" applyFill="1" applyAlignment="1">
      <alignment horizontal="center" vertical="center"/>
    </xf>
    <xf numFmtId="0" fontId="20" fillId="13" borderId="0" xfId="0" applyFont="1" applyFill="1" applyAlignment="1">
      <alignment horizontal="left" vertical="center"/>
    </xf>
    <xf numFmtId="0" fontId="39" fillId="3" borderId="0" xfId="0" applyFont="1" applyFill="1" applyAlignment="1">
      <alignment horizontal="center" vertical="center"/>
    </xf>
    <xf numFmtId="0" fontId="5" fillId="0" borderId="2" xfId="0" applyNumberFormat="1" applyFont="1" applyBorder="1" applyAlignment="1">
      <alignment horizontal="left" vertical="center"/>
    </xf>
    <xf numFmtId="0" fontId="5" fillId="3" borderId="2" xfId="0" applyNumberFormat="1" applyFont="1" applyFill="1" applyBorder="1" applyAlignment="1">
      <alignment horizontal="center" vertical="center"/>
    </xf>
    <xf numFmtId="0" fontId="5" fillId="3" borderId="2" xfId="0" applyFont="1" applyFill="1" applyBorder="1" applyAlignment="1">
      <alignment horizontal="center" vertical="center"/>
    </xf>
    <xf numFmtId="0" fontId="6" fillId="21" borderId="2" xfId="0" applyNumberFormat="1" applyFont="1" applyFill="1" applyBorder="1" applyAlignment="1">
      <alignment horizontal="left" vertical="center"/>
    </xf>
    <xf numFmtId="0" fontId="6" fillId="0" borderId="2" xfId="0" applyFont="1" applyBorder="1" applyAlignment="1">
      <alignment horizontal="left" vertical="center"/>
    </xf>
    <xf numFmtId="0" fontId="47" fillId="12" borderId="0" xfId="0" applyFont="1" applyFill="1" applyBorder="1">
      <alignment vertical="center"/>
    </xf>
    <xf numFmtId="0" fontId="24" fillId="12" borderId="0" xfId="0" applyFont="1" applyFill="1" applyBorder="1">
      <alignment vertical="center"/>
    </xf>
    <xf numFmtId="0" fontId="1" fillId="0" borderId="0" xfId="0" applyFont="1" applyAlignment="1">
      <alignment horizontal="center" vertical="center"/>
    </xf>
    <xf numFmtId="0" fontId="12" fillId="3" borderId="0" xfId="0" applyFont="1" applyFill="1" applyAlignment="1">
      <alignment horizontal="center" vertical="center"/>
    </xf>
    <xf numFmtId="0" fontId="1" fillId="0" borderId="0" xfId="0" applyFont="1" applyAlignment="1">
      <alignment horizontal="center" vertical="center"/>
    </xf>
    <xf numFmtId="0" fontId="20" fillId="7" borderId="0" xfId="0" applyFont="1" applyFill="1" applyAlignment="1">
      <alignment horizontal="center" vertical="center"/>
    </xf>
    <xf numFmtId="0" fontId="1" fillId="3" borderId="0" xfId="0" applyFont="1" applyFill="1" applyAlignment="1">
      <alignment horizontal="center" vertical="center"/>
    </xf>
    <xf numFmtId="0" fontId="20" fillId="15" borderId="0" xfId="0" applyFont="1" applyFill="1" applyAlignment="1">
      <alignment horizontal="center" vertical="center"/>
    </xf>
    <xf numFmtId="0" fontId="20" fillId="11" borderId="0" xfId="0" applyFont="1" applyFill="1" applyAlignment="1">
      <alignment horizontal="center" vertical="center"/>
    </xf>
    <xf numFmtId="180" fontId="5" fillId="0" borderId="0" xfId="0" applyNumberFormat="1" applyFont="1" applyAlignment="1">
      <alignment horizontal="center" vertical="center"/>
    </xf>
    <xf numFmtId="0" fontId="36" fillId="0" borderId="0" xfId="0" applyFont="1" applyAlignment="1">
      <alignment horizontal="center" vertical="center"/>
    </xf>
    <xf numFmtId="0" fontId="5" fillId="0" borderId="0" xfId="0" applyFont="1" applyBorder="1" applyAlignment="1">
      <alignment horizontal="center" vertical="center"/>
    </xf>
    <xf numFmtId="0" fontId="36" fillId="0" borderId="0" xfId="0" applyFont="1" applyFill="1" applyAlignment="1">
      <alignment horizontal="center" vertical="center"/>
    </xf>
    <xf numFmtId="0" fontId="20" fillId="13" borderId="0" xfId="0" applyFont="1" applyFill="1" applyAlignment="1">
      <alignment horizontal="center" vertical="center"/>
    </xf>
    <xf numFmtId="0" fontId="12" fillId="3" borderId="0" xfId="0" applyFont="1" applyFill="1" applyAlignment="1">
      <alignment horizontal="center" vertical="center"/>
    </xf>
    <xf numFmtId="0" fontId="20" fillId="17" borderId="0" xfId="0" applyFont="1" applyFill="1" applyAlignment="1">
      <alignment horizontal="center" vertical="center"/>
    </xf>
    <xf numFmtId="0" fontId="20" fillId="10" borderId="0" xfId="0" applyFont="1" applyFill="1" applyAlignment="1">
      <alignment horizontal="center" vertical="center"/>
    </xf>
    <xf numFmtId="0" fontId="1" fillId="0" borderId="0" xfId="0" applyFont="1" applyAlignment="1">
      <alignment horizontal="center" vertical="center"/>
    </xf>
    <xf numFmtId="0" fontId="20" fillId="7" borderId="0" xfId="0" applyFont="1" applyFill="1" applyAlignment="1">
      <alignment horizontal="center" vertical="center"/>
    </xf>
    <xf numFmtId="0" fontId="1" fillId="3" borderId="0" xfId="0" applyFont="1" applyFill="1" applyAlignment="1">
      <alignment horizontal="center" vertical="center"/>
    </xf>
    <xf numFmtId="0" fontId="20" fillId="15" borderId="0" xfId="0" applyFont="1" applyFill="1" applyAlignment="1">
      <alignment horizontal="center" vertical="center"/>
    </xf>
    <xf numFmtId="0" fontId="20" fillId="11" borderId="0" xfId="0" applyFont="1" applyFill="1" applyAlignment="1">
      <alignment horizontal="center" vertical="center"/>
    </xf>
    <xf numFmtId="0" fontId="20" fillId="19" borderId="0" xfId="0" applyFont="1" applyFill="1" applyAlignment="1">
      <alignment horizontal="center" vertical="center"/>
    </xf>
    <xf numFmtId="0" fontId="20" fillId="20" borderId="0" xfId="0" applyFont="1" applyFill="1" applyAlignment="1">
      <alignment horizontal="center" vertical="center"/>
    </xf>
    <xf numFmtId="0" fontId="12" fillId="12" borderId="0" xfId="0" applyFont="1" applyFill="1" applyAlignment="1">
      <alignment horizontal="center" vertical="center"/>
    </xf>
    <xf numFmtId="0" fontId="5" fillId="3" borderId="0" xfId="0" applyFont="1" applyFill="1" applyBorder="1" applyAlignment="1">
      <alignment horizontal="center" vertical="center"/>
    </xf>
    <xf numFmtId="0" fontId="12" fillId="29" borderId="0" xfId="0" applyFont="1" applyFill="1" applyAlignment="1">
      <alignment horizontal="center" vertical="center"/>
    </xf>
    <xf numFmtId="0" fontId="1" fillId="29" borderId="0" xfId="0" applyFont="1" applyFill="1" applyAlignment="1">
      <alignment horizontal="center" vertical="center"/>
    </xf>
    <xf numFmtId="0" fontId="23" fillId="15" borderId="0" xfId="0" applyFont="1" applyFill="1" applyAlignment="1">
      <alignment horizontal="center" vertical="center"/>
    </xf>
    <xf numFmtId="0" fontId="12" fillId="24" borderId="0" xfId="0" applyFont="1" applyFill="1" applyAlignment="1">
      <alignment horizontal="center" vertical="center"/>
    </xf>
    <xf numFmtId="0" fontId="1" fillId="24" borderId="0" xfId="0" applyFont="1" applyFill="1" applyAlignment="1">
      <alignment horizontal="center" vertical="center"/>
    </xf>
    <xf numFmtId="0" fontId="6" fillId="3" borderId="0" xfId="0" applyFont="1" applyFill="1" applyAlignment="1">
      <alignment horizontal="center" vertical="center"/>
    </xf>
    <xf numFmtId="0" fontId="6" fillId="3" borderId="0" xfId="0" applyFont="1" applyFill="1" applyBorder="1" applyAlignment="1">
      <alignment horizontal="center" vertical="center"/>
    </xf>
    <xf numFmtId="0" fontId="20" fillId="17" borderId="0" xfId="0" applyFont="1" applyFill="1" applyAlignment="1">
      <alignment horizontal="center" vertical="center"/>
    </xf>
    <xf numFmtId="0" fontId="20" fillId="8" borderId="0" xfId="0" applyFont="1" applyFill="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5" fillId="3" borderId="0" xfId="0" applyFont="1" applyFill="1" applyBorder="1" applyAlignment="1">
      <alignment horizontal="right" vertical="center"/>
    </xf>
    <xf numFmtId="0" fontId="5" fillId="3" borderId="0" xfId="0" applyFont="1" applyFill="1" applyBorder="1" applyAlignment="1">
      <alignment horizontal="left" vertical="center"/>
    </xf>
    <xf numFmtId="0" fontId="5" fillId="3" borderId="0" xfId="0" applyFont="1" applyFill="1" applyAlignment="1">
      <alignment horizontal="right" vertical="center"/>
    </xf>
    <xf numFmtId="0" fontId="5" fillId="3" borderId="0" xfId="0" applyFont="1" applyFill="1" applyAlignment="1">
      <alignment horizontal="left" vertical="center"/>
    </xf>
    <xf numFmtId="0" fontId="1" fillId="0" borderId="0" xfId="0" applyFont="1" applyFill="1" applyBorder="1">
      <alignment vertical="center"/>
    </xf>
    <xf numFmtId="0" fontId="15" fillId="3" borderId="0" xfId="0" applyFont="1" applyFill="1" applyAlignment="1">
      <alignment horizontal="center" vertical="center"/>
    </xf>
    <xf numFmtId="0" fontId="12" fillId="9" borderId="0" xfId="0" applyFont="1" applyFill="1" applyAlignment="1">
      <alignment horizontal="left" vertical="center"/>
    </xf>
    <xf numFmtId="0" fontId="12" fillId="3" borderId="0" xfId="0" applyFont="1" applyFill="1" applyAlignment="1">
      <alignment horizontal="left" vertical="center"/>
    </xf>
    <xf numFmtId="0" fontId="33" fillId="0" borderId="0" xfId="0" applyFont="1" applyFill="1" applyBorder="1" applyAlignment="1">
      <alignment horizontal="center" vertical="center"/>
    </xf>
    <xf numFmtId="0" fontId="1" fillId="0" borderId="0" xfId="0" applyFont="1" applyBorder="1" applyAlignment="1">
      <alignment horizontal="center" vertical="center"/>
    </xf>
    <xf numFmtId="0" fontId="48" fillId="3" borderId="0" xfId="0" applyFont="1" applyFill="1" applyAlignment="1">
      <alignment horizontal="center" vertical="center"/>
    </xf>
    <xf numFmtId="0" fontId="1" fillId="0" borderId="0" xfId="0" applyFont="1" applyAlignment="1">
      <alignment horizontal="center" vertical="center"/>
    </xf>
    <xf numFmtId="0" fontId="20" fillId="13" borderId="0" xfId="0" applyFont="1" applyFill="1" applyAlignment="1">
      <alignment horizontal="center" vertical="center"/>
    </xf>
    <xf numFmtId="0" fontId="12" fillId="3" borderId="0" xfId="0" applyFont="1" applyFill="1" applyAlignment="1">
      <alignment horizontal="center" vertical="center"/>
    </xf>
    <xf numFmtId="0" fontId="15" fillId="3" borderId="0" xfId="0" applyFont="1" applyFill="1" applyAlignment="1">
      <alignment horizontal="center" vertical="center"/>
    </xf>
    <xf numFmtId="0" fontId="1" fillId="3" borderId="0" xfId="0" applyFont="1" applyFill="1" applyAlignment="1">
      <alignment horizontal="center" vertical="center"/>
    </xf>
    <xf numFmtId="0" fontId="20" fillId="8" borderId="0" xfId="0" applyFont="1" applyFill="1" applyAlignment="1">
      <alignment horizontal="center" vertical="center"/>
    </xf>
    <xf numFmtId="0" fontId="20" fillId="10" borderId="0" xfId="0" applyFont="1" applyFill="1" applyAlignment="1">
      <alignment horizontal="center" vertical="center"/>
    </xf>
    <xf numFmtId="0" fontId="12" fillId="9" borderId="0" xfId="0" applyFont="1" applyFill="1" applyAlignment="1">
      <alignment horizontal="center" vertical="center"/>
    </xf>
    <xf numFmtId="0" fontId="20" fillId="20" borderId="0" xfId="0" applyFont="1" applyFill="1" applyAlignment="1">
      <alignment horizontal="center" vertical="center"/>
    </xf>
    <xf numFmtId="0" fontId="37" fillId="3" borderId="0" xfId="0" applyFont="1" applyFill="1" applyAlignment="1">
      <alignment horizontal="center" vertical="center"/>
    </xf>
    <xf numFmtId="0" fontId="49" fillId="3" borderId="0" xfId="0" applyFont="1" applyFill="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33" fillId="3" borderId="0" xfId="0" applyFont="1" applyFill="1" applyAlignment="1">
      <alignment horizontal="left" vertical="center"/>
    </xf>
    <xf numFmtId="0" fontId="12" fillId="3" borderId="0" xfId="0" applyFont="1" applyFill="1" applyAlignment="1">
      <alignment horizontal="center" vertical="center"/>
    </xf>
    <xf numFmtId="0" fontId="1" fillId="3" borderId="0" xfId="0" applyFont="1" applyFill="1" applyAlignment="1">
      <alignment horizontal="center" vertical="center"/>
    </xf>
    <xf numFmtId="0" fontId="50" fillId="12" borderId="0" xfId="0" applyFont="1" applyFill="1" applyBorder="1" applyAlignment="1">
      <alignment horizontal="center" vertical="center"/>
    </xf>
    <xf numFmtId="0" fontId="50" fillId="12" borderId="0" xfId="0" applyFont="1" applyFill="1" applyBorder="1">
      <alignment vertical="center"/>
    </xf>
    <xf numFmtId="0" fontId="5" fillId="12" borderId="0" xfId="0" applyFont="1" applyFill="1" applyBorder="1" applyAlignment="1">
      <alignment horizontal="center" vertical="top"/>
    </xf>
    <xf numFmtId="0" fontId="3" fillId="0" borderId="0" xfId="0" applyFont="1">
      <alignment vertical="center"/>
    </xf>
    <xf numFmtId="0" fontId="3" fillId="0" borderId="0" xfId="0" applyFont="1" applyAlignment="1">
      <alignment horizontal="center" vertical="center"/>
    </xf>
    <xf numFmtId="0" fontId="45" fillId="12" borderId="0" xfId="0" applyFont="1" applyFill="1" applyBorder="1">
      <alignment vertical="center"/>
    </xf>
    <xf numFmtId="0" fontId="12" fillId="3" borderId="0" xfId="0" applyFont="1" applyFill="1" applyAlignment="1">
      <alignment horizontal="center" vertical="center"/>
    </xf>
    <xf numFmtId="0" fontId="1" fillId="3" borderId="0" xfId="0" applyFont="1" applyFill="1" applyAlignment="1">
      <alignment horizontal="center" vertical="center"/>
    </xf>
    <xf numFmtId="0" fontId="15" fillId="3" borderId="0" xfId="2" applyFont="1" applyFill="1" applyAlignment="1">
      <alignment horizontal="right" vertical="center"/>
    </xf>
    <xf numFmtId="0" fontId="0" fillId="3" borderId="0" xfId="0" applyFont="1" applyFill="1" applyAlignment="1">
      <alignment horizontal="right" vertical="center"/>
    </xf>
    <xf numFmtId="0" fontId="12" fillId="3" borderId="0" xfId="0" applyFont="1" applyFill="1" applyAlignment="1">
      <alignment horizontal="right" vertical="center"/>
    </xf>
    <xf numFmtId="0" fontId="21" fillId="3" borderId="0" xfId="2" applyFont="1" applyFill="1" applyAlignment="1">
      <alignment horizontal="right" vertical="center"/>
    </xf>
    <xf numFmtId="0" fontId="12" fillId="3"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20" fillId="17" borderId="0" xfId="0" applyFont="1" applyFill="1" applyAlignment="1">
      <alignment horizontal="center" vertical="center"/>
    </xf>
    <xf numFmtId="0" fontId="20" fillId="15" borderId="0" xfId="0" applyFont="1" applyFill="1" applyAlignment="1">
      <alignment horizontal="center" vertical="center"/>
    </xf>
    <xf numFmtId="0" fontId="20" fillId="11" borderId="0" xfId="0" applyFont="1" applyFill="1" applyAlignment="1">
      <alignment horizontal="center" vertical="center"/>
    </xf>
    <xf numFmtId="0" fontId="20" fillId="19" borderId="0" xfId="0" applyFont="1" applyFill="1" applyAlignment="1">
      <alignment horizontal="center" vertical="center"/>
    </xf>
    <xf numFmtId="0" fontId="1" fillId="0" borderId="0" xfId="0" applyFont="1" applyAlignment="1">
      <alignment horizontal="center" vertical="center"/>
    </xf>
    <xf numFmtId="178" fontId="17" fillId="24" borderId="0" xfId="0" applyNumberFormat="1" applyFont="1" applyFill="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2" fillId="21" borderId="2" xfId="0" applyFont="1" applyFill="1" applyBorder="1" applyAlignment="1">
      <alignment horizontal="center" vertical="center"/>
    </xf>
    <xf numFmtId="0" fontId="12" fillId="21" borderId="2"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15" fillId="0" borderId="0" xfId="3" applyFont="1" applyFill="1" applyBorder="1" applyAlignment="1">
      <alignment horizontal="center" vertical="center"/>
    </xf>
    <xf numFmtId="0" fontId="15" fillId="0" borderId="0" xfId="0" applyFont="1" applyFill="1" applyAlignment="1">
      <alignment horizontal="center" vertical="center"/>
    </xf>
    <xf numFmtId="0" fontId="15" fillId="0" borderId="0" xfId="3" applyFont="1" applyFill="1" applyAlignment="1">
      <alignment horizontal="center" vertical="center"/>
    </xf>
    <xf numFmtId="0" fontId="15" fillId="0" borderId="0" xfId="0" applyFont="1" applyFill="1" applyBorder="1" applyAlignment="1">
      <alignment horizontal="center" vertical="center"/>
    </xf>
    <xf numFmtId="0" fontId="21" fillId="0" borderId="0" xfId="0" applyFont="1" applyFill="1" applyAlignment="1">
      <alignment horizontal="center" vertical="center"/>
    </xf>
    <xf numFmtId="0" fontId="15" fillId="0" borderId="0" xfId="0" applyFont="1" applyFill="1">
      <alignment vertical="center"/>
    </xf>
    <xf numFmtId="176" fontId="15" fillId="0" borderId="0" xfId="0" applyNumberFormat="1" applyFont="1" applyFill="1" applyAlignment="1">
      <alignment horizontal="right"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51" fillId="0" borderId="0" xfId="0" applyFont="1" applyFill="1">
      <alignment vertical="center"/>
    </xf>
    <xf numFmtId="0" fontId="12"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vertical="center"/>
    </xf>
    <xf numFmtId="0" fontId="20" fillId="8" borderId="0" xfId="0" applyFont="1" applyFill="1" applyBorder="1" applyAlignment="1">
      <alignment horizontal="center" vertical="center"/>
    </xf>
    <xf numFmtId="0" fontId="20" fillId="8" borderId="0" xfId="0" applyFont="1" applyFill="1" applyBorder="1">
      <alignment vertical="center"/>
    </xf>
    <xf numFmtId="0" fontId="1" fillId="0" borderId="0" xfId="0" applyFont="1" applyBorder="1" applyAlignment="1">
      <alignment horizontal="left" vertical="center"/>
    </xf>
    <xf numFmtId="0" fontId="33" fillId="3" borderId="0" xfId="0" applyFont="1" applyFill="1" applyBorder="1" applyAlignment="1">
      <alignment horizontal="center" vertical="center"/>
    </xf>
    <xf numFmtId="0" fontId="20" fillId="8" borderId="0" xfId="0" applyFont="1" applyFill="1" applyBorder="1" applyAlignment="1">
      <alignment horizontal="left" vertical="center"/>
    </xf>
    <xf numFmtId="0" fontId="1" fillId="0" borderId="0" xfId="0" applyFont="1" applyAlignment="1">
      <alignment horizontal="center" vertical="center"/>
    </xf>
    <xf numFmtId="0" fontId="12" fillId="3" borderId="0" xfId="0" applyFont="1" applyFill="1" applyAlignment="1">
      <alignment horizontal="center" vertical="center"/>
    </xf>
    <xf numFmtId="0" fontId="1" fillId="3" borderId="0" xfId="0" applyFont="1" applyFill="1" applyAlignment="1">
      <alignment horizontal="center" vertical="center"/>
    </xf>
    <xf numFmtId="0" fontId="21" fillId="3" borderId="0" xfId="0" applyFont="1" applyFill="1" applyAlignment="1">
      <alignment horizontal="center" vertical="center"/>
    </xf>
    <xf numFmtId="0" fontId="37" fillId="3" borderId="0" xfId="0" applyFont="1" applyFill="1" applyAlignment="1">
      <alignment horizontal="left" vertical="center"/>
    </xf>
    <xf numFmtId="0" fontId="37" fillId="0" borderId="0" xfId="0" applyFont="1" applyFill="1" applyBorder="1" applyAlignment="1">
      <alignment horizontal="left" vertical="center"/>
    </xf>
    <xf numFmtId="0" fontId="49" fillId="0" borderId="0" xfId="0" applyFont="1" applyFill="1" applyAlignment="1">
      <alignment horizontal="center" vertical="center"/>
    </xf>
    <xf numFmtId="0" fontId="12" fillId="0" borderId="0" xfId="0" applyFont="1" applyBorder="1" applyAlignment="1">
      <alignment horizontal="center" vertical="center"/>
    </xf>
    <xf numFmtId="0" fontId="49" fillId="0" borderId="0" xfId="0" applyFont="1" applyBorder="1" applyAlignment="1">
      <alignment horizontal="center" vertical="center"/>
    </xf>
    <xf numFmtId="0" fontId="12" fillId="3" borderId="0" xfId="0" applyFont="1" applyFill="1" applyAlignment="1">
      <alignment horizontal="center" vertical="center"/>
    </xf>
    <xf numFmtId="0" fontId="15" fillId="3" borderId="0" xfId="0" applyFont="1" applyFill="1" applyAlignment="1">
      <alignment horizontal="center" vertical="center"/>
    </xf>
    <xf numFmtId="0" fontId="1" fillId="3" borderId="0" xfId="0" applyFont="1" applyFill="1" applyAlignment="1">
      <alignment horizontal="center" vertical="center"/>
    </xf>
    <xf numFmtId="0" fontId="20" fillId="7" borderId="0" xfId="0" applyFont="1" applyFill="1" applyAlignment="1">
      <alignment horizontal="center" vertical="center"/>
    </xf>
    <xf numFmtId="0" fontId="21" fillId="3" borderId="0" xfId="0" applyFont="1" applyFill="1" applyAlignment="1">
      <alignment horizontal="center" vertical="center"/>
    </xf>
    <xf numFmtId="0" fontId="1" fillId="0" borderId="0" xfId="0" applyFont="1" applyFill="1" applyBorder="1" applyAlignment="1">
      <alignment horizontal="left" vertical="center"/>
    </xf>
    <xf numFmtId="0" fontId="52" fillId="3" borderId="0" xfId="0" applyFont="1" applyFill="1" applyBorder="1" applyAlignment="1">
      <alignment horizontal="left" vertical="center"/>
    </xf>
    <xf numFmtId="0" fontId="1" fillId="30" borderId="0" xfId="0" applyFont="1" applyFill="1" applyAlignment="1">
      <alignment horizontal="center" vertical="center"/>
    </xf>
    <xf numFmtId="0" fontId="12" fillId="30" borderId="0" xfId="0" applyFont="1" applyFill="1" applyAlignment="1">
      <alignment horizontal="left" vertical="center"/>
    </xf>
    <xf numFmtId="0" fontId="1" fillId="2" borderId="0" xfId="0" applyFont="1" applyFill="1" applyAlignment="1">
      <alignment horizontal="left" vertical="center"/>
    </xf>
    <xf numFmtId="0" fontId="12" fillId="30" borderId="0" xfId="0" applyFont="1" applyFill="1" applyAlignment="1">
      <alignment horizontal="center" vertical="center"/>
    </xf>
    <xf numFmtId="0" fontId="1" fillId="2" borderId="0" xfId="0" applyFont="1" applyFill="1" applyAlignment="1">
      <alignment horizontal="center" vertical="center"/>
    </xf>
    <xf numFmtId="0" fontId="1" fillId="16" borderId="0" xfId="0" applyFont="1" applyFill="1" applyAlignment="1">
      <alignment horizontal="left" vertical="center"/>
    </xf>
    <xf numFmtId="0" fontId="1" fillId="16" borderId="0" xfId="0" applyFont="1" applyFill="1" applyAlignment="1">
      <alignment horizontal="center" vertical="center"/>
    </xf>
    <xf numFmtId="0" fontId="20" fillId="31" borderId="0" xfId="0" applyFont="1" applyFill="1" applyAlignment="1">
      <alignment horizontal="center" vertical="center"/>
    </xf>
    <xf numFmtId="0" fontId="20" fillId="31" borderId="0" xfId="0" applyFont="1" applyFill="1" applyAlignment="1">
      <alignment horizontal="left" vertical="center"/>
    </xf>
    <xf numFmtId="0" fontId="20" fillId="7" borderId="0" xfId="0" applyFont="1" applyFill="1" applyAlignment="1">
      <alignment horizontal="left" vertical="center"/>
    </xf>
    <xf numFmtId="0" fontId="52" fillId="3" borderId="0" xfId="0" applyFont="1" applyFill="1">
      <alignment vertical="center"/>
    </xf>
    <xf numFmtId="181" fontId="1" fillId="3" borderId="0" xfId="0" applyNumberFormat="1" applyFont="1" applyFill="1" applyAlignment="1">
      <alignment horizontal="center" vertical="center"/>
    </xf>
    <xf numFmtId="0" fontId="39" fillId="3" borderId="0" xfId="0" applyFont="1" applyFill="1" applyBorder="1" applyAlignment="1">
      <alignment horizontal="center" vertical="center"/>
    </xf>
    <xf numFmtId="0" fontId="15" fillId="3" borderId="0" xfId="0" applyFont="1" applyFill="1" applyBorder="1" applyAlignment="1">
      <alignment horizontal="center" vertical="center"/>
    </xf>
    <xf numFmtId="0" fontId="21" fillId="3" borderId="0" xfId="0" applyFont="1" applyFill="1" applyBorder="1" applyAlignment="1">
      <alignment horizontal="center" vertical="center"/>
    </xf>
    <xf numFmtId="0" fontId="50" fillId="3" borderId="0" xfId="0" applyFont="1" applyFill="1" applyAlignment="1">
      <alignment horizontal="center" vertical="center"/>
    </xf>
    <xf numFmtId="181" fontId="53" fillId="3" borderId="0" xfId="0" applyNumberFormat="1" applyFont="1" applyFill="1" applyAlignment="1">
      <alignment horizontal="center" vertical="center"/>
    </xf>
    <xf numFmtId="9" fontId="1" fillId="3" borderId="0" xfId="1" applyFont="1" applyFill="1" applyAlignment="1">
      <alignment horizontal="center" vertical="center"/>
    </xf>
    <xf numFmtId="0" fontId="1" fillId="7" borderId="0" xfId="0" applyFont="1" applyFill="1" applyBorder="1" applyAlignment="1">
      <alignment horizontal="center" vertical="center"/>
    </xf>
    <xf numFmtId="9" fontId="5" fillId="3" borderId="0" xfId="1" applyFont="1" applyFill="1" applyAlignment="1">
      <alignment horizontal="center" vertical="center"/>
    </xf>
    <xf numFmtId="0" fontId="29" fillId="2" borderId="0" xfId="0" applyFont="1" applyFill="1">
      <alignment vertical="center"/>
    </xf>
    <xf numFmtId="0" fontId="3" fillId="2" borderId="0" xfId="0" applyFont="1" applyFill="1">
      <alignment vertical="center"/>
    </xf>
    <xf numFmtId="0" fontId="29" fillId="2" borderId="0" xfId="0" applyFont="1" applyFill="1" applyBorder="1">
      <alignment vertical="center"/>
    </xf>
    <xf numFmtId="0" fontId="3" fillId="2" borderId="0" xfId="0" applyFont="1" applyFill="1" applyBorder="1">
      <alignment vertical="center"/>
    </xf>
    <xf numFmtId="0" fontId="5" fillId="2" borderId="0" xfId="0" applyFont="1" applyFill="1" applyBorder="1">
      <alignment vertical="center"/>
    </xf>
    <xf numFmtId="0" fontId="5" fillId="2" borderId="0" xfId="0" applyFont="1" applyFill="1" applyBorder="1" applyAlignment="1">
      <alignment horizontal="left" vertical="top"/>
    </xf>
    <xf numFmtId="0" fontId="12" fillId="2" borderId="0" xfId="0" applyFont="1" applyFill="1" applyBorder="1">
      <alignment vertical="center"/>
    </xf>
    <xf numFmtId="0" fontId="30" fillId="12" borderId="0" xfId="2" applyFont="1" applyFill="1" applyAlignment="1">
      <alignment horizontal="left" vertical="center"/>
    </xf>
    <xf numFmtId="178" fontId="5" fillId="0" borderId="0" xfId="0" applyNumberFormat="1" applyFont="1" applyAlignment="1">
      <alignment horizontal="right" vertical="center"/>
    </xf>
    <xf numFmtId="178" fontId="5" fillId="0" borderId="0" xfId="0" applyNumberFormat="1" applyFont="1">
      <alignment vertical="center"/>
    </xf>
    <xf numFmtId="178" fontId="36" fillId="0" borderId="0" xfId="0" applyNumberFormat="1" applyFont="1" applyFill="1" applyAlignment="1">
      <alignment horizontal="right" vertical="center"/>
    </xf>
    <xf numFmtId="178" fontId="5" fillId="0" borderId="0" xfId="0" applyNumberFormat="1" applyFont="1" applyFill="1" applyAlignment="1">
      <alignment horizontal="right" vertical="center"/>
    </xf>
    <xf numFmtId="178" fontId="36" fillId="0" borderId="0" xfId="0" applyNumberFormat="1" applyFont="1" applyAlignment="1">
      <alignment horizontal="right" vertical="center"/>
    </xf>
    <xf numFmtId="178" fontId="1" fillId="24" borderId="0" xfId="0" applyNumberFormat="1" applyFont="1" applyFill="1" applyAlignment="1">
      <alignment horizontal="center" vertical="center"/>
    </xf>
    <xf numFmtId="0" fontId="6" fillId="3" borderId="0" xfId="0" applyFont="1" applyFill="1" applyAlignment="1">
      <alignment horizontal="left" vertical="center"/>
    </xf>
    <xf numFmtId="0" fontId="24" fillId="3" borderId="0" xfId="0" applyFont="1" applyFill="1" applyAlignment="1">
      <alignment horizontal="left" vertical="center"/>
    </xf>
    <xf numFmtId="0" fontId="28" fillId="12" borderId="0" xfId="0" applyFont="1" applyFill="1" applyBorder="1">
      <alignment vertical="center"/>
    </xf>
    <xf numFmtId="0" fontId="1" fillId="3" borderId="0" xfId="0" applyFont="1" applyFill="1" applyAlignment="1">
      <alignment horizontal="center" vertical="center"/>
    </xf>
    <xf numFmtId="0" fontId="5" fillId="2" borderId="0" xfId="0" applyFont="1" applyFill="1" applyBorder="1" applyAlignment="1">
      <alignment horizontal="center" vertical="center"/>
    </xf>
    <xf numFmtId="0" fontId="5" fillId="32" borderId="2" xfId="0" applyFont="1" applyFill="1" applyBorder="1">
      <alignment vertical="center"/>
    </xf>
    <xf numFmtId="0" fontId="1" fillId="0" borderId="0" xfId="0" applyFont="1" applyAlignment="1">
      <alignment horizontal="center" vertical="center"/>
    </xf>
    <xf numFmtId="0" fontId="12"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30" fillId="12" borderId="0" xfId="2" applyFont="1" applyFill="1" applyBorder="1" applyAlignment="1">
      <alignment horizontal="left" vertical="center"/>
    </xf>
    <xf numFmtId="0" fontId="30" fillId="12" borderId="0" xfId="2" applyFont="1" applyFill="1" applyAlignment="1">
      <alignment horizontal="left" vertical="center"/>
    </xf>
    <xf numFmtId="0" fontId="1" fillId="2" borderId="0" xfId="0" applyFont="1" applyFill="1" applyBorder="1" applyAlignment="1">
      <alignment horizontal="left" vertical="top" wrapText="1"/>
    </xf>
    <xf numFmtId="0" fontId="20" fillId="13" borderId="0" xfId="0" applyFont="1" applyFill="1" applyAlignment="1">
      <alignment horizontal="center" vertical="center"/>
    </xf>
    <xf numFmtId="0" fontId="12" fillId="3" borderId="0" xfId="0" applyFont="1" applyFill="1" applyAlignment="1">
      <alignment horizontal="center" vertical="center"/>
    </xf>
    <xf numFmtId="0" fontId="15" fillId="3" borderId="0" xfId="0" applyFont="1" applyFill="1" applyAlignment="1">
      <alignment horizontal="center" vertical="center"/>
    </xf>
    <xf numFmtId="0" fontId="1" fillId="3" borderId="0" xfId="0" applyFont="1" applyFill="1" applyAlignment="1">
      <alignment horizontal="center" vertical="center"/>
    </xf>
    <xf numFmtId="0" fontId="20" fillId="17" borderId="0" xfId="0" applyFont="1" applyFill="1" applyAlignment="1">
      <alignment horizontal="center" vertical="center"/>
    </xf>
    <xf numFmtId="0" fontId="20" fillId="8" borderId="0" xfId="0" applyFont="1" applyFill="1" applyAlignment="1">
      <alignment horizontal="center" vertical="center"/>
    </xf>
    <xf numFmtId="0" fontId="20" fillId="10" borderId="0" xfId="0" applyFont="1" applyFill="1" applyAlignment="1">
      <alignment horizontal="center" vertical="center"/>
    </xf>
    <xf numFmtId="0" fontId="12" fillId="9" borderId="0" xfId="0" applyFont="1" applyFill="1" applyAlignment="1">
      <alignment horizontal="center" vertical="center"/>
    </xf>
    <xf numFmtId="0" fontId="20" fillId="7" borderId="0" xfId="0" applyFont="1" applyFill="1" applyAlignment="1">
      <alignment horizontal="center" vertical="center"/>
    </xf>
    <xf numFmtId="0" fontId="20" fillId="15" borderId="0" xfId="0" applyFont="1" applyFill="1" applyAlignment="1">
      <alignment horizontal="center" vertical="center"/>
    </xf>
    <xf numFmtId="0" fontId="20" fillId="11" borderId="0" xfId="0" applyFont="1" applyFill="1" applyAlignment="1">
      <alignment horizontal="center" vertical="center"/>
    </xf>
    <xf numFmtId="0" fontId="20" fillId="19" borderId="0" xfId="0" applyFont="1" applyFill="1" applyAlignment="1">
      <alignment horizontal="center" vertical="center"/>
    </xf>
    <xf numFmtId="0" fontId="20" fillId="20" borderId="0" xfId="0" applyFont="1" applyFill="1" applyAlignment="1">
      <alignment horizontal="center" vertical="center"/>
    </xf>
    <xf numFmtId="0" fontId="21" fillId="3" borderId="0" xfId="0" applyFont="1" applyFill="1" applyAlignment="1">
      <alignment horizontal="center" vertical="center"/>
    </xf>
    <xf numFmtId="0" fontId="21" fillId="0" borderId="0" xfId="0" applyFont="1" applyFill="1" applyBorder="1" applyAlignment="1">
      <alignment horizontal="center" vertical="center"/>
    </xf>
  </cellXfs>
  <cellStyles count="4">
    <cellStyle name="一般" xfId="0" builtinId="0"/>
    <cellStyle name="百分比" xfId="1" builtinId="5"/>
    <cellStyle name="超連結" xfId="2" builtinId="8"/>
    <cellStyle name="壞" xfId="3" builtinId="27"/>
  </cellStyles>
  <dxfs count="664">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EFDDDD"/>
        </patternFill>
      </fill>
    </dxf>
    <dxf>
      <font>
        <b/>
        <i val="0"/>
        <color theme="1"/>
      </font>
    </dxf>
    <dxf>
      <font>
        <b/>
        <i val="0"/>
        <color theme="1"/>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b/>
        <i val="0"/>
        <color rgb="FF9C0006"/>
      </font>
    </dxf>
    <dxf>
      <font>
        <color rgb="FF9C0006"/>
      </font>
    </dxf>
    <dxf>
      <font>
        <b/>
        <i val="0"/>
        <color rgb="FF9C0006"/>
      </font>
    </dxf>
    <dxf>
      <fill>
        <patternFill>
          <bgColor rgb="FFDDEBF7"/>
        </patternFill>
      </fill>
    </dxf>
    <dxf>
      <fill>
        <patternFill>
          <bgColor rgb="FFFFFFCC"/>
        </patternFill>
      </fill>
    </dxf>
    <dxf>
      <fill>
        <patternFill>
          <bgColor rgb="FFF7EDED"/>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ill>
        <patternFill>
          <bgColor rgb="FFFF9999"/>
        </patternFill>
      </fill>
    </dxf>
    <dxf>
      <font>
        <b/>
        <i val="0"/>
        <color theme="0"/>
      </font>
      <fill>
        <patternFill>
          <bgColor rgb="FFFF0000"/>
        </patternFill>
      </fill>
    </dxf>
    <dxf>
      <fill>
        <patternFill>
          <bgColor rgb="FFFF9999"/>
        </patternFill>
      </fill>
    </dxf>
    <dxf>
      <fill>
        <patternFill>
          <bgColor rgb="FFFF9999"/>
        </patternFill>
      </fill>
    </dxf>
    <dxf>
      <font>
        <b/>
        <i val="0"/>
        <color theme="0"/>
      </font>
      <fill>
        <patternFill>
          <bgColor rgb="FFFF0000"/>
        </patternFill>
      </fill>
    </dxf>
    <dxf>
      <fill>
        <patternFill>
          <bgColor rgb="FFFF9999"/>
        </patternFill>
      </fill>
    </dxf>
    <dxf>
      <fill>
        <patternFill>
          <bgColor rgb="FFFF9999"/>
        </patternFill>
      </fill>
    </dxf>
    <dxf>
      <fill>
        <patternFill>
          <bgColor rgb="FFFF9999"/>
        </patternFill>
      </fill>
    </dxf>
    <dxf>
      <font>
        <b/>
        <i val="0"/>
        <color theme="0"/>
      </font>
      <fill>
        <patternFill>
          <bgColor rgb="FFFF0000"/>
        </patternFill>
      </fill>
    </dxf>
    <dxf>
      <fill>
        <patternFill>
          <bgColor rgb="FFFF9999"/>
        </patternFill>
      </fill>
    </dxf>
    <dxf>
      <font>
        <b/>
        <i val="0"/>
        <color theme="0"/>
      </font>
      <fill>
        <patternFill>
          <bgColor rgb="FFFF0000"/>
        </patternFill>
      </fill>
    </dxf>
    <dxf>
      <fill>
        <patternFill>
          <bgColor rgb="FFFF9999"/>
        </patternFill>
      </fill>
    </dxf>
    <dxf>
      <fill>
        <patternFill>
          <bgColor rgb="FFEFDDDD"/>
        </patternFill>
      </fill>
    </dxf>
    <dxf>
      <font>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fgColor indexed="64"/>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b/>
        <i val="0"/>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patternFill>
      </fill>
    </dxf>
    <dxf>
      <fill>
        <patternFill patternType="solid">
          <fgColor auto="1"/>
          <bgColor rgb="FFECE9D8"/>
        </patternFill>
      </fill>
    </dxf>
    <dxf>
      <fill>
        <patternFill>
          <bgColor theme="7" tint="0.79998168889431442"/>
        </patternFill>
      </fill>
    </dxf>
    <dxf>
      <font>
        <b/>
        <i val="0"/>
        <color theme="1"/>
      </font>
    </dxf>
    <dxf>
      <font>
        <b/>
        <i val="0"/>
        <color theme="1"/>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patternFill>
      </fill>
    </dxf>
    <dxf>
      <fill>
        <patternFill patternType="solid">
          <fgColor auto="1"/>
          <bgColor rgb="FFECE9D8"/>
        </patternFill>
      </fill>
    </dxf>
    <dxf>
      <fill>
        <patternFill>
          <bgColor rgb="FFE2EFDA"/>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1"/>
      </font>
    </dxf>
    <dxf>
      <font>
        <b/>
        <i val="0"/>
        <color theme="1"/>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E2EFDA"/>
        </patternFill>
      </fill>
    </dxf>
    <dxf>
      <fill>
        <patternFill>
          <bgColor theme="0"/>
        </patternFill>
      </fill>
    </dxf>
    <dxf>
      <fill>
        <patternFill patternType="solid">
          <fgColor auto="1"/>
          <bgColor rgb="FFECE9D8"/>
        </patternFill>
      </fill>
    </dxf>
    <dxf>
      <fill>
        <patternFill>
          <bgColor rgb="FFE2EFDA"/>
        </patternFill>
      </fill>
    </dxf>
    <dxf>
      <fill>
        <patternFill>
          <bgColor rgb="FFE2EFDA"/>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strike val="0"/>
        <color auto="1"/>
      </font>
      <numFmt numFmtId="0" formatCode="Genera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patternFill>
      </fill>
    </dxf>
    <dxf>
      <fill>
        <patternFill patternType="solid">
          <fgColor auto="1"/>
          <bgColor rgb="FFECE9D8"/>
        </patternFill>
      </fill>
    </dxf>
    <dxf>
      <fill>
        <patternFill>
          <bgColor rgb="FFD9D9D9"/>
        </patternFill>
      </fill>
    </dxf>
    <dxf>
      <font>
        <b/>
        <i val="0"/>
        <color theme="1"/>
      </font>
    </dxf>
    <dxf>
      <font>
        <b/>
        <i val="0"/>
        <color theme="1"/>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patternFill>
      </fill>
    </dxf>
    <dxf>
      <fill>
        <patternFill patternType="solid">
          <fgColor auto="1"/>
          <bgColor rgb="FFECE9D8"/>
        </patternFill>
      </fill>
    </dxf>
    <dxf>
      <fill>
        <patternFill>
          <bgColor rgb="FFDDEBF7"/>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1"/>
      </font>
    </dxf>
    <dxf>
      <font>
        <b/>
        <i val="0"/>
        <color theme="1"/>
      </font>
    </dxf>
    <dxf>
      <font>
        <b/>
        <i val="0"/>
        <strike val="0"/>
        <color auto="1"/>
      </font>
      <numFmt numFmtId="0" formatCode="Genera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b/>
        <i val="0"/>
        <strike val="0"/>
        <color auto="1"/>
      </font>
      <numFmt numFmtId="0" formatCode="Genera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DDEBF7"/>
        </patternFill>
      </fill>
    </dxf>
    <dxf>
      <fill>
        <patternFill>
          <bgColor rgb="FFFFEBFF"/>
        </patternFill>
      </fill>
    </dxf>
    <dxf>
      <fill>
        <patternFill>
          <bgColor rgb="FFDDEBF7"/>
        </patternFill>
      </fill>
    </dxf>
    <dxf>
      <fill>
        <patternFill>
          <bgColor rgb="FFFFE5E5"/>
        </patternFill>
      </fill>
    </dxf>
    <dxf>
      <fill>
        <patternFill>
          <bgColor theme="9" tint="0.79998168889431442"/>
        </patternFill>
      </fill>
    </dxf>
    <dxf>
      <fill>
        <patternFill>
          <bgColor rgb="FFFAE1FF"/>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patternFill>
      </fill>
    </dxf>
    <dxf>
      <fill>
        <patternFill>
          <bgColor rgb="FFDDEBF7"/>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DDEBF7"/>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DDEBF7"/>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FFCC"/>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patternFill>
      </fill>
    </dxf>
    <dxf>
      <fill>
        <patternFill>
          <bgColor rgb="FFFFFFCC"/>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b/>
        <i val="0"/>
        <strike val="0"/>
        <color auto="1"/>
      </font>
      <numFmt numFmtId="0" formatCode="Genera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EFDDDD"/>
        </patternFill>
      </fill>
    </dxf>
    <dxf>
      <fill>
        <patternFill>
          <bgColor theme="0"/>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fgColor auto="1"/>
          <bgColor rgb="FFECE9D8"/>
        </patternFill>
      </fill>
    </dxf>
    <dxf>
      <font>
        <b/>
        <i val="0"/>
        <color theme="1"/>
      </font>
    </dxf>
    <dxf>
      <font>
        <b/>
        <i val="0"/>
        <color theme="1"/>
      </font>
    </dxf>
    <dxf>
      <font>
        <b/>
        <i val="0"/>
        <color theme="1"/>
      </font>
    </dxf>
    <dxf>
      <font>
        <b/>
        <i val="0"/>
        <color theme="1"/>
      </font>
    </dxf>
    <dxf>
      <font>
        <b/>
        <i val="0"/>
        <color theme="1"/>
      </font>
    </dxf>
    <dxf>
      <font>
        <b/>
        <i val="0"/>
        <color theme="1"/>
      </font>
    </dxf>
    <dxf>
      <font>
        <b/>
        <i val="0"/>
        <color theme="1"/>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1"/>
      </font>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EBFF"/>
        </patternFill>
      </fill>
    </dxf>
    <dxf>
      <fill>
        <patternFill>
          <bgColor theme="0"/>
        </patternFill>
      </fill>
    </dxf>
    <dxf>
      <fill>
        <patternFill>
          <bgColor rgb="FFFFEBFF"/>
        </patternFill>
      </fill>
    </dxf>
    <dxf>
      <fill>
        <patternFill>
          <bgColor theme="0"/>
        </patternFill>
      </fill>
    </dxf>
    <dxf>
      <fill>
        <patternFill>
          <bgColor theme="0"/>
        </patternFill>
      </fill>
    </dxf>
    <dxf>
      <fill>
        <patternFill>
          <bgColor theme="0"/>
        </patternFill>
      </fill>
    </dxf>
    <dxf>
      <fill>
        <patternFill>
          <bgColor rgb="FFFFEBFF"/>
        </patternFill>
      </fill>
    </dxf>
    <dxf>
      <font>
        <color rgb="FFFF6D6D"/>
      </font>
      <fill>
        <patternFill>
          <bgColor rgb="FFFF6D6D"/>
        </patternFill>
      </fill>
    </dxf>
    <dxf>
      <font>
        <color rgb="FF86C46A"/>
      </font>
      <fill>
        <patternFill>
          <bgColor rgb="FF86C46A"/>
        </patternFill>
      </fill>
    </dxf>
    <dxf>
      <font>
        <color rgb="FFEED43A"/>
      </font>
      <fill>
        <patternFill>
          <bgColor rgb="FFEED43A"/>
        </patternFill>
      </fill>
    </dxf>
    <dxf>
      <font>
        <b/>
        <i val="0"/>
        <color theme="1"/>
      </font>
    </dxf>
    <dxf>
      <font>
        <b/>
        <i val="0"/>
        <color theme="1"/>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theme="9" tint="0.39994506668294322"/>
        </patternFill>
      </fill>
    </dxf>
    <dxf>
      <font>
        <color rgb="FFE7E6E6"/>
      </font>
    </dxf>
    <dxf>
      <font>
        <color rgb="FFF2F2F2"/>
      </font>
    </dxf>
    <dxf>
      <numFmt numFmtId="182" formatCode="0.0%"/>
    </dxf>
    <dxf>
      <font>
        <color theme="9" tint="0.79998168889431442"/>
      </font>
      <fill>
        <patternFill>
          <bgColor theme="9"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theme="2"/>
      </font>
    </dxf>
    <dxf>
      <font>
        <color theme="2"/>
      </font>
    </dxf>
    <dxf>
      <font>
        <color theme="2"/>
      </font>
    </dxf>
    <dxf>
      <font>
        <color them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ont>
        <color theme="0" tint="-4.9989318521683403E-2"/>
      </font>
    </dxf>
    <dxf>
      <fill>
        <patternFill>
          <bgColor theme="0"/>
        </patternFill>
      </fill>
    </dxf>
    <dxf>
      <fill>
        <patternFill>
          <bgColor theme="0" tint="-4.9989318521683403E-2"/>
        </patternFill>
      </fill>
    </dxf>
    <dxf>
      <fill>
        <patternFill>
          <bgColor theme="6" tint="0.39994506668294322"/>
        </patternFill>
      </fill>
    </dxf>
    <dxf>
      <fill>
        <patternFill>
          <bgColor theme="6" tint="0.59996337778862885"/>
        </patternFill>
      </fill>
    </dxf>
    <dxf>
      <fill>
        <patternFill>
          <bgColor theme="9" tint="0.39994506668294322"/>
        </patternFill>
      </fill>
    </dxf>
    <dxf>
      <fill>
        <patternFill>
          <bgColor theme="2"/>
        </patternFill>
      </fill>
    </dxf>
    <dxf>
      <font>
        <color rgb="FF006100"/>
      </font>
      <fill>
        <patternFill>
          <bgColor rgb="FF79DD79"/>
        </patternFill>
      </fill>
    </dxf>
    <dxf>
      <font>
        <color rgb="FF9C0006"/>
      </font>
      <fill>
        <patternFill>
          <bgColor rgb="FFFFC7CE"/>
        </patternFill>
      </fill>
    </dxf>
    <dxf>
      <font>
        <color rgb="FFE1C30D"/>
      </font>
      <fill>
        <patternFill>
          <bgColor rgb="FFE1C30D"/>
        </patternFill>
      </fill>
    </dxf>
    <dxf>
      <font>
        <color rgb="FF00B050"/>
      </font>
      <fill>
        <patternFill>
          <bgColor rgb="FF00B050"/>
        </patternFill>
      </fill>
    </dxf>
    <dxf>
      <font>
        <color rgb="FFFF0000"/>
      </font>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7EDED"/>
      <color rgb="FF9933FF"/>
      <color rgb="FFDDEBF7"/>
      <color rgb="FFFFFFCC"/>
      <color rgb="FF6600CC"/>
      <color rgb="FFA9D08E"/>
      <color rgb="FFFF9999"/>
      <color rgb="FFFF7C80"/>
      <color rgb="FFA04310"/>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trlProps/ctrlProp1.xml><?xml version="1.0" encoding="utf-8"?>
<formControlPr xmlns="http://schemas.microsoft.com/office/spreadsheetml/2009/9/main" objectType="CheckBox" fmlaLink="計分版!$I$19" lockText="1" noThreeD="1"/>
</file>

<file path=xl/ctrlProps/ctrlProp10.xml><?xml version="1.0" encoding="utf-8"?>
<formControlPr xmlns="http://schemas.microsoft.com/office/spreadsheetml/2009/9/main" objectType="CheckBox" fmlaLink="計分版!K15" lockText="1" noThreeD="1"/>
</file>

<file path=xl/ctrlProps/ctrlProp11.xml><?xml version="1.0" encoding="utf-8"?>
<formControlPr xmlns="http://schemas.microsoft.com/office/spreadsheetml/2009/9/main" objectType="CheckBox" fmlaLink="計分版!L15" lockText="1" noThreeD="1"/>
</file>

<file path=xl/ctrlProps/ctrlProp12.xml><?xml version="1.0" encoding="utf-8"?>
<formControlPr xmlns="http://schemas.microsoft.com/office/spreadsheetml/2009/9/main" objectType="CheckBox" fmlaLink="計分版!M15" lockText="1" noThreeD="1"/>
</file>

<file path=xl/ctrlProps/ctrlProp13.xml><?xml version="1.0" encoding="utf-8"?>
<formControlPr xmlns="http://schemas.microsoft.com/office/spreadsheetml/2009/9/main" objectType="CheckBox" fmlaLink="計分版!N15" lockText="1" noThreeD="1"/>
</file>

<file path=xl/ctrlProps/ctrlProp14.xml><?xml version="1.0" encoding="utf-8"?>
<formControlPr xmlns="http://schemas.microsoft.com/office/spreadsheetml/2009/9/main" objectType="CheckBox" fmlaLink="計分版!E15" lockText="1" noThreeD="1"/>
</file>

<file path=xl/ctrlProps/ctrlProp15.xml><?xml version="1.0" encoding="utf-8"?>
<formControlPr xmlns="http://schemas.microsoft.com/office/spreadsheetml/2009/9/main" objectType="CheckBox" fmlaLink="計分版!F15" lockText="1" noThreeD="1"/>
</file>

<file path=xl/ctrlProps/ctrlProp16.xml><?xml version="1.0" encoding="utf-8"?>
<formControlPr xmlns="http://schemas.microsoft.com/office/spreadsheetml/2009/9/main" objectType="CheckBox" fmlaLink="計分版!G15" lockText="1" noThreeD="1"/>
</file>

<file path=xl/ctrlProps/ctrlProp17.xml><?xml version="1.0" encoding="utf-8"?>
<formControlPr xmlns="http://schemas.microsoft.com/office/spreadsheetml/2009/9/main" objectType="CheckBox" fmlaLink="計分版!H15" lockText="1" noThreeD="1"/>
</file>

<file path=xl/ctrlProps/ctrlProp18.xml><?xml version="1.0" encoding="utf-8"?>
<formControlPr xmlns="http://schemas.microsoft.com/office/spreadsheetml/2009/9/main" objectType="CheckBox" fmlaLink="計分版!I15" lockText="1" noThreeD="1"/>
</file>

<file path=xl/ctrlProps/ctrlProp19.xml><?xml version="1.0" encoding="utf-8"?>
<formControlPr xmlns="http://schemas.microsoft.com/office/spreadsheetml/2009/9/main" objectType="CheckBox" fmlaLink="計分版!J15" lockText="1" noThreeD="1"/>
</file>

<file path=xl/ctrlProps/ctrlProp2.xml><?xml version="1.0" encoding="utf-8"?>
<formControlPr xmlns="http://schemas.microsoft.com/office/spreadsheetml/2009/9/main" objectType="CheckBox" fmlaLink="計分版!$I$20" lockText="1" noThreeD="1"/>
</file>

<file path=xl/ctrlProps/ctrlProp20.xml><?xml version="1.0" encoding="utf-8"?>
<formControlPr xmlns="http://schemas.microsoft.com/office/spreadsheetml/2009/9/main" objectType="CheckBox" fmlaLink="計分版!K15" lockText="1" noThreeD="1"/>
</file>

<file path=xl/ctrlProps/ctrlProp21.xml><?xml version="1.0" encoding="utf-8"?>
<formControlPr xmlns="http://schemas.microsoft.com/office/spreadsheetml/2009/9/main" objectType="CheckBox" fmlaLink="計分版!L15" lockText="1" noThreeD="1"/>
</file>

<file path=xl/ctrlProps/ctrlProp22.xml><?xml version="1.0" encoding="utf-8"?>
<formControlPr xmlns="http://schemas.microsoft.com/office/spreadsheetml/2009/9/main" objectType="CheckBox" fmlaLink="計分版!M15" lockText="1" noThreeD="1"/>
</file>

<file path=xl/ctrlProps/ctrlProp23.xml><?xml version="1.0" encoding="utf-8"?>
<formControlPr xmlns="http://schemas.microsoft.com/office/spreadsheetml/2009/9/main" objectType="CheckBox" fmlaLink="計分版!N15" lockText="1" noThreeD="1"/>
</file>

<file path=xl/ctrlProps/ctrlProp3.xml><?xml version="1.0" encoding="utf-8"?>
<formControlPr xmlns="http://schemas.microsoft.com/office/spreadsheetml/2009/9/main" objectType="CheckBox" checked="Checked" fmlaLink="'A123'!$A$1" lockText="1" noThreeD="1"/>
</file>

<file path=xl/ctrlProps/ctrlProp4.xml><?xml version="1.0" encoding="utf-8"?>
<formControlPr xmlns="http://schemas.microsoft.com/office/spreadsheetml/2009/9/main" objectType="CheckBox" fmlaLink="計分版!E15" lockText="1" noThreeD="1"/>
</file>

<file path=xl/ctrlProps/ctrlProp5.xml><?xml version="1.0" encoding="utf-8"?>
<formControlPr xmlns="http://schemas.microsoft.com/office/spreadsheetml/2009/9/main" objectType="CheckBox" fmlaLink="計分版!F15" lockText="1" noThreeD="1"/>
</file>

<file path=xl/ctrlProps/ctrlProp6.xml><?xml version="1.0" encoding="utf-8"?>
<formControlPr xmlns="http://schemas.microsoft.com/office/spreadsheetml/2009/9/main" objectType="CheckBox" fmlaLink="計分版!G15" lockText="1" noThreeD="1"/>
</file>

<file path=xl/ctrlProps/ctrlProp7.xml><?xml version="1.0" encoding="utf-8"?>
<formControlPr xmlns="http://schemas.microsoft.com/office/spreadsheetml/2009/9/main" objectType="CheckBox" fmlaLink="計分版!H15" lockText="1" noThreeD="1"/>
</file>

<file path=xl/ctrlProps/ctrlProp8.xml><?xml version="1.0" encoding="utf-8"?>
<formControlPr xmlns="http://schemas.microsoft.com/office/spreadsheetml/2009/9/main" objectType="CheckBox" fmlaLink="計分版!I15" lockText="1" noThreeD="1"/>
</file>

<file path=xl/ctrlProps/ctrlProp9.xml><?xml version="1.0" encoding="utf-8"?>
<formControlPr xmlns="http://schemas.microsoft.com/office/spreadsheetml/2009/9/main" objectType="CheckBox" fmlaLink="計分版!J15"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297180</xdr:colOff>
          <xdr:row>3</xdr:row>
          <xdr:rowOff>175260</xdr:rowOff>
        </xdr:from>
        <xdr:to>
          <xdr:col>8</xdr:col>
          <xdr:colOff>403860</xdr:colOff>
          <xdr:row>5</xdr:row>
          <xdr:rowOff>7620</xdr:rowOff>
        </xdr:to>
        <xdr:sp macro="" textlink="">
          <xdr:nvSpPr>
            <xdr:cNvPr id="1046" name="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zh-TW" altLang="en-US" sz="900" b="0" i="0" u="none" strike="noStrike" baseline="0">
                  <a:solidFill>
                    <a:srgbClr val="000000"/>
                  </a:solidFill>
                  <a:latin typeface="Microsoft JhengHei UI"/>
                  <a:ea typeface="Microsoft JhengHei UI"/>
                </a:rPr>
                <a:t>包括M1/2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236220</xdr:colOff>
          <xdr:row>3</xdr:row>
          <xdr:rowOff>152400</xdr:rowOff>
        </xdr:from>
        <xdr:to>
          <xdr:col>3</xdr:col>
          <xdr:colOff>60960</xdr:colOff>
          <xdr:row>5</xdr:row>
          <xdr:rowOff>0</xdr:rowOff>
        </xdr:to>
        <xdr:sp macro="" textlink="">
          <xdr:nvSpPr>
            <xdr:cNvPr id="1054" name="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zh-TW" altLang="en-US" sz="900" b="0" i="0" u="none" strike="noStrike" baseline="0">
                  <a:solidFill>
                    <a:srgbClr val="000000"/>
                  </a:solidFill>
                  <a:latin typeface="Microsoft JhengHei UI"/>
                  <a:ea typeface="Microsoft JhengHei UI"/>
                </a:rPr>
                <a:t>數字模式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144780</xdr:colOff>
          <xdr:row>10</xdr:row>
          <xdr:rowOff>175260</xdr:rowOff>
        </xdr:from>
        <xdr:to>
          <xdr:col>13</xdr:col>
          <xdr:colOff>335280</xdr:colOff>
          <xdr:row>12</xdr:row>
          <xdr:rowOff>30480</xdr:rowOff>
        </xdr:to>
        <xdr:sp macro="" textlink="">
          <xdr:nvSpPr>
            <xdr:cNvPr id="1056" name="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27432" rIns="0" bIns="27432" anchor="ctr" upright="1"/>
            <a:lstStyle/>
            <a:p>
              <a:pPr algn="l" rtl="0">
                <a:defRPr sz="1000"/>
              </a:pPr>
              <a:r>
                <a:rPr lang="zh-TW" altLang="en-US" sz="900" b="0" i="0" u="none" strike="noStrike" baseline="0">
                  <a:solidFill>
                    <a:srgbClr val="000000"/>
                  </a:solidFill>
                  <a:latin typeface="Microsoft JhengHei UI"/>
                  <a:ea typeface="Microsoft JhengHei UI"/>
                </a:rPr>
                <a:t>以百分比顯示差距</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27</xdr:row>
          <xdr:rowOff>182880</xdr:rowOff>
        </xdr:from>
        <xdr:to>
          <xdr:col>3</xdr:col>
          <xdr:colOff>312420</xdr:colOff>
          <xdr:row>29</xdr:row>
          <xdr:rowOff>22860</xdr:rowOff>
        </xdr:to>
        <xdr:sp macro="" textlink="">
          <xdr:nvSpPr>
            <xdr:cNvPr id="1071" name="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28</xdr:row>
          <xdr:rowOff>182880</xdr:rowOff>
        </xdr:from>
        <xdr:to>
          <xdr:col>3</xdr:col>
          <xdr:colOff>312420</xdr:colOff>
          <xdr:row>30</xdr:row>
          <xdr:rowOff>38100</xdr:rowOff>
        </xdr:to>
        <xdr:sp macro="" textlink="">
          <xdr:nvSpPr>
            <xdr:cNvPr id="1072" name="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29</xdr:row>
          <xdr:rowOff>182880</xdr:rowOff>
        </xdr:from>
        <xdr:to>
          <xdr:col>3</xdr:col>
          <xdr:colOff>312420</xdr:colOff>
          <xdr:row>31</xdr:row>
          <xdr:rowOff>38100</xdr:rowOff>
        </xdr:to>
        <xdr:sp macro="" textlink="">
          <xdr:nvSpPr>
            <xdr:cNvPr id="1073" name="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30</xdr:row>
          <xdr:rowOff>160020</xdr:rowOff>
        </xdr:from>
        <xdr:to>
          <xdr:col>3</xdr:col>
          <xdr:colOff>312420</xdr:colOff>
          <xdr:row>32</xdr:row>
          <xdr:rowOff>22860</xdr:rowOff>
        </xdr:to>
        <xdr:sp macro="" textlink="">
          <xdr:nvSpPr>
            <xdr:cNvPr id="1074" name=" 50"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121920</xdr:colOff>
          <xdr:row>31</xdr:row>
          <xdr:rowOff>175260</xdr:rowOff>
        </xdr:from>
        <xdr:to>
          <xdr:col>3</xdr:col>
          <xdr:colOff>327660</xdr:colOff>
          <xdr:row>33</xdr:row>
          <xdr:rowOff>38100</xdr:rowOff>
        </xdr:to>
        <xdr:sp macro="" textlink="">
          <xdr:nvSpPr>
            <xdr:cNvPr id="1075" name="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34</xdr:row>
          <xdr:rowOff>182880</xdr:rowOff>
        </xdr:from>
        <xdr:to>
          <xdr:col>3</xdr:col>
          <xdr:colOff>327660</xdr:colOff>
          <xdr:row>36</xdr:row>
          <xdr:rowOff>22860</xdr:rowOff>
        </xdr:to>
        <xdr:sp macro="" textlink="">
          <xdr:nvSpPr>
            <xdr:cNvPr id="1076" name="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35</xdr:row>
          <xdr:rowOff>182880</xdr:rowOff>
        </xdr:from>
        <xdr:to>
          <xdr:col>3</xdr:col>
          <xdr:colOff>327660</xdr:colOff>
          <xdr:row>37</xdr:row>
          <xdr:rowOff>38100</xdr:rowOff>
        </xdr:to>
        <xdr:sp macro="" textlink="">
          <xdr:nvSpPr>
            <xdr:cNvPr id="1077" name="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36</xdr:row>
          <xdr:rowOff>182880</xdr:rowOff>
        </xdr:from>
        <xdr:to>
          <xdr:col>3</xdr:col>
          <xdr:colOff>327660</xdr:colOff>
          <xdr:row>38</xdr:row>
          <xdr:rowOff>38100</xdr:rowOff>
        </xdr:to>
        <xdr:sp macro="" textlink="">
          <xdr:nvSpPr>
            <xdr:cNvPr id="1078" name="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37</xdr:row>
          <xdr:rowOff>175260</xdr:rowOff>
        </xdr:from>
        <xdr:to>
          <xdr:col>3</xdr:col>
          <xdr:colOff>327660</xdr:colOff>
          <xdr:row>39</xdr:row>
          <xdr:rowOff>38100</xdr:rowOff>
        </xdr:to>
        <xdr:sp macro="" textlink="">
          <xdr:nvSpPr>
            <xdr:cNvPr id="1079" name="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38</xdr:row>
          <xdr:rowOff>182880</xdr:rowOff>
        </xdr:from>
        <xdr:to>
          <xdr:col>3</xdr:col>
          <xdr:colOff>327660</xdr:colOff>
          <xdr:row>40</xdr:row>
          <xdr:rowOff>38100</xdr:rowOff>
        </xdr:to>
        <xdr:sp macro="" textlink="">
          <xdr:nvSpPr>
            <xdr:cNvPr id="1080" name="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2</xdr:row>
          <xdr:rowOff>137160</xdr:rowOff>
        </xdr:from>
        <xdr:to>
          <xdr:col>3</xdr:col>
          <xdr:colOff>198120</xdr:colOff>
          <xdr:row>4</xdr:row>
          <xdr:rowOff>38100</xdr:rowOff>
        </xdr:to>
        <xdr:sp macro="" textlink="">
          <xdr:nvSpPr>
            <xdr:cNvPr id="108548" name=" 4" hidden="1">
              <a:extLst>
                <a:ext uri="{63B3BB69-23CF-44E3-9099-C40C66FF867C}">
                  <a14:compatExt spid="_x0000_s108548"/>
                </a:ext>
                <a:ext uri="{FF2B5EF4-FFF2-40B4-BE49-F238E27FC236}">
                  <a16:creationId xmlns:a16="http://schemas.microsoft.com/office/drawing/2014/main" id="{00000000-0008-0000-1300-000004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3</xdr:row>
          <xdr:rowOff>121920</xdr:rowOff>
        </xdr:from>
        <xdr:to>
          <xdr:col>3</xdr:col>
          <xdr:colOff>198120</xdr:colOff>
          <xdr:row>5</xdr:row>
          <xdr:rowOff>38100</xdr:rowOff>
        </xdr:to>
        <xdr:sp macro="" textlink="">
          <xdr:nvSpPr>
            <xdr:cNvPr id="108549" name=" 5" hidden="1">
              <a:extLst>
                <a:ext uri="{63B3BB69-23CF-44E3-9099-C40C66FF867C}">
                  <a14:compatExt spid="_x0000_s108549"/>
                </a:ext>
                <a:ext uri="{FF2B5EF4-FFF2-40B4-BE49-F238E27FC236}">
                  <a16:creationId xmlns:a16="http://schemas.microsoft.com/office/drawing/2014/main" id="{00000000-0008-0000-1300-000005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4</xdr:row>
          <xdr:rowOff>121920</xdr:rowOff>
        </xdr:from>
        <xdr:to>
          <xdr:col>3</xdr:col>
          <xdr:colOff>198120</xdr:colOff>
          <xdr:row>6</xdr:row>
          <xdr:rowOff>38100</xdr:rowOff>
        </xdr:to>
        <xdr:sp macro="" textlink="">
          <xdr:nvSpPr>
            <xdr:cNvPr id="108550" name=" 6" hidden="1">
              <a:extLst>
                <a:ext uri="{63B3BB69-23CF-44E3-9099-C40C66FF867C}">
                  <a14:compatExt spid="_x0000_s108550"/>
                </a:ext>
                <a:ext uri="{FF2B5EF4-FFF2-40B4-BE49-F238E27FC236}">
                  <a16:creationId xmlns:a16="http://schemas.microsoft.com/office/drawing/2014/main" id="{00000000-0008-0000-1300-000006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5</xdr:row>
          <xdr:rowOff>114300</xdr:rowOff>
        </xdr:from>
        <xdr:to>
          <xdr:col>3</xdr:col>
          <xdr:colOff>198120</xdr:colOff>
          <xdr:row>7</xdr:row>
          <xdr:rowOff>30480</xdr:rowOff>
        </xdr:to>
        <xdr:sp macro="" textlink="">
          <xdr:nvSpPr>
            <xdr:cNvPr id="108551" name=" 7" hidden="1">
              <a:extLst>
                <a:ext uri="{63B3BB69-23CF-44E3-9099-C40C66FF867C}">
                  <a14:compatExt spid="_x0000_s108551"/>
                </a:ext>
                <a:ext uri="{FF2B5EF4-FFF2-40B4-BE49-F238E27FC236}">
                  <a16:creationId xmlns:a16="http://schemas.microsoft.com/office/drawing/2014/main" id="{00000000-0008-0000-1300-000007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6</xdr:row>
          <xdr:rowOff>114300</xdr:rowOff>
        </xdr:from>
        <xdr:to>
          <xdr:col>3</xdr:col>
          <xdr:colOff>228600</xdr:colOff>
          <xdr:row>8</xdr:row>
          <xdr:rowOff>38100</xdr:rowOff>
        </xdr:to>
        <xdr:sp macro="" textlink="">
          <xdr:nvSpPr>
            <xdr:cNvPr id="108552" name=" 8" hidden="1">
              <a:extLst>
                <a:ext uri="{63B3BB69-23CF-44E3-9099-C40C66FF867C}">
                  <a14:compatExt spid="_x0000_s108552"/>
                </a:ext>
                <a:ext uri="{FF2B5EF4-FFF2-40B4-BE49-F238E27FC236}">
                  <a16:creationId xmlns:a16="http://schemas.microsoft.com/office/drawing/2014/main" id="{00000000-0008-0000-1300-000008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xdr:colOff>
          <xdr:row>2</xdr:row>
          <xdr:rowOff>137160</xdr:rowOff>
        </xdr:from>
        <xdr:to>
          <xdr:col>7</xdr:col>
          <xdr:colOff>220980</xdr:colOff>
          <xdr:row>4</xdr:row>
          <xdr:rowOff>38100</xdr:rowOff>
        </xdr:to>
        <xdr:sp macro="" textlink="">
          <xdr:nvSpPr>
            <xdr:cNvPr id="108555" name=" 11" hidden="1">
              <a:extLst>
                <a:ext uri="{63B3BB69-23CF-44E3-9099-C40C66FF867C}">
                  <a14:compatExt spid="_x0000_s108555"/>
                </a:ext>
                <a:ext uri="{FF2B5EF4-FFF2-40B4-BE49-F238E27FC236}">
                  <a16:creationId xmlns:a16="http://schemas.microsoft.com/office/drawing/2014/main" id="{00000000-0008-0000-1300-00000B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xdr:colOff>
          <xdr:row>3</xdr:row>
          <xdr:rowOff>121920</xdr:rowOff>
        </xdr:from>
        <xdr:to>
          <xdr:col>7</xdr:col>
          <xdr:colOff>220980</xdr:colOff>
          <xdr:row>5</xdr:row>
          <xdr:rowOff>38100</xdr:rowOff>
        </xdr:to>
        <xdr:sp macro="" textlink="">
          <xdr:nvSpPr>
            <xdr:cNvPr id="108556" name=" 12" hidden="1">
              <a:extLst>
                <a:ext uri="{63B3BB69-23CF-44E3-9099-C40C66FF867C}">
                  <a14:compatExt spid="_x0000_s108556"/>
                </a:ext>
                <a:ext uri="{FF2B5EF4-FFF2-40B4-BE49-F238E27FC236}">
                  <a16:creationId xmlns:a16="http://schemas.microsoft.com/office/drawing/2014/main" id="{00000000-0008-0000-1300-00000C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xdr:colOff>
          <xdr:row>4</xdr:row>
          <xdr:rowOff>114300</xdr:rowOff>
        </xdr:from>
        <xdr:to>
          <xdr:col>7</xdr:col>
          <xdr:colOff>220980</xdr:colOff>
          <xdr:row>6</xdr:row>
          <xdr:rowOff>30480</xdr:rowOff>
        </xdr:to>
        <xdr:sp macro="" textlink="">
          <xdr:nvSpPr>
            <xdr:cNvPr id="108557" name=" 13" hidden="1">
              <a:extLst>
                <a:ext uri="{63B3BB69-23CF-44E3-9099-C40C66FF867C}">
                  <a14:compatExt spid="_x0000_s108557"/>
                </a:ext>
                <a:ext uri="{FF2B5EF4-FFF2-40B4-BE49-F238E27FC236}">
                  <a16:creationId xmlns:a16="http://schemas.microsoft.com/office/drawing/2014/main" id="{00000000-0008-0000-1300-00000D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xdr:colOff>
          <xdr:row>5</xdr:row>
          <xdr:rowOff>114300</xdr:rowOff>
        </xdr:from>
        <xdr:to>
          <xdr:col>7</xdr:col>
          <xdr:colOff>220980</xdr:colOff>
          <xdr:row>7</xdr:row>
          <xdr:rowOff>38100</xdr:rowOff>
        </xdr:to>
        <xdr:sp macro="" textlink="">
          <xdr:nvSpPr>
            <xdr:cNvPr id="108558" name=" 14" hidden="1">
              <a:extLst>
                <a:ext uri="{63B3BB69-23CF-44E3-9099-C40C66FF867C}">
                  <a14:compatExt spid="_x0000_s108558"/>
                </a:ext>
                <a:ext uri="{FF2B5EF4-FFF2-40B4-BE49-F238E27FC236}">
                  <a16:creationId xmlns:a16="http://schemas.microsoft.com/office/drawing/2014/main" id="{00000000-0008-0000-1300-00000E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xdr:colOff>
          <xdr:row>6</xdr:row>
          <xdr:rowOff>121920</xdr:rowOff>
        </xdr:from>
        <xdr:to>
          <xdr:col>7</xdr:col>
          <xdr:colOff>220980</xdr:colOff>
          <xdr:row>8</xdr:row>
          <xdr:rowOff>38100</xdr:rowOff>
        </xdr:to>
        <xdr:sp macro="" textlink="">
          <xdr:nvSpPr>
            <xdr:cNvPr id="108559" name=" 15" hidden="1">
              <a:extLst>
                <a:ext uri="{63B3BB69-23CF-44E3-9099-C40C66FF867C}">
                  <a14:compatExt spid="_x0000_s108559"/>
                </a:ext>
                <a:ext uri="{FF2B5EF4-FFF2-40B4-BE49-F238E27FC236}">
                  <a16:creationId xmlns:a16="http://schemas.microsoft.com/office/drawing/2014/main" id="{00000000-0008-0000-1300-00000FA80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1155109636_link_cuhk_edu_hk/Documents/Project/TheSchoolHK/JUPAS%20Cal/2021/12-3/Shek/2021_she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頁"/>
      <sheetName val="A123"/>
      <sheetName val="入學要求"/>
      <sheetName val="計分版"/>
      <sheetName val="CityU"/>
      <sheetName val="HKBU"/>
      <sheetName val="PolyU"/>
      <sheetName val="UST"/>
      <sheetName val="HKU"/>
      <sheetName val="LingU"/>
      <sheetName val="EdUHK"/>
      <sheetName val="OUHK"/>
      <sheetName val="SSSDP"/>
      <sheetName val="Sheet1"/>
      <sheetName val="選單"/>
    </sheetNames>
    <sheetDataSet>
      <sheetData sheetId="0" refreshError="1"/>
      <sheetData sheetId="1" refreshError="1"/>
      <sheetData sheetId="2">
        <row r="49">
          <cell r="S49">
            <v>1</v>
          </cell>
        </row>
      </sheetData>
      <sheetData sheetId="3">
        <row r="65">
          <cell r="D65">
            <v>30.5000000022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A2" t="str">
            <v>請選擇等級</v>
          </cell>
          <cell r="B2" t="str">
            <v>請選擇第一選修科</v>
          </cell>
          <cell r="C2" t="str">
            <v>請選擇第二選修科</v>
          </cell>
          <cell r="E2" t="str">
            <v>請選擇第四選修科</v>
          </cell>
          <cell r="F2" t="str">
            <v>請選擇語言科目</v>
          </cell>
          <cell r="G2" t="str">
            <v>請選擇等級</v>
          </cell>
        </row>
        <row r="3">
          <cell r="A3" t="str">
            <v>5**</v>
          </cell>
          <cell r="B3" t="str">
            <v>物理</v>
          </cell>
          <cell r="C3" t="str">
            <v>物理</v>
          </cell>
          <cell r="E3" t="str">
            <v>音樂</v>
          </cell>
          <cell r="F3" t="str">
            <v>法語</v>
          </cell>
          <cell r="G3" t="str">
            <v>A</v>
          </cell>
        </row>
        <row r="4">
          <cell r="A4" t="str">
            <v>5*</v>
          </cell>
          <cell r="B4" t="str">
            <v>化學</v>
          </cell>
          <cell r="C4" t="str">
            <v>化學</v>
          </cell>
          <cell r="E4" t="str">
            <v>體育</v>
          </cell>
          <cell r="F4" t="str">
            <v>日語</v>
          </cell>
          <cell r="G4" t="str">
            <v>B</v>
          </cell>
        </row>
        <row r="5">
          <cell r="A5">
            <v>5</v>
          </cell>
          <cell r="B5" t="str">
            <v>生物</v>
          </cell>
          <cell r="C5" t="str">
            <v>生物</v>
          </cell>
          <cell r="E5" t="str">
            <v>視覺藝術</v>
          </cell>
          <cell r="F5" t="str">
            <v>德語</v>
          </cell>
          <cell r="G5" t="str">
            <v>C</v>
          </cell>
        </row>
        <row r="6">
          <cell r="A6">
            <v>4</v>
          </cell>
          <cell r="B6" t="str">
            <v>經濟</v>
          </cell>
          <cell r="C6" t="str">
            <v>經濟</v>
          </cell>
          <cell r="E6" t="str">
            <v>倫理與宗教</v>
          </cell>
          <cell r="F6" t="str">
            <v>印地語</v>
          </cell>
          <cell r="G6" t="str">
            <v>D</v>
          </cell>
        </row>
        <row r="7">
          <cell r="A7">
            <v>3</v>
          </cell>
          <cell r="B7" t="str">
            <v>地理</v>
          </cell>
          <cell r="C7" t="str">
            <v>地理</v>
          </cell>
          <cell r="F7" t="str">
            <v>西班牙語</v>
          </cell>
          <cell r="G7" t="str">
            <v>E</v>
          </cell>
        </row>
        <row r="8">
          <cell r="A8">
            <v>2</v>
          </cell>
          <cell r="B8" t="str">
            <v>音樂</v>
          </cell>
          <cell r="C8" t="str">
            <v>音樂</v>
          </cell>
          <cell r="F8" t="str">
            <v>烏爾都語</v>
          </cell>
          <cell r="G8" t="str">
            <v>U</v>
          </cell>
        </row>
        <row r="9">
          <cell r="A9">
            <v>1</v>
          </cell>
          <cell r="B9" t="str">
            <v>體育</v>
          </cell>
          <cell r="C9" t="str">
            <v>體育</v>
          </cell>
        </row>
        <row r="10">
          <cell r="A10" t="str">
            <v>U</v>
          </cell>
          <cell r="B10" t="str">
            <v>歷史</v>
          </cell>
          <cell r="C10" t="str">
            <v>歷史</v>
          </cell>
        </row>
        <row r="11">
          <cell r="B11" t="str">
            <v>中國歷史</v>
          </cell>
          <cell r="C11" t="str">
            <v>中國歷史</v>
          </cell>
        </row>
        <row r="12">
          <cell r="B12" t="str">
            <v>視覺藝術</v>
          </cell>
          <cell r="C12" t="str">
            <v>視覺藝術</v>
          </cell>
        </row>
        <row r="13">
          <cell r="B13" t="str">
            <v>綜合科學</v>
          </cell>
          <cell r="C13" t="str">
            <v>綜合科學</v>
          </cell>
        </row>
        <row r="14">
          <cell r="B14" t="str">
            <v>組合科學 (物理、化學)</v>
          </cell>
          <cell r="C14" t="str">
            <v>組合科學 (物理、化學)</v>
          </cell>
        </row>
        <row r="15">
          <cell r="B15" t="str">
            <v>組合科學 (生物、化學)</v>
          </cell>
          <cell r="C15" t="str">
            <v>組合科學 (生物、化學)</v>
          </cell>
        </row>
        <row r="16">
          <cell r="B16" t="str">
            <v>組合科學 (物理、生物)</v>
          </cell>
          <cell r="C16" t="str">
            <v>組合科學 (物理、生物)</v>
          </cell>
        </row>
        <row r="17">
          <cell r="B17" t="str">
            <v>中國文學</v>
          </cell>
          <cell r="C17" t="str">
            <v>中國文學</v>
          </cell>
        </row>
        <row r="18">
          <cell r="B18" t="str">
            <v>英語文學</v>
          </cell>
          <cell r="C18" t="str">
            <v>英語文學</v>
          </cell>
        </row>
        <row r="19">
          <cell r="B19" t="str">
            <v>旅遊與款待</v>
          </cell>
          <cell r="C19" t="str">
            <v>旅遊與款待</v>
          </cell>
        </row>
        <row r="20">
          <cell r="B20" t="str">
            <v>倫理與宗教</v>
          </cell>
          <cell r="C20" t="str">
            <v>倫理與宗教</v>
          </cell>
        </row>
        <row r="21">
          <cell r="B21" t="str">
            <v>科技與生活</v>
          </cell>
          <cell r="C21" t="str">
            <v>科技與生活</v>
          </cell>
        </row>
        <row r="22">
          <cell r="B22" t="str">
            <v>資訊及通訊科技</v>
          </cell>
          <cell r="C22" t="str">
            <v>資訊及通訊科技</v>
          </cell>
        </row>
        <row r="23">
          <cell r="B23" t="str">
            <v>設計與應用科技</v>
          </cell>
          <cell r="C23" t="str">
            <v>設計與應用科技</v>
          </cell>
        </row>
        <row r="24">
          <cell r="B24" t="str">
            <v>健康管理與社會關懷</v>
          </cell>
          <cell r="C24" t="str">
            <v>健康管理與社會關懷</v>
          </cell>
        </row>
        <row r="25">
          <cell r="B25" t="str">
            <v>企業、會計與財務概論</v>
          </cell>
          <cell r="C25" t="str">
            <v>企業、會計與財務概論</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cuhk.edu.hk/adm/jupas/useful-information-2021.pdf" TargetMode="External"/><Relationship Id="rId7" Type="http://schemas.openxmlformats.org/officeDocument/2006/relationships/comments" Target="../comments8.xml"/><Relationship Id="rId2" Type="http://schemas.openxmlformats.org/officeDocument/2006/relationships/hyperlink" Target="https://www.cuhk.edu.hk/adm/jupas/arrangement-for-more-than-one-sitting-2021.pdf" TargetMode="External"/><Relationship Id="rId1" Type="http://schemas.openxmlformats.org/officeDocument/2006/relationships/hyperlink" Target="https://www.cuhk.edu.hk/adm/jupas/projected-enrolment-2021.pdf" TargetMode="External"/><Relationship Id="rId6" Type="http://schemas.openxmlformats.org/officeDocument/2006/relationships/vmlDrawing" Target="../drawings/vmlDrawing8.vml"/><Relationship Id="rId5" Type="http://schemas.openxmlformats.org/officeDocument/2006/relationships/printerSettings" Target="../printerSettings/printerSettings9.bin"/><Relationship Id="rId4" Type="http://schemas.openxmlformats.org/officeDocument/2006/relationships/hyperlink" Target="https://www.cuhk.edu.hk/adm/jupas/admission_grades_2020.pdf"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join.ust.hk/admissions/jupas" TargetMode="External"/><Relationship Id="rId2" Type="http://schemas.openxmlformats.org/officeDocument/2006/relationships/hyperlink" Target="https://www.jupas.edu.hk/f/page/3667/af_2020_JUPAS.pdf" TargetMode="External"/><Relationship Id="rId1" Type="http://schemas.openxmlformats.org/officeDocument/2006/relationships/hyperlink" Target="https://join.ust.hk/admissions/jupas"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hyperlink" Target="https://aal.hku.hk/admissions/local/admissions-information?page=jupas-admissions-scheme" TargetMode="External"/><Relationship Id="rId7" Type="http://schemas.openxmlformats.org/officeDocument/2006/relationships/vmlDrawing" Target="../drawings/vmlDrawing11.vml"/><Relationship Id="rId2" Type="http://schemas.openxmlformats.org/officeDocument/2006/relationships/hyperlink" Target="https://aal.hku.hk/admissions/local/sites/default/files/2021%20Programme%20Admissions%20Information.pdf" TargetMode="External"/><Relationship Id="rId1" Type="http://schemas.openxmlformats.org/officeDocument/2006/relationships/hyperlink" Target="https://admissions.hku.hk/apply/jupas/interview" TargetMode="External"/><Relationship Id="rId6" Type="http://schemas.openxmlformats.org/officeDocument/2006/relationships/printerSettings" Target="../printerSettings/printerSettings11.bin"/><Relationship Id="rId5" Type="http://schemas.openxmlformats.org/officeDocument/2006/relationships/hyperlink" Target="https://admissions.hku.hk/sites/default/files/2021-07/HKU%20Programme%20Scoring%20Formula%20for%202021%20JUPAS%20Admissions.pdf" TargetMode="External"/><Relationship Id="rId4" Type="http://schemas.openxmlformats.org/officeDocument/2006/relationships/hyperlink" Target="https://aal.hku.hk/admissions/local/sites/default/files/2020%20Admissions%20Score.pdf"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ln.edu.hk/admissions/ug/f/page/39/1433/2020-admissionscores.pdf" TargetMode="External"/><Relationship Id="rId7" Type="http://schemas.openxmlformats.org/officeDocument/2006/relationships/comments" Target="../comments12.xml"/><Relationship Id="rId2" Type="http://schemas.openxmlformats.org/officeDocument/2006/relationships/hyperlink" Target="https://www.ln.edu.hk/admissions/ug/jupas/admission-score/subject-weighting" TargetMode="External"/><Relationship Id="rId1" Type="http://schemas.openxmlformats.org/officeDocument/2006/relationships/hyperlink" Target="https://www.ln.edu.hk/admissions/ug/jupas/admission-score/jupas-score-calculator" TargetMode="External"/><Relationship Id="rId6" Type="http://schemas.openxmlformats.org/officeDocument/2006/relationships/vmlDrawing" Target="../drawings/vmlDrawing12.vml"/><Relationship Id="rId5" Type="http://schemas.openxmlformats.org/officeDocument/2006/relationships/printerSettings" Target="../printerSettings/printerSettings12.bin"/><Relationship Id="rId4" Type="http://schemas.openxmlformats.org/officeDocument/2006/relationships/hyperlink" Target="https://www.ln.edu.hk/admissions/ug/jupas/interview-arrangement"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printerSettings" Target="../printerSettings/printerSettings13.bin"/><Relationship Id="rId1" Type="http://schemas.openxmlformats.org/officeDocument/2006/relationships/hyperlink" Target="https://www.eduhk.hk/degree/jupas.htm" TargetMode="External"/><Relationship Id="rId4"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hyperlink" Target="http://www.ouhk.edu.hk/wcsprd/Satellite?pagename=OUHK/tcSingPage&amp;c=C_CFTS&amp;cid=1600653170751&amp;lang=eng&amp;mid=0" TargetMode="External"/><Relationship Id="rId1" Type="http://schemas.openxmlformats.org/officeDocument/2006/relationships/hyperlink" Target="http://www.ouhk.edu.hk/wcsprd/Satellite?pagename=OUHK/tcSubWeb&amp;l=C_CFTS&amp;lid=1385174509933&amp;c=C_CFTS&amp;cid=1385183300596&amp;lang=eng&amp;mid=0" TargetMode="External"/><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8" Type="http://schemas.openxmlformats.org/officeDocument/2006/relationships/hyperlink" Target="https://ef.hksyu.edu/Programmes/BCom-in-FinTech" TargetMode="External"/><Relationship Id="rId13" Type="http://schemas.openxmlformats.org/officeDocument/2006/relationships/comments" Target="../comments15.xml"/><Relationship Id="rId3" Type="http://schemas.openxmlformats.org/officeDocument/2006/relationships/hyperlink" Target="https://www.chuhai.edu.hk/study-subsidy-scheme-designated-professions-sectors-sssdp-202021" TargetMode="External"/><Relationship Id="rId7" Type="http://schemas.openxmlformats.org/officeDocument/2006/relationships/hyperlink" Target="https://www.uowchk.edu.hk/study-at-uowchk/find-programmes/programmes-by-entry-level/bachelor-degrees/" TargetMode="External"/><Relationship Id="rId12" Type="http://schemas.openxmlformats.org/officeDocument/2006/relationships/vmlDrawing" Target="../drawings/vmlDrawing15.vml"/><Relationship Id="rId2" Type="http://schemas.openxmlformats.org/officeDocument/2006/relationships/hyperlink" Target="https://www.twc.edu.hk/en/Programme_cat" TargetMode="External"/><Relationship Id="rId1" Type="http://schemas.openxmlformats.org/officeDocument/2006/relationships/hyperlink" Target="https://www.cihe.edu.hk/en/programmes/index.html" TargetMode="External"/><Relationship Id="rId6" Type="http://schemas.openxmlformats.org/officeDocument/2006/relationships/hyperlink" Target="https://www.thei.edu.hk/admissions/local-students-admission-for-year-1-entry/student-subsidy-scheme-for-designated-professions-sections/sssdp-for-academic-year-2021-22" TargetMode="External"/><Relationship Id="rId11" Type="http://schemas.openxmlformats.org/officeDocument/2006/relationships/printerSettings" Target="../printerSettings/printerSettings14.bin"/><Relationship Id="rId5" Type="http://schemas.openxmlformats.org/officeDocument/2006/relationships/hyperlink" Target="http://www.ouhk.edu.hk/wcsprd/Satellite?pagename=OUHK/tcSubWeb&amp;l=C_CFTS&amp;lid=1385174509933&amp;c=C_CFTS&amp;cid=1385183300596&amp;lang=eng&amp;mid=0" TargetMode="External"/><Relationship Id="rId10" Type="http://schemas.openxmlformats.org/officeDocument/2006/relationships/hyperlink" Target="https://www.jupas.edu.hk/f/page/3669/af_2020_SSSDP.pdf" TargetMode="External"/><Relationship Id="rId4" Type="http://schemas.openxmlformats.org/officeDocument/2006/relationships/hyperlink" Target="https://registry.hsu.edu.hk/prospective-students/undergraduate/programmes-offered/" TargetMode="External"/><Relationship Id="rId9" Type="http://schemas.openxmlformats.org/officeDocument/2006/relationships/hyperlink" Target="https://www.jupas.edu.hk/en/programme/sssdp/"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17.xml"/><Relationship Id="rId13" Type="http://schemas.openxmlformats.org/officeDocument/2006/relationships/ctrlProp" Target="../ctrlProps/ctrlProp22.xml"/><Relationship Id="rId3" Type="http://schemas.openxmlformats.org/officeDocument/2006/relationships/drawing" Target="../drawings/drawing2.xml"/><Relationship Id="rId7" Type="http://schemas.openxmlformats.org/officeDocument/2006/relationships/ctrlProp" Target="../ctrlProps/ctrlProp16.xml"/><Relationship Id="rId12" Type="http://schemas.openxmlformats.org/officeDocument/2006/relationships/ctrlProp" Target="../ctrlProps/ctrlProp21.xml"/><Relationship Id="rId2" Type="http://schemas.openxmlformats.org/officeDocument/2006/relationships/hyperlink" Target="https://admissions.hku.hk/apply/jupas" TargetMode="External"/><Relationship Id="rId1" Type="http://schemas.openxmlformats.org/officeDocument/2006/relationships/hyperlink" Target="https://www.cuhk.edu.hk/adm/jupas/arrangement-for-more-than-one-sitting-2021.pdf" TargetMode="External"/><Relationship Id="rId6" Type="http://schemas.openxmlformats.org/officeDocument/2006/relationships/ctrlProp" Target="../ctrlProps/ctrlProp15.xml"/><Relationship Id="rId11" Type="http://schemas.openxmlformats.org/officeDocument/2006/relationships/ctrlProp" Target="../ctrlProps/ctrlProp20.xml"/><Relationship Id="rId5" Type="http://schemas.openxmlformats.org/officeDocument/2006/relationships/ctrlProp" Target="../ctrlProps/ctrlProp14.xml"/><Relationship Id="rId15" Type="http://schemas.openxmlformats.org/officeDocument/2006/relationships/comments" Target="../comments17.xml"/><Relationship Id="rId10" Type="http://schemas.openxmlformats.org/officeDocument/2006/relationships/ctrlProp" Target="../ctrlProps/ctrlProp19.xml"/><Relationship Id="rId4" Type="http://schemas.openxmlformats.org/officeDocument/2006/relationships/vmlDrawing" Target="../drawings/vmlDrawing17.vml"/><Relationship Id="rId9" Type="http://schemas.openxmlformats.org/officeDocument/2006/relationships/ctrlProp" Target="../ctrlProps/ctrlProp18.xml"/><Relationship Id="rId14" Type="http://schemas.openxmlformats.org/officeDocument/2006/relationships/ctrlProp" Target="../ctrlProps/ctrlProp2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3.xml"/><Relationship Id="rId13" Type="http://schemas.openxmlformats.org/officeDocument/2006/relationships/ctrlProp" Target="../ctrlProps/ctrlProp8.xml"/><Relationship Id="rId18" Type="http://schemas.openxmlformats.org/officeDocument/2006/relationships/ctrlProp" Target="../ctrlProps/ctrlProp13.xml"/><Relationship Id="rId3" Type="http://schemas.openxmlformats.org/officeDocument/2006/relationships/printerSettings" Target="../printerSettings/printerSettings3.bin"/><Relationship Id="rId7" Type="http://schemas.openxmlformats.org/officeDocument/2006/relationships/ctrlProp" Target="../ctrlProps/ctrlProp2.xml"/><Relationship Id="rId12" Type="http://schemas.openxmlformats.org/officeDocument/2006/relationships/ctrlProp" Target="../ctrlProps/ctrlProp7.xml"/><Relationship Id="rId17" Type="http://schemas.openxmlformats.org/officeDocument/2006/relationships/ctrlProp" Target="../ctrlProps/ctrlProp12.xml"/><Relationship Id="rId2" Type="http://schemas.openxmlformats.org/officeDocument/2006/relationships/hyperlink" Target="https://docs.google.com/document/d/1bjzQUUMb8DlIscphMiGRqHmzj3IfXtknElbe2bmtTq4/edit?usp=sharing" TargetMode="External"/><Relationship Id="rId16" Type="http://schemas.openxmlformats.org/officeDocument/2006/relationships/ctrlProp" Target="../ctrlProps/ctrlProp11.xml"/><Relationship Id="rId1" Type="http://schemas.openxmlformats.org/officeDocument/2006/relationships/hyperlink" Target="https://drive.google.com/drive/folders/1PmyDrmQ2CumbWrqY7NRqa0Ol-M9VnkFz?usp=sharing" TargetMode="External"/><Relationship Id="rId6" Type="http://schemas.openxmlformats.org/officeDocument/2006/relationships/ctrlProp" Target="../ctrlProps/ctrlProp1.xml"/><Relationship Id="rId11" Type="http://schemas.openxmlformats.org/officeDocument/2006/relationships/ctrlProp" Target="../ctrlProps/ctrlProp6.xml"/><Relationship Id="rId5" Type="http://schemas.openxmlformats.org/officeDocument/2006/relationships/vmlDrawing" Target="../drawings/vmlDrawing4.vml"/><Relationship Id="rId15" Type="http://schemas.openxmlformats.org/officeDocument/2006/relationships/ctrlProp" Target="../ctrlProps/ctrlProp10.xml"/><Relationship Id="rId10" Type="http://schemas.openxmlformats.org/officeDocument/2006/relationships/ctrlProp" Target="../ctrlProps/ctrlProp5.xml"/><Relationship Id="rId19" Type="http://schemas.openxmlformats.org/officeDocument/2006/relationships/comments" Target="../comments4.xml"/><Relationship Id="rId4" Type="http://schemas.openxmlformats.org/officeDocument/2006/relationships/drawing" Target="../drawings/drawing1.xml"/><Relationship Id="rId9" Type="http://schemas.openxmlformats.org/officeDocument/2006/relationships/ctrlProp" Target="../ctrlProps/ctrlProp4.xml"/><Relationship Id="rId14" Type="http://schemas.openxmlformats.org/officeDocument/2006/relationships/ctrlProp" Target="../ctrlProps/ctrlProp9.xml"/></Relationships>
</file>

<file path=xl/worksheets/_rels/sheet5.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hyperlink" Target="https://www.admo.cityu.edu.hk/assessment/score_calculation/" TargetMode="External"/><Relationship Id="rId7" Type="http://schemas.openxmlformats.org/officeDocument/2006/relationships/vmlDrawing" Target="../drawings/vmlDrawing5.vml"/><Relationship Id="rId2" Type="http://schemas.openxmlformats.org/officeDocument/2006/relationships/hyperlink" Target="https://www.admo.cityu.edu.hk/jupas/entreq/bd/" TargetMode="External"/><Relationship Id="rId1" Type="http://schemas.openxmlformats.org/officeDocument/2006/relationships/hyperlink" Target="https://www.cityu.edu.hk/admo/hkdse/scores/jupas_scores2020.pdf" TargetMode="External"/><Relationship Id="rId6" Type="http://schemas.openxmlformats.org/officeDocument/2006/relationships/printerSettings" Target="../printerSettings/printerSettings4.bin"/><Relationship Id="rId5" Type="http://schemas.openxmlformats.org/officeDocument/2006/relationships/hyperlink" Target="https://www.admo.cityu.edu.hk/interview_arrangements/jupas" TargetMode="External"/><Relationship Id="rId4" Type="http://schemas.openxmlformats.org/officeDocument/2006/relationships/hyperlink" Target="https://www.admo.cityu.edu.hk/jupas/assessment/bd"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dmissions.hkbu.edu.hk/en/programmes-offer.html" TargetMode="External"/><Relationship Id="rId1" Type="http://schemas.openxmlformats.org/officeDocument/2006/relationships/hyperlink" Target="https://admissions.hkbu.edu.hk/en/hkdse.html"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polyu.edu.hk/aradm/jupas/admission_figures.pdf" TargetMode="External"/><Relationship Id="rId7" Type="http://schemas.openxmlformats.org/officeDocument/2006/relationships/comments" Target="../comments7.xml"/><Relationship Id="rId2" Type="http://schemas.openxmlformats.org/officeDocument/2006/relationships/hyperlink" Target="https://www51.polyu.edu.hk/eprospectus/ug/jupas/programme-requirements" TargetMode="External"/><Relationship Id="rId1" Type="http://schemas.openxmlformats.org/officeDocument/2006/relationships/hyperlink" Target="https://www51.polyu.edu.hk/eprospectus/ug/jupas/admission-selection" TargetMode="External"/><Relationship Id="rId6" Type="http://schemas.openxmlformats.org/officeDocument/2006/relationships/vmlDrawing" Target="../drawings/vmlDrawing7.vml"/><Relationship Id="rId5" Type="http://schemas.openxmlformats.org/officeDocument/2006/relationships/printerSettings" Target="../printerSettings/printerSettings8.bin"/><Relationship Id="rId4" Type="http://schemas.openxmlformats.org/officeDocument/2006/relationships/hyperlink" Target="https://www51.polyu.edu.hk/eprospectus/ug/jupas/interview-arrange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2"/>
  <dimension ref="A1:AB773"/>
  <sheetViews>
    <sheetView topLeftCell="A249" zoomScale="85" zoomScaleNormal="85" workbookViewId="0">
      <selection activeCell="M258" sqref="M258:M260"/>
    </sheetView>
  </sheetViews>
  <sheetFormatPr defaultColWidth="8.88671875" defaultRowHeight="15.6"/>
  <cols>
    <col min="1" max="2" width="9.77734375" style="16" customWidth="1"/>
    <col min="3" max="3" width="10.33203125" style="16" customWidth="1"/>
    <col min="4" max="4" width="11.109375" style="56" customWidth="1"/>
    <col min="5" max="5" width="9.44140625" style="16" bestFit="1" customWidth="1"/>
    <col min="6" max="6" width="10" style="184" customWidth="1"/>
    <col min="7" max="7" width="10.21875" style="184" customWidth="1"/>
    <col min="8" max="8" width="10.109375" style="184" customWidth="1"/>
    <col min="9" max="9" width="11.21875" style="184" customWidth="1"/>
    <col min="10" max="10" width="8.77734375" style="16" customWidth="1"/>
    <col min="11" max="11" width="8.77734375" style="180" customWidth="1"/>
    <col min="12" max="12" width="12.109375" style="480" customWidth="1"/>
    <col min="13" max="13" width="8.88671875" style="16" customWidth="1"/>
    <col min="14" max="14" width="7.77734375" style="16" customWidth="1"/>
    <col min="15" max="15" width="7.21875" style="21" customWidth="1"/>
    <col min="16" max="16" width="8.21875" style="21" customWidth="1"/>
    <col min="17" max="17" width="8.21875" style="16" customWidth="1"/>
    <col min="18" max="18" width="10.109375" style="16" customWidth="1"/>
    <col min="19" max="19" width="10.6640625" style="16" customWidth="1"/>
    <col min="20" max="20" width="7" style="16" customWidth="1"/>
    <col min="21" max="21" width="8.33203125" style="16" customWidth="1"/>
    <col min="22" max="22" width="7.88671875" style="16" customWidth="1"/>
    <col min="23" max="23" width="6.109375" style="16" customWidth="1"/>
    <col min="24" max="24" width="9.21875" style="16" customWidth="1"/>
    <col min="25" max="26" width="8.77734375" style="16" customWidth="1"/>
    <col min="27" max="27" width="9.44140625" style="16" customWidth="1"/>
    <col min="28" max="28" width="16.88671875" style="16" bestFit="1" customWidth="1"/>
    <col min="29" max="16384" width="8.88671875" style="16"/>
  </cols>
  <sheetData>
    <row r="1" spans="1:19">
      <c r="A1" s="16" t="b">
        <v>1</v>
      </c>
      <c r="D1" s="68"/>
      <c r="F1" s="271"/>
      <c r="M1" s="69"/>
    </row>
    <row r="3" spans="1:19">
      <c r="P3" s="16"/>
      <c r="Q3" s="56" t="s">
        <v>991</v>
      </c>
      <c r="R3" s="16" t="s">
        <v>992</v>
      </c>
      <c r="S3" s="16" t="s">
        <v>993</v>
      </c>
    </row>
    <row r="4" spans="1:19">
      <c r="B4" s="16" t="s">
        <v>368</v>
      </c>
      <c r="C4" s="56" t="s">
        <v>994</v>
      </c>
      <c r="D4" s="16" t="s">
        <v>995</v>
      </c>
      <c r="F4" s="184" t="s">
        <v>368</v>
      </c>
      <c r="G4" s="184" t="s">
        <v>994</v>
      </c>
      <c r="H4" s="184" t="s">
        <v>995</v>
      </c>
      <c r="O4" s="16" t="s">
        <v>1004</v>
      </c>
      <c r="P4" s="21" t="s">
        <v>758</v>
      </c>
      <c r="Q4" s="16">
        <f>IF(ISNUMBER(SEARCH(O4,$B$4)), 1, 0)</f>
        <v>0</v>
      </c>
      <c r="R4" s="16">
        <f>IF(ISNUMBER(SEARCH(O4,#REF!)), 1, 0)</f>
        <v>0</v>
      </c>
      <c r="S4" s="16">
        <f t="shared" ref="S4:S11" si="0">IF(ISNUMBER(SEARCH(O4,$B$7)), 1, 0)</f>
        <v>0</v>
      </c>
    </row>
    <row r="5" spans="1:19">
      <c r="A5" s="16" t="s">
        <v>991</v>
      </c>
      <c r="B5" s="16">
        <f>IFERROR(主頁!M15-主頁!J15,"")</f>
        <v>-37.499999996050001</v>
      </c>
      <c r="C5" s="56">
        <f>IFERROR(主頁!M15-主頁!K15,"")</f>
        <v>-35.249999996050001</v>
      </c>
      <c r="D5" s="16">
        <f>IFERROR(主頁!M15-主頁!L15,"")</f>
        <v>-32.999999996050001</v>
      </c>
      <c r="F5" s="328">
        <f>IFERROR((主頁!$M$15-主頁!J15)/主頁!M15,"")</f>
        <v>-9493670885.0759487</v>
      </c>
      <c r="G5" s="328">
        <f>IFERROR((主頁!$M$15-主頁!K15)/主頁!$M$15,"")</f>
        <v>-8924050631.9113903</v>
      </c>
      <c r="H5" s="328">
        <f>IFERROR((主頁!$M$15-主頁!L15)/主頁!$M$15,"")</f>
        <v>-8354430378.7468338</v>
      </c>
      <c r="O5" s="16" t="s">
        <v>1005</v>
      </c>
      <c r="P5" s="21" t="s">
        <v>976</v>
      </c>
      <c r="Q5" s="16">
        <f t="shared" ref="Q5:Q11" si="1">IF(ISNUMBER(SEARCH(O5,$B$4)), 1, 0)</f>
        <v>0</v>
      </c>
      <c r="R5" s="16">
        <f>IF(ISNUMBER(SEARCH(O5,#REF!)), 1, 0)</f>
        <v>0</v>
      </c>
      <c r="S5" s="16">
        <f t="shared" si="0"/>
        <v>0</v>
      </c>
    </row>
    <row r="6" spans="1:19">
      <c r="C6" s="56"/>
      <c r="D6" s="16"/>
      <c r="F6" s="328"/>
      <c r="G6" s="328"/>
      <c r="H6" s="328"/>
      <c r="O6" s="16" t="s">
        <v>1006</v>
      </c>
      <c r="P6" s="21" t="s">
        <v>550</v>
      </c>
      <c r="Q6" s="16">
        <f t="shared" si="1"/>
        <v>0</v>
      </c>
      <c r="R6" s="16">
        <f>IF(ISNUMBER(SEARCH(O6,#REF!)), 1, 0)</f>
        <v>0</v>
      </c>
      <c r="S6" s="16">
        <f t="shared" si="0"/>
        <v>0</v>
      </c>
    </row>
    <row r="7" spans="1:19">
      <c r="A7" s="16" t="s">
        <v>992</v>
      </c>
      <c r="B7" s="16" t="str">
        <f>IFERROR(主頁!M17-主頁!J17,"")</f>
        <v/>
      </c>
      <c r="C7" s="56">
        <f>IFERROR(主頁!M17-主頁!K17,"")</f>
        <v>-25.999999996050001</v>
      </c>
      <c r="D7" s="16">
        <f>IFERROR(主頁!M17-主頁!L17,"")</f>
        <v>-24.999999996050001</v>
      </c>
      <c r="F7" s="328" t="str">
        <f>IFERROR((主頁!$M$17-主頁!J17)/主頁!$M$17,"")</f>
        <v/>
      </c>
      <c r="G7" s="328">
        <f>IFERROR((主頁!$M$17-主頁!K17)/主頁!$M$17,"")</f>
        <v>-6582278480.0126572</v>
      </c>
      <c r="H7" s="328">
        <f>IFERROR((主頁!$M$17-主頁!L17)/主頁!$M$17,"")</f>
        <v>-6329113923.0506325</v>
      </c>
      <c r="O7" s="16" t="s">
        <v>1007</v>
      </c>
      <c r="P7" s="21" t="s">
        <v>193</v>
      </c>
      <c r="Q7" s="16">
        <f t="shared" si="1"/>
        <v>0</v>
      </c>
      <c r="R7" s="16">
        <f>IF(ISNUMBER(SEARCH(O7,#REF!)), 1, 0)</f>
        <v>0</v>
      </c>
      <c r="S7" s="16">
        <f t="shared" si="0"/>
        <v>0</v>
      </c>
    </row>
    <row r="8" spans="1:19">
      <c r="C8" s="56"/>
      <c r="D8" s="16"/>
      <c r="F8" s="328"/>
      <c r="G8" s="328"/>
      <c r="H8" s="328"/>
      <c r="O8" s="16" t="s">
        <v>1008</v>
      </c>
      <c r="P8" s="21" t="s">
        <v>624</v>
      </c>
      <c r="Q8" s="16">
        <f t="shared" si="1"/>
        <v>0</v>
      </c>
      <c r="R8" s="16">
        <f>IF(ISNUMBER(SEARCH(O8,#REF!)), 1, 0)</f>
        <v>0</v>
      </c>
      <c r="S8" s="16">
        <f t="shared" si="0"/>
        <v>0</v>
      </c>
    </row>
    <row r="9" spans="1:19">
      <c r="A9" s="16" t="s">
        <v>993</v>
      </c>
      <c r="B9" s="16" t="str">
        <f>IFERROR(主頁!M19-主頁!J19,"")</f>
        <v/>
      </c>
      <c r="C9" s="56" t="str">
        <f>IFERROR(主頁!M19-主頁!K19,"")</f>
        <v/>
      </c>
      <c r="D9" s="16" t="str">
        <f>IFERROR(主頁!M19-主頁!L19,"")</f>
        <v/>
      </c>
      <c r="F9" s="328" t="str">
        <f>IFERROR((主頁!$M$19-主頁!J19)/主頁!$M$19,"")</f>
        <v/>
      </c>
      <c r="G9" s="328" t="str">
        <f>IFERROR((主頁!$M$19-主頁!K19)/主頁!$M$19,"")</f>
        <v/>
      </c>
      <c r="H9" s="328" t="str">
        <f>IFERROR((主頁!$M$19-主頁!L19)/主頁!$M$19,"")</f>
        <v/>
      </c>
      <c r="O9" s="16" t="s">
        <v>1003</v>
      </c>
      <c r="P9" s="21" t="s">
        <v>389</v>
      </c>
      <c r="Q9" s="16">
        <f t="shared" si="1"/>
        <v>0</v>
      </c>
      <c r="R9" s="16">
        <f>IF(ISNUMBER(SEARCH(O9,#REF!)), 1, 0)</f>
        <v>0</v>
      </c>
      <c r="S9" s="16">
        <f t="shared" si="0"/>
        <v>0</v>
      </c>
    </row>
    <row r="10" spans="1:19">
      <c r="O10" s="16" t="s">
        <v>1009</v>
      </c>
      <c r="P10" s="21" t="s">
        <v>891</v>
      </c>
      <c r="Q10" s="16">
        <f t="shared" si="1"/>
        <v>0</v>
      </c>
      <c r="R10" s="16">
        <f>IF(ISNUMBER(SEARCH(O10,#REF!)), 1, 0)</f>
        <v>0</v>
      </c>
      <c r="S10" s="16">
        <f t="shared" si="0"/>
        <v>0</v>
      </c>
    </row>
    <row r="11" spans="1:19">
      <c r="O11" s="16" t="s">
        <v>1010</v>
      </c>
      <c r="P11" s="21" t="s">
        <v>997</v>
      </c>
      <c r="Q11" s="16">
        <f t="shared" si="1"/>
        <v>0</v>
      </c>
      <c r="R11" s="16">
        <f>IF(ISNUMBER(SEARCH(O11,#REF!)), 1, 0)</f>
        <v>0</v>
      </c>
      <c r="S11" s="16">
        <f t="shared" si="0"/>
        <v>0</v>
      </c>
    </row>
    <row r="12" spans="1:19">
      <c r="O12" s="16"/>
    </row>
    <row r="15" spans="1:19">
      <c r="A15" s="16" t="s">
        <v>1002</v>
      </c>
      <c r="B15" s="16" t="s">
        <v>999</v>
      </c>
      <c r="C15" s="56" t="s">
        <v>1000</v>
      </c>
      <c r="D15" s="180" t="s">
        <v>1349</v>
      </c>
      <c r="E15" s="16" t="s">
        <v>204</v>
      </c>
      <c r="F15" s="184" t="s">
        <v>299</v>
      </c>
      <c r="G15" s="184" t="s">
        <v>300</v>
      </c>
      <c r="H15" s="184" t="s">
        <v>301</v>
      </c>
      <c r="I15" s="184" t="s">
        <v>1012</v>
      </c>
      <c r="J15" s="16" t="s">
        <v>1001</v>
      </c>
      <c r="K15" s="180" t="s">
        <v>2437</v>
      </c>
      <c r="L15" s="480" t="s">
        <v>2438</v>
      </c>
      <c r="M15" s="16" t="s">
        <v>376</v>
      </c>
      <c r="O15" s="21" t="s">
        <v>991</v>
      </c>
      <c r="P15" s="21" t="str">
        <f>IF(Q15=1,INDEX(P$4:P$11,MATCH(LARGE(Q4:Q11,1),Q4:Q11,0)),"")</f>
        <v/>
      </c>
      <c r="Q15" s="16">
        <f>LARGE((Q4:Q11),1)</f>
        <v>0</v>
      </c>
      <c r="R15" s="16">
        <f>IF(COUNTIF(A251:A333,$B$4), 1, 0)</f>
        <v>0</v>
      </c>
    </row>
    <row r="16" spans="1:19">
      <c r="A16" s="16" t="str">
        <f>主頁!F15</f>
        <v>JS4862</v>
      </c>
      <c r="B16" s="16" t="str">
        <f t="shared" ref="B16:M18" si="2">IFERROR(INDEX(B$21:B$416,MATCH($A16,$A$21:$A$416,0)),"")</f>
        <v>CUHK</v>
      </c>
      <c r="C16" s="180" t="str">
        <f t="shared" si="2"/>
        <v>心理學</v>
      </c>
      <c r="D16" s="180" t="str">
        <f t="shared" si="2"/>
        <v>PSYCHOLOGY</v>
      </c>
      <c r="E16" s="180" t="str">
        <f t="shared" si="2"/>
        <v>Best 5</v>
      </c>
      <c r="F16" s="184">
        <f t="shared" si="2"/>
        <v>37.5</v>
      </c>
      <c r="G16" s="184">
        <f t="shared" si="2"/>
        <v>35.25</v>
      </c>
      <c r="H16" s="184">
        <f t="shared" si="2"/>
        <v>33</v>
      </c>
      <c r="I16" s="184">
        <f t="shared" si="2"/>
        <v>3.9500000000000006E-9</v>
      </c>
      <c r="J16" s="180">
        <f t="shared" si="2"/>
        <v>54</v>
      </c>
      <c r="K16" s="180">
        <f>IFERROR(INDEX(K$21:K$416,MATCH($A16,$A$21:$A$416,0)),"")</f>
        <v>57</v>
      </c>
      <c r="L16" s="481">
        <f>IFERROR(INDEX(L$21:L$416,MATCH($A16,$A$21:$A$416,0)),"")</f>
        <v>6.709090909090909</v>
      </c>
      <c r="M16" s="180">
        <f t="shared" si="2"/>
        <v>0</v>
      </c>
      <c r="N16" s="14"/>
      <c r="O16" s="21" t="s">
        <v>992</v>
      </c>
      <c r="P16" s="21" t="str">
        <f>IF(Q16=1,INDEX(P$4:P$11,MATCH(LARGE(R4:R11,1),R4:R11,0)),"")</f>
        <v/>
      </c>
      <c r="Q16" s="16">
        <f>LARGE((R4:R11),1)</f>
        <v>0</v>
      </c>
    </row>
    <row r="17" spans="1:28">
      <c r="A17" s="16" t="str">
        <f>主頁!F17</f>
        <v>JS7606</v>
      </c>
      <c r="B17" s="180" t="str">
        <f t="shared" si="2"/>
        <v>LingU</v>
      </c>
      <c r="C17" s="180" t="str">
        <f t="shared" si="2"/>
        <v>文化研究(榮譽)文學士</v>
      </c>
      <c r="D17" s="180" t="str">
        <f t="shared" si="2"/>
        <v>BA (Hons) Cultural Stud</v>
      </c>
      <c r="E17" s="180" t="str">
        <f t="shared" si="2"/>
        <v>Best 5</v>
      </c>
      <c r="F17" s="184" t="str">
        <f t="shared" si="2"/>
        <v>/</v>
      </c>
      <c r="G17" s="184">
        <f t="shared" si="2"/>
        <v>26</v>
      </c>
      <c r="H17" s="184">
        <f t="shared" si="2"/>
        <v>25</v>
      </c>
      <c r="I17" s="184">
        <f t="shared" si="2"/>
        <v>3.9500000000000006E-9</v>
      </c>
      <c r="J17" s="180">
        <f t="shared" si="2"/>
        <v>25</v>
      </c>
      <c r="K17" s="180">
        <f t="shared" si="2"/>
        <v>26</v>
      </c>
      <c r="L17" s="481">
        <f>IFERROR(INDEX(L$21:L$416,MATCH($A17,$A$21:$A$416,0)),"")</f>
        <v>14.428571428571429</v>
      </c>
      <c r="M17" s="180">
        <f t="shared" si="2"/>
        <v>0</v>
      </c>
      <c r="N17" s="14"/>
      <c r="O17" s="21" t="s">
        <v>993</v>
      </c>
      <c r="P17" s="21" t="str">
        <f>IF(Q17=1,INDEX(P$4:P$11,MATCH(LARGE(S4:S11,1),S4:S11,0)),"")</f>
        <v/>
      </c>
      <c r="Q17" s="16">
        <f>LARGE((S4:S11),1)</f>
        <v>0</v>
      </c>
    </row>
    <row r="18" spans="1:28">
      <c r="A18" s="70">
        <f>主頁!F19</f>
        <v>0</v>
      </c>
      <c r="B18" s="180" t="str">
        <f t="shared" si="2"/>
        <v/>
      </c>
      <c r="C18" s="180" t="str">
        <f t="shared" si="2"/>
        <v/>
      </c>
      <c r="D18" s="180" t="str">
        <f t="shared" si="2"/>
        <v/>
      </c>
      <c r="E18" s="180" t="str">
        <f t="shared" si="2"/>
        <v/>
      </c>
      <c r="F18" s="184" t="str">
        <f t="shared" si="2"/>
        <v/>
      </c>
      <c r="G18" s="184" t="str">
        <f t="shared" si="2"/>
        <v/>
      </c>
      <c r="H18" s="184" t="str">
        <f t="shared" si="2"/>
        <v/>
      </c>
      <c r="I18" s="184" t="str">
        <f t="shared" si="2"/>
        <v/>
      </c>
      <c r="J18" s="180" t="str">
        <f t="shared" si="2"/>
        <v/>
      </c>
      <c r="K18" s="180" t="str">
        <f t="shared" si="2"/>
        <v/>
      </c>
      <c r="L18" s="180" t="str">
        <f t="shared" si="2"/>
        <v/>
      </c>
      <c r="M18" s="180" t="str">
        <f t="shared" si="2"/>
        <v/>
      </c>
    </row>
    <row r="19" spans="1:28">
      <c r="A19" s="70"/>
      <c r="B19" s="70"/>
      <c r="O19" s="16"/>
      <c r="P19" s="16"/>
    </row>
    <row r="20" spans="1:28">
      <c r="B20" s="114"/>
      <c r="C20" s="114"/>
      <c r="D20" s="16"/>
      <c r="E20" s="118"/>
      <c r="F20" s="329" t="s">
        <v>368</v>
      </c>
      <c r="G20" s="329" t="s">
        <v>994</v>
      </c>
      <c r="H20" s="329" t="s">
        <v>995</v>
      </c>
      <c r="I20" s="209" t="str">
        <f>計分版!D24</f>
        <v>總分</v>
      </c>
      <c r="AB20" s="16" t="s">
        <v>998</v>
      </c>
    </row>
    <row r="21" spans="1:28">
      <c r="A21" s="16" t="str">
        <f>CityU!A2</f>
        <v>JS1000</v>
      </c>
      <c r="B21" s="16" t="s">
        <v>758</v>
      </c>
      <c r="C21" s="16" t="str">
        <f>CityU!C2</f>
        <v>理學士(計算金融及金融科技)</v>
      </c>
      <c r="D21" s="16" t="str">
        <f>CityU!D2</f>
        <v>BScCFFT</v>
      </c>
      <c r="E21" s="56" t="str">
        <f>CityU!E2</f>
        <v>4C2X</v>
      </c>
      <c r="F21" s="184" t="s">
        <v>360</v>
      </c>
      <c r="G21" s="184">
        <f>CityU!F2</f>
        <v>27</v>
      </c>
      <c r="H21" s="184">
        <f>CityU!G2</f>
        <v>26</v>
      </c>
      <c r="I21" s="209">
        <f>計分版!D25</f>
        <v>2.8499999999999999E-9</v>
      </c>
      <c r="J21" s="16">
        <f>CityU!K2</f>
        <v>10</v>
      </c>
      <c r="K21" s="43">
        <f>CityU!U2</f>
        <v>9</v>
      </c>
      <c r="L21" s="480">
        <f>IFERROR(CityU!AC2/CityU!V2,"新科目")</f>
        <v>16.142857142857142</v>
      </c>
      <c r="M21" s="16">
        <f>入學要求!S3</f>
        <v>0</v>
      </c>
      <c r="T21" s="25"/>
      <c r="U21" s="25"/>
    </row>
    <row r="22" spans="1:28">
      <c r="A22" s="180" t="str">
        <f>CityU!A3</f>
        <v>JS1001</v>
      </c>
      <c r="B22" s="16" t="s">
        <v>758</v>
      </c>
      <c r="C22" s="180" t="str">
        <f>CityU!C3</f>
        <v>工商管理學士(環球商業)</v>
      </c>
      <c r="D22" s="180" t="str">
        <f>CityU!D3</f>
        <v>BBAGBU</v>
      </c>
      <c r="E22" s="192" t="str">
        <f>CityU!E3</f>
        <v>4C2X</v>
      </c>
      <c r="F22" s="184" t="s">
        <v>360</v>
      </c>
      <c r="G22" s="184">
        <f>CityU!F3</f>
        <v>28</v>
      </c>
      <c r="H22" s="184">
        <f>CityU!G3</f>
        <v>27</v>
      </c>
      <c r="I22" s="209">
        <f>計分版!D26</f>
        <v>2.8499999999999999E-9</v>
      </c>
      <c r="J22" s="180">
        <f>CityU!K3</f>
        <v>10</v>
      </c>
      <c r="K22" s="43">
        <f>CityU!U3</f>
        <v>8</v>
      </c>
      <c r="L22" s="480">
        <f>IFERROR(CityU!AC3/CityU!V3,"新科目")</f>
        <v>19.75</v>
      </c>
      <c r="M22" s="180">
        <f>入學要求!S4</f>
        <v>0</v>
      </c>
      <c r="U22" s="25"/>
    </row>
    <row r="23" spans="1:28">
      <c r="A23" s="180" t="str">
        <f>CityU!A4</f>
        <v>JS1002</v>
      </c>
      <c r="B23" s="16" t="s">
        <v>758</v>
      </c>
      <c r="C23" s="180" t="str">
        <f>CityU!C4</f>
        <v>工商管理學士(會計)</v>
      </c>
      <c r="D23" s="180" t="str">
        <f>CityU!D4</f>
        <v>BBAAC</v>
      </c>
      <c r="E23" s="192" t="str">
        <f>CityU!E4</f>
        <v>4C2X</v>
      </c>
      <c r="F23" s="184" t="s">
        <v>360</v>
      </c>
      <c r="G23" s="184">
        <f>CityU!F4</f>
        <v>24</v>
      </c>
      <c r="H23" s="184">
        <f>CityU!G4</f>
        <v>24</v>
      </c>
      <c r="I23" s="209">
        <f>計分版!D27</f>
        <v>2.8499999999999999E-9</v>
      </c>
      <c r="J23" s="180">
        <f>CityU!K4</f>
        <v>141</v>
      </c>
      <c r="K23" s="43">
        <f>CityU!U4</f>
        <v>129</v>
      </c>
      <c r="L23" s="480">
        <f>IFERROR(CityU!AC4/CityU!V4,"新科目")</f>
        <v>5.7222222222222223</v>
      </c>
      <c r="M23" s="180">
        <f>入學要求!S5</f>
        <v>0</v>
      </c>
      <c r="T23" s="25"/>
      <c r="U23" s="25"/>
    </row>
    <row r="24" spans="1:28">
      <c r="A24" s="180" t="str">
        <f>CityU!A5</f>
        <v>JS1005</v>
      </c>
      <c r="B24" s="16" t="s">
        <v>758</v>
      </c>
      <c r="C24" s="180" t="str">
        <f>CityU!C5</f>
        <v>工商管理學士(管理學)</v>
      </c>
      <c r="D24" s="180" t="str">
        <f>CityU!D5</f>
        <v>BBAMGMT</v>
      </c>
      <c r="E24" s="192" t="str">
        <f>CityU!E5</f>
        <v>4C2X</v>
      </c>
      <c r="F24" s="184" t="s">
        <v>360</v>
      </c>
      <c r="G24" s="184">
        <f>CityU!F5</f>
        <v>24</v>
      </c>
      <c r="H24" s="184">
        <f>CityU!G5</f>
        <v>24</v>
      </c>
      <c r="I24" s="209">
        <f>計分版!D28</f>
        <v>2.8499999999999999E-9</v>
      </c>
      <c r="J24" s="180">
        <f>CityU!K5</f>
        <v>71</v>
      </c>
      <c r="K24" s="43">
        <f>CityU!U5</f>
        <v>56</v>
      </c>
      <c r="L24" s="480">
        <f>IFERROR(CityU!AC5/CityU!V5,"新科目")</f>
        <v>11.826923076923077</v>
      </c>
      <c r="M24" s="180">
        <f>入學要求!S6</f>
        <v>0</v>
      </c>
      <c r="U24" s="25"/>
    </row>
    <row r="25" spans="1:28">
      <c r="A25" s="180" t="str">
        <f>CityU!A6</f>
        <v>JS1007</v>
      </c>
      <c r="B25" s="16" t="s">
        <v>758</v>
      </c>
      <c r="C25" s="180" t="str">
        <f>CityU!C6</f>
        <v>工商管理學士(市場營銷)</v>
      </c>
      <c r="D25" s="180" t="str">
        <f>CityU!D6</f>
        <v>BBAMKT</v>
      </c>
      <c r="E25" s="192" t="str">
        <f>CityU!E6</f>
        <v>4C2X</v>
      </c>
      <c r="F25" s="184" t="s">
        <v>360</v>
      </c>
      <c r="G25" s="184">
        <f>CityU!F6</f>
        <v>27</v>
      </c>
      <c r="H25" s="184">
        <f>CityU!G6</f>
        <v>26</v>
      </c>
      <c r="I25" s="209">
        <f>計分版!D29</f>
        <v>2.9499999999999999E-9</v>
      </c>
      <c r="J25" s="180">
        <f>CityU!K6</f>
        <v>83</v>
      </c>
      <c r="K25" s="43">
        <f>CityU!U6</f>
        <v>55</v>
      </c>
      <c r="L25" s="480">
        <f>IFERROR(CityU!AC6/CityU!V6,"新科目")</f>
        <v>11.641509433962264</v>
      </c>
      <c r="M25" s="180">
        <f>入學要求!S7</f>
        <v>0</v>
      </c>
      <c r="T25" s="25"/>
      <c r="U25" s="25"/>
    </row>
    <row r="26" spans="1:28">
      <c r="A26" s="180" t="str">
        <f>CityU!A7</f>
        <v>JS1012</v>
      </c>
      <c r="B26" s="16" t="s">
        <v>758</v>
      </c>
      <c r="C26" s="180" t="str">
        <f>CityU!C7</f>
        <v>經濟及金融系 [選項: 工商管理學士(商業經濟)、工商管理學士(金融)]</v>
      </c>
      <c r="D26" s="180" t="str">
        <f>CityU!D7</f>
        <v>EF</v>
      </c>
      <c r="E26" s="192" t="str">
        <f>CityU!E7</f>
        <v>4C2X</v>
      </c>
      <c r="F26" s="184" t="s">
        <v>360</v>
      </c>
      <c r="G26" s="184">
        <f>CityU!F7</f>
        <v>24</v>
      </c>
      <c r="H26" s="184">
        <f>CityU!G7</f>
        <v>24</v>
      </c>
      <c r="I26" s="209">
        <f>計分版!D30</f>
        <v>2.8499999999999999E-9</v>
      </c>
      <c r="J26" s="180">
        <f>CityU!K7</f>
        <v>19</v>
      </c>
      <c r="K26" s="43">
        <f>CityU!U7</f>
        <v>74</v>
      </c>
      <c r="L26" s="480">
        <f>IFERROR(CityU!AC7/CityU!V7,"新科目")</f>
        <v>10.680555555555555</v>
      </c>
      <c r="M26" s="180">
        <f>入學要求!S8</f>
        <v>0</v>
      </c>
    </row>
    <row r="27" spans="1:28">
      <c r="A27" s="180" t="str">
        <f>CityU!A8</f>
        <v>JS1013</v>
      </c>
      <c r="B27" s="16" t="s">
        <v>758</v>
      </c>
      <c r="C27" s="180" t="str">
        <f>CityU!C8</f>
        <v>工商管理學士(商業經濟)</v>
      </c>
      <c r="D27" s="180" t="str">
        <f>CityU!D8</f>
        <v>BBABE</v>
      </c>
      <c r="E27" s="192" t="str">
        <f>CityU!E8</f>
        <v>4C2X</v>
      </c>
      <c r="F27" s="184" t="s">
        <v>360</v>
      </c>
      <c r="G27" s="184">
        <f>CityU!F8</f>
        <v>23</v>
      </c>
      <c r="H27" s="184">
        <f>CityU!G8</f>
        <v>23</v>
      </c>
      <c r="I27" s="209">
        <f>計分版!D31</f>
        <v>2.8499999999999999E-9</v>
      </c>
      <c r="J27" s="180">
        <f>CityU!K8</f>
        <v>36</v>
      </c>
      <c r="K27" s="43">
        <f>CityU!U8</f>
        <v>18</v>
      </c>
      <c r="L27" s="480">
        <f>IFERROR(CityU!AC8/CityU!V8,"新科目")</f>
        <v>9.7333333333333325</v>
      </c>
      <c r="M27" s="180">
        <f>入學要求!S9</f>
        <v>0</v>
      </c>
      <c r="U27" s="25"/>
    </row>
    <row r="28" spans="1:28">
      <c r="A28" s="180" t="str">
        <f>CityU!A9</f>
        <v>JS1014</v>
      </c>
      <c r="B28" s="16" t="s">
        <v>758</v>
      </c>
      <c r="C28" s="180" t="str">
        <f>CityU!C9</f>
        <v>工商管理學士(金融)</v>
      </c>
      <c r="D28" s="180" t="str">
        <f>CityU!D9</f>
        <v>BBAFIN</v>
      </c>
      <c r="E28" s="192" t="str">
        <f>CityU!E9</f>
        <v>4C2X</v>
      </c>
      <c r="F28" s="184" t="s">
        <v>360</v>
      </c>
      <c r="G28" s="184">
        <f>CityU!F9</f>
        <v>23</v>
      </c>
      <c r="H28" s="184">
        <f>CityU!G9</f>
        <v>22</v>
      </c>
      <c r="I28" s="209">
        <f>計分版!D32</f>
        <v>2.8499999999999999E-9</v>
      </c>
      <c r="J28" s="180">
        <f>CityU!K9</f>
        <v>109</v>
      </c>
      <c r="K28" s="43">
        <f>CityU!U9</f>
        <v>56</v>
      </c>
      <c r="L28" s="480">
        <f>IFERROR(CityU!AC9/CityU!V9,"新科目")</f>
        <v>4.5238095238095237</v>
      </c>
      <c r="M28" s="180">
        <f>入學要求!S10</f>
        <v>0</v>
      </c>
      <c r="U28" s="25"/>
    </row>
    <row r="29" spans="1:28">
      <c r="A29" s="180" t="str">
        <f>CityU!A10</f>
        <v>JS1017</v>
      </c>
      <c r="B29" s="16" t="s">
        <v>758</v>
      </c>
      <c r="C29" s="180" t="str">
        <f>CityU!C10</f>
        <v>資訊系統學系 [選項: 工商管理學士(環球商業系統管理)、工商管理學士(資訊管理)]</v>
      </c>
      <c r="D29" s="180" t="str">
        <f>CityU!D10</f>
        <v>IS</v>
      </c>
      <c r="E29" s="192" t="str">
        <f>CityU!E10</f>
        <v>4C2X</v>
      </c>
      <c r="F29" s="184" t="s">
        <v>360</v>
      </c>
      <c r="G29" s="184">
        <f>CityU!F10</f>
        <v>24</v>
      </c>
      <c r="H29" s="184">
        <f>CityU!G10</f>
        <v>24</v>
      </c>
      <c r="I29" s="209">
        <f>計分版!D33</f>
        <v>2.8499999999999999E-9</v>
      </c>
      <c r="J29" s="180">
        <f>CityU!K10</f>
        <v>69</v>
      </c>
      <c r="K29" s="43">
        <f>CityU!U10</f>
        <v>41</v>
      </c>
      <c r="L29" s="480">
        <f>IFERROR(CityU!AC10/CityU!V10,"新科目")</f>
        <v>7.8461538461538458</v>
      </c>
      <c r="M29" s="180">
        <f>入學要求!S11</f>
        <v>0</v>
      </c>
      <c r="U29" s="25"/>
    </row>
    <row r="30" spans="1:28">
      <c r="A30" s="180" t="str">
        <f>CityU!A11</f>
        <v>JS1018</v>
      </c>
      <c r="B30" s="16" t="s">
        <v>758</v>
      </c>
      <c r="C30" s="180" t="str">
        <f>CityU!C11</f>
        <v>工商管理學士(環球商業系統管理)</v>
      </c>
      <c r="D30" s="180" t="str">
        <f>CityU!D11</f>
        <v>BBAGBSM</v>
      </c>
      <c r="E30" s="192" t="str">
        <f>CityU!E11</f>
        <v>4C2X</v>
      </c>
      <c r="F30" s="184" t="s">
        <v>360</v>
      </c>
      <c r="G30" s="184">
        <f>CityU!F11</f>
        <v>26</v>
      </c>
      <c r="H30" s="184">
        <f>CityU!G11</f>
        <v>25</v>
      </c>
      <c r="I30" s="209">
        <f>計分版!D34</f>
        <v>2.8499999999999999E-9</v>
      </c>
      <c r="J30" s="180">
        <f>CityU!K11</f>
        <v>10</v>
      </c>
      <c r="K30" s="43">
        <f>CityU!U11</f>
        <v>11</v>
      </c>
      <c r="L30" s="480">
        <f>IFERROR(CityU!AC11/CityU!V11,"新科目")</f>
        <v>8.2727272727272734</v>
      </c>
      <c r="M30" s="180">
        <f>入學要求!S12</f>
        <v>0</v>
      </c>
    </row>
    <row r="31" spans="1:28">
      <c r="A31" s="180" t="str">
        <f>CityU!A12</f>
        <v>JS1019</v>
      </c>
      <c r="B31" s="16" t="s">
        <v>758</v>
      </c>
      <c r="C31" s="180" t="str">
        <f>CityU!C12</f>
        <v>工商管理學士(資訊管理)</v>
      </c>
      <c r="D31" s="180" t="str">
        <f>CityU!D12</f>
        <v>BBAIFMG</v>
      </c>
      <c r="E31" s="192" t="str">
        <f>CityU!E12</f>
        <v>4C2X</v>
      </c>
      <c r="F31" s="184" t="s">
        <v>360</v>
      </c>
      <c r="G31" s="184">
        <f>CityU!F12</f>
        <v>23</v>
      </c>
      <c r="H31" s="184">
        <f>CityU!G12</f>
        <v>22</v>
      </c>
      <c r="I31" s="209">
        <f>計分版!D35</f>
        <v>2.8499999999999999E-9</v>
      </c>
      <c r="J31" s="180">
        <f>CityU!K12</f>
        <v>10</v>
      </c>
      <c r="K31" s="43">
        <f>CityU!U12</f>
        <v>20</v>
      </c>
      <c r="L31" s="480">
        <f>IFERROR(CityU!AC12/CityU!V12,"新科目")</f>
        <v>7.2727272727272725</v>
      </c>
      <c r="M31" s="180">
        <f>入學要求!S13</f>
        <v>0</v>
      </c>
    </row>
    <row r="32" spans="1:28">
      <c r="A32" s="180" t="str">
        <f>CityU!A13</f>
        <v>JS1025</v>
      </c>
      <c r="B32" s="16" t="s">
        <v>758</v>
      </c>
      <c r="C32" s="180" t="str">
        <f>CityU!C13</f>
        <v>管理科學系 [選項: 工商管理學士(商業分析)、工商管理學士(商業營運管理)]</v>
      </c>
      <c r="D32" s="180" t="str">
        <f>CityU!D13</f>
        <v>MS</v>
      </c>
      <c r="E32" s="192" t="str">
        <f>CityU!E13</f>
        <v>4C2X</v>
      </c>
      <c r="F32" s="184" t="s">
        <v>360</v>
      </c>
      <c r="G32" s="184">
        <f>CityU!F13</f>
        <v>24</v>
      </c>
      <c r="H32" s="184">
        <f>CityU!G13</f>
        <v>24</v>
      </c>
      <c r="I32" s="209">
        <f>計分版!D36</f>
        <v>2.8499999999999999E-9</v>
      </c>
      <c r="J32" s="180">
        <f>CityU!K13</f>
        <v>46</v>
      </c>
      <c r="K32" s="43">
        <f>CityU!U13</f>
        <v>35</v>
      </c>
      <c r="L32" s="480">
        <f>IFERROR(CityU!AC13/CityU!V13,"新科目")</f>
        <v>5.96875</v>
      </c>
      <c r="M32" s="180">
        <f>入學要求!S14</f>
        <v>0</v>
      </c>
    </row>
    <row r="33" spans="1:16">
      <c r="A33" s="180" t="str">
        <f>CityU!A14</f>
        <v>JS1026</v>
      </c>
      <c r="B33" s="16" t="s">
        <v>758</v>
      </c>
      <c r="C33" s="180" t="str">
        <f>CityU!C14</f>
        <v>工商管理學士(商業分析)</v>
      </c>
      <c r="D33" s="180" t="str">
        <f>CityU!D14</f>
        <v>BBABANL</v>
      </c>
      <c r="E33" s="192" t="str">
        <f>CityU!E14</f>
        <v>4C2X</v>
      </c>
      <c r="F33" s="184" t="s">
        <v>360</v>
      </c>
      <c r="G33" s="184">
        <f>CityU!F14</f>
        <v>23</v>
      </c>
      <c r="H33" s="184">
        <f>CityU!G14</f>
        <v>23</v>
      </c>
      <c r="I33" s="209">
        <f>計分版!D37</f>
        <v>2.8499999999999999E-9</v>
      </c>
      <c r="J33" s="180">
        <f>CityU!K14</f>
        <v>16</v>
      </c>
      <c r="K33" s="43">
        <f>CityU!U14</f>
        <v>16</v>
      </c>
      <c r="L33" s="480">
        <f>IFERROR(CityU!AC14/CityU!V14,"新科目")</f>
        <v>5.5333333333333332</v>
      </c>
      <c r="M33" s="180">
        <f>入學要求!S15</f>
        <v>0</v>
      </c>
    </row>
    <row r="34" spans="1:16">
      <c r="A34" s="180" t="str">
        <f>CityU!A15</f>
        <v>JS1027</v>
      </c>
      <c r="B34" s="16" t="s">
        <v>758</v>
      </c>
      <c r="C34" s="180" t="str">
        <f>CityU!C15</f>
        <v>工商管理學士(商業營運管理)</v>
      </c>
      <c r="D34" s="180" t="str">
        <f>CityU!D15</f>
        <v>BBABOM</v>
      </c>
      <c r="E34" s="192" t="str">
        <f>CityU!E15</f>
        <v>4C2X</v>
      </c>
      <c r="F34" s="184" t="s">
        <v>360</v>
      </c>
      <c r="G34" s="184">
        <f>CityU!F15</f>
        <v>23</v>
      </c>
      <c r="H34" s="184">
        <f>CityU!G15</f>
        <v>22</v>
      </c>
      <c r="I34" s="209">
        <f>計分版!D38</f>
        <v>2.8499999999999999E-9</v>
      </c>
      <c r="J34" s="180">
        <f>CityU!K15</f>
        <v>16</v>
      </c>
      <c r="K34" s="43">
        <f>CityU!U15</f>
        <v>16</v>
      </c>
      <c r="L34" s="480">
        <f>IFERROR(CityU!AC15/CityU!V15,"新科目")</f>
        <v>9.2727272727272734</v>
      </c>
      <c r="M34" s="180">
        <f>入學要求!S16</f>
        <v>0</v>
      </c>
    </row>
    <row r="35" spans="1:16">
      <c r="A35" s="180" t="str">
        <f>CityU!A16</f>
        <v>JS1041</v>
      </c>
      <c r="B35" s="16" t="s">
        <v>758</v>
      </c>
      <c r="C35" s="180" t="str">
        <f>CityU!C16</f>
        <v>創意媒體學院 [選項: 文學士(創意媒體)、理學士(創意媒體)、文理學士(新媒體)]</v>
      </c>
      <c r="D35" s="180" t="str">
        <f>CityU!D16</f>
        <v>SCM</v>
      </c>
      <c r="E35" s="192" t="str">
        <f>CityU!E16</f>
        <v>4C2X</v>
      </c>
      <c r="F35" s="184" t="s">
        <v>360</v>
      </c>
      <c r="G35" s="184">
        <f>CityU!F16</f>
        <v>29</v>
      </c>
      <c r="H35" s="184">
        <f>CityU!G16</f>
        <v>28</v>
      </c>
      <c r="I35" s="209">
        <f>計分版!D39</f>
        <v>3.05E-9</v>
      </c>
      <c r="J35" s="180">
        <f>CityU!K16</f>
        <v>29</v>
      </c>
      <c r="K35" s="43">
        <f>CityU!U16</f>
        <v>27</v>
      </c>
      <c r="L35" s="480">
        <f>IFERROR(CityU!AC16/CityU!V16,"新科目")</f>
        <v>16.444444444444443</v>
      </c>
      <c r="M35" s="180">
        <f>入學要求!S17</f>
        <v>0</v>
      </c>
    </row>
    <row r="36" spans="1:16">
      <c r="A36" s="180" t="str">
        <f>CityU!A17</f>
        <v>JS1042</v>
      </c>
      <c r="B36" s="16" t="s">
        <v>758</v>
      </c>
      <c r="C36" s="180" t="str">
        <f>CityU!C17</f>
        <v>文學士(創意媒體)</v>
      </c>
      <c r="D36" s="180" t="str">
        <f>CityU!D17</f>
        <v>BACM</v>
      </c>
      <c r="E36" s="192" t="str">
        <f>CityU!E17</f>
        <v>4C2X</v>
      </c>
      <c r="F36" s="184" t="s">
        <v>360</v>
      </c>
      <c r="G36" s="184">
        <f>CityU!F17</f>
        <v>30</v>
      </c>
      <c r="H36" s="184">
        <f>CityU!G17</f>
        <v>29</v>
      </c>
      <c r="I36" s="209">
        <f>計分版!D40</f>
        <v>3.05E-9</v>
      </c>
      <c r="J36" s="180">
        <f>CityU!K17</f>
        <v>23</v>
      </c>
      <c r="K36" s="43">
        <f>CityU!U17</f>
        <v>21</v>
      </c>
      <c r="L36" s="480">
        <f>IFERROR(CityU!AC17/CityU!V17,"新科目")</f>
        <v>12.523809523809524</v>
      </c>
      <c r="M36" s="180">
        <f>入學要求!S18</f>
        <v>0</v>
      </c>
    </row>
    <row r="37" spans="1:16">
      <c r="A37" s="180" t="str">
        <f>CityU!A18</f>
        <v>JS1043</v>
      </c>
      <c r="B37" s="16" t="s">
        <v>758</v>
      </c>
      <c r="C37" s="180" t="str">
        <f>CityU!C18</f>
        <v>理學士(創意媒體)</v>
      </c>
      <c r="D37" s="180" t="str">
        <f>CityU!D18</f>
        <v>BScCM</v>
      </c>
      <c r="E37" s="192" t="str">
        <f>CityU!E18</f>
        <v>4C2X</v>
      </c>
      <c r="F37" s="184" t="s">
        <v>360</v>
      </c>
      <c r="G37" s="184">
        <f>CityU!F18</f>
        <v>29</v>
      </c>
      <c r="H37" s="184">
        <f>CityU!G18</f>
        <v>28.5</v>
      </c>
      <c r="I37" s="209">
        <f>計分版!D41</f>
        <v>3.1999999999999997E-9</v>
      </c>
      <c r="J37" s="180">
        <f>CityU!K18</f>
        <v>28</v>
      </c>
      <c r="K37" s="43">
        <f>CityU!U18</f>
        <v>26</v>
      </c>
      <c r="L37" s="480">
        <f>IFERROR(CityU!AC18/CityU!V18,"新科目")</f>
        <v>9.8076923076923084</v>
      </c>
      <c r="M37" s="180">
        <f>入學要求!S19</f>
        <v>0</v>
      </c>
    </row>
    <row r="38" spans="1:16">
      <c r="A38" s="180" t="str">
        <f>CityU!A19</f>
        <v>JS1044</v>
      </c>
      <c r="B38" s="16" t="s">
        <v>758</v>
      </c>
      <c r="C38" s="180" t="str">
        <f>CityU!C19</f>
        <v>文理學士(新媒體)</v>
      </c>
      <c r="D38" s="180" t="str">
        <f>CityU!D19</f>
        <v>BAS</v>
      </c>
      <c r="E38" s="192" t="str">
        <f>CityU!E19</f>
        <v>4C2X</v>
      </c>
      <c r="F38" s="184" t="s">
        <v>360</v>
      </c>
      <c r="G38" s="184">
        <f>CityU!F19</f>
        <v>27</v>
      </c>
      <c r="H38" s="184">
        <f>CityU!G19</f>
        <v>27</v>
      </c>
      <c r="I38" s="209">
        <f>計分版!D42</f>
        <v>3.05E-9</v>
      </c>
      <c r="J38" s="180">
        <f>CityU!K19</f>
        <v>21</v>
      </c>
      <c r="K38" s="43">
        <f>CityU!U19</f>
        <v>18</v>
      </c>
      <c r="L38" s="480">
        <f>IFERROR(CityU!AC19/CityU!V19,"新科目")</f>
        <v>9.3888888888888893</v>
      </c>
      <c r="M38" s="180">
        <f>入學要求!S20</f>
        <v>0</v>
      </c>
      <c r="O38" s="16"/>
      <c r="P38" s="16"/>
    </row>
    <row r="39" spans="1:16">
      <c r="A39" s="180" t="str">
        <f>CityU!A20</f>
        <v>JS1051</v>
      </c>
      <c r="B39" s="16" t="s">
        <v>758</v>
      </c>
      <c r="C39" s="180" t="str">
        <f>CityU!C20</f>
        <v>能源及環境學院 [選項: 工學士(能源科學及工程學)、工學士(環境科學及工程學)]</v>
      </c>
      <c r="D39" s="180" t="str">
        <f>CityU!D20</f>
        <v>SEE</v>
      </c>
      <c r="E39" s="192" t="str">
        <f>CityU!E20</f>
        <v>4C2X</v>
      </c>
      <c r="F39" s="184" t="s">
        <v>360</v>
      </c>
      <c r="G39" s="184">
        <f>CityU!F20</f>
        <v>37</v>
      </c>
      <c r="H39" s="184">
        <f>CityU!G20</f>
        <v>36</v>
      </c>
      <c r="I39" s="209">
        <f>計分版!D43</f>
        <v>4.1000000000000003E-9</v>
      </c>
      <c r="J39" s="180">
        <f>CityU!K20</f>
        <v>72</v>
      </c>
      <c r="K39" s="43">
        <f>CityU!U20</f>
        <v>39</v>
      </c>
      <c r="L39" s="480">
        <f>IFERROR(CityU!AC20/CityU!V20,"新科目")</f>
        <v>5.9411764705882355</v>
      </c>
      <c r="M39" s="180">
        <f>入學要求!S21</f>
        <v>0</v>
      </c>
    </row>
    <row r="40" spans="1:16">
      <c r="A40" s="180" t="str">
        <f>CityU!A21</f>
        <v>JS1061</v>
      </c>
      <c r="B40" s="16" t="s">
        <v>758</v>
      </c>
      <c r="C40" s="180" t="str">
        <f>CityU!C21</f>
        <v>法律學學士</v>
      </c>
      <c r="D40" s="180" t="str">
        <f>CityU!D21</f>
        <v>LLB</v>
      </c>
      <c r="E40" s="192" t="str">
        <f>CityU!E21</f>
        <v>4C2X</v>
      </c>
      <c r="F40" s="184" t="s">
        <v>360</v>
      </c>
      <c r="G40" s="184">
        <f>CityU!F21</f>
        <v>28</v>
      </c>
      <c r="H40" s="184">
        <f>CityU!G21</f>
        <v>26</v>
      </c>
      <c r="I40" s="209">
        <f>計分版!D44</f>
        <v>2.8499999999999999E-9</v>
      </c>
      <c r="J40" s="180">
        <f>CityU!K21</f>
        <v>60</v>
      </c>
      <c r="K40" s="43">
        <f>CityU!U21</f>
        <v>25</v>
      </c>
      <c r="L40" s="480">
        <f>IFERROR(CityU!AC21/CityU!V21,"新科目")</f>
        <v>4.4347826086956523</v>
      </c>
      <c r="M40" s="180">
        <f>入學要求!S22</f>
        <v>0</v>
      </c>
    </row>
    <row r="41" spans="1:16">
      <c r="A41" s="180" t="str">
        <f>CityU!A22</f>
        <v>JS1071</v>
      </c>
      <c r="B41" s="16" t="s">
        <v>758</v>
      </c>
      <c r="C41" s="180" t="str">
        <f>CityU!C22</f>
        <v>數據科學學院 [選項：理學士 (數據科學)、工學士 (數據與系統工程)]</v>
      </c>
      <c r="D41" s="180" t="str">
        <f>CityU!D22</f>
        <v>SDSC</v>
      </c>
      <c r="E41" s="192" t="str">
        <f>CityU!E22</f>
        <v>4C2X</v>
      </c>
      <c r="F41" s="184" t="s">
        <v>360</v>
      </c>
      <c r="G41" s="184">
        <f>CityU!F22</f>
        <v>32</v>
      </c>
      <c r="H41" s="184">
        <f>CityU!G22</f>
        <v>32</v>
      </c>
      <c r="I41" s="209">
        <f>計分版!D45</f>
        <v>3.3500000000000002E-9</v>
      </c>
      <c r="J41" s="180">
        <f>CityU!K22</f>
        <v>20</v>
      </c>
      <c r="K41" s="43">
        <f>CityU!U22</f>
        <v>17</v>
      </c>
      <c r="L41" s="480">
        <f>IFERROR(CityU!AC22/CityU!V22,"新科目")</f>
        <v>9.4375</v>
      </c>
      <c r="M41" s="180">
        <f>入學要求!S23</f>
        <v>0</v>
      </c>
    </row>
    <row r="42" spans="1:16">
      <c r="A42" s="180" t="str">
        <f>CityU!A23</f>
        <v>JS1072</v>
      </c>
      <c r="B42" s="16" t="s">
        <v>758</v>
      </c>
      <c r="C42" s="180" t="str">
        <f>CityU!C23</f>
        <v>理學士(數據科學)</v>
      </c>
      <c r="D42" s="180" t="str">
        <f>CityU!D23</f>
        <v>BScDSC</v>
      </c>
      <c r="E42" s="192" t="str">
        <f>CityU!E23</f>
        <v>4C2X</v>
      </c>
      <c r="F42" s="184" t="s">
        <v>360</v>
      </c>
      <c r="G42" s="184">
        <f>CityU!F23</f>
        <v>32</v>
      </c>
      <c r="H42" s="184">
        <f>CityU!G23</f>
        <v>31</v>
      </c>
      <c r="I42" s="209">
        <f>計分版!D46</f>
        <v>3.3500000000000002E-9</v>
      </c>
      <c r="J42" s="180">
        <f>CityU!K23</f>
        <v>30</v>
      </c>
      <c r="K42" s="43">
        <f>CityU!U23</f>
        <v>22</v>
      </c>
      <c r="L42" s="480">
        <f>IFERROR(CityU!AC23/CityU!V23,"新科目")</f>
        <v>10.571428571428571</v>
      </c>
      <c r="M42" s="180">
        <f>入學要求!S24</f>
        <v>0</v>
      </c>
    </row>
    <row r="43" spans="1:16">
      <c r="A43" s="180" t="str">
        <f>CityU!A24</f>
        <v>JS1073</v>
      </c>
      <c r="B43" s="16" t="s">
        <v>758</v>
      </c>
      <c r="C43" s="180" t="str">
        <f>CityU!C24</f>
        <v>工學士(數據與系統工程)</v>
      </c>
      <c r="D43" s="180" t="str">
        <f>CityU!D24</f>
        <v>BEngDSE</v>
      </c>
      <c r="E43" s="192" t="str">
        <f>CityU!E24</f>
        <v>4C2X</v>
      </c>
      <c r="F43" s="184" t="s">
        <v>360</v>
      </c>
      <c r="G43" s="184">
        <f>CityU!F24</f>
        <v>31</v>
      </c>
      <c r="H43" s="184">
        <f>CityU!G24</f>
        <v>31</v>
      </c>
      <c r="I43" s="209">
        <f>計分版!D47</f>
        <v>3.3500000000000002E-9</v>
      </c>
      <c r="J43" s="180">
        <f>CityU!K24</f>
        <v>20</v>
      </c>
      <c r="K43" s="43">
        <f>CityU!U24</f>
        <v>20</v>
      </c>
      <c r="L43" s="480">
        <f>IFERROR(CityU!AC24/CityU!V24,"新科目")</f>
        <v>13.4375</v>
      </c>
      <c r="M43" s="180">
        <f>入學要求!S25</f>
        <v>0</v>
      </c>
    </row>
    <row r="44" spans="1:16">
      <c r="A44" s="180" t="str">
        <f>CityU!A25</f>
        <v>JS1091</v>
      </c>
      <c r="B44" s="16" t="s">
        <v>758</v>
      </c>
      <c r="C44" s="180" t="str">
        <f>CityU!C25</f>
        <v>建築科技學部 [選項: 理學副學士(屋宇裝備工程學)、理學副學士(建造工程及管理學)、理學副學士(測量學)]</v>
      </c>
      <c r="D44" s="180" t="str">
        <f>CityU!D25</f>
        <v>BST</v>
      </c>
      <c r="E44" s="192" t="str">
        <f>CityU!E25</f>
        <v>中英3X</v>
      </c>
      <c r="F44" s="184" t="s">
        <v>360</v>
      </c>
      <c r="G44" s="184">
        <f>CityU!F25</f>
        <v>17</v>
      </c>
      <c r="H44" s="184">
        <f>CityU!G25</f>
        <v>15</v>
      </c>
      <c r="I44" s="209">
        <f>計分版!D48</f>
        <v>3.1500000000000005E-9</v>
      </c>
      <c r="J44" s="180">
        <f>CityU!K25</f>
        <v>340</v>
      </c>
      <c r="K44" s="43">
        <f>CityU!U25</f>
        <v>682</v>
      </c>
      <c r="L44" s="480">
        <f>IFERROR(CityU!AC25/CityU!V25,"新科目")</f>
        <v>2.4354354354354353</v>
      </c>
      <c r="M44" s="180">
        <f>入學要求!S26</f>
        <v>0</v>
      </c>
    </row>
    <row r="45" spans="1:16">
      <c r="A45" s="180" t="str">
        <f>CityU!A26</f>
        <v>JS1093</v>
      </c>
      <c r="B45" s="16" t="s">
        <v>758</v>
      </c>
      <c r="C45" s="180" t="str">
        <f>CityU!C26</f>
        <v>理學副學士(建築學)</v>
      </c>
      <c r="D45" s="180" t="str">
        <f>CityU!D26</f>
        <v>AScAS</v>
      </c>
      <c r="E45" s="192" t="str">
        <f>CityU!E26</f>
        <v>中英3X</v>
      </c>
      <c r="F45" s="184" t="s">
        <v>360</v>
      </c>
      <c r="G45" s="184">
        <f>CityU!F26</f>
        <v>19</v>
      </c>
      <c r="H45" s="184">
        <f>CityU!G26</f>
        <v>18</v>
      </c>
      <c r="I45" s="209">
        <f>計分版!D49</f>
        <v>3.1500000000000005E-9</v>
      </c>
      <c r="J45" s="180">
        <f>CityU!K26</f>
        <v>92</v>
      </c>
      <c r="K45" s="43">
        <f>CityU!U26</f>
        <v>281</v>
      </c>
      <c r="L45" s="480">
        <f>IFERROR(CityU!AC26/CityU!V26,"新科目")</f>
        <v>4.5394736842105265</v>
      </c>
      <c r="M45" s="180">
        <f>入學要求!S27</f>
        <v>0</v>
      </c>
    </row>
    <row r="46" spans="1:16">
      <c r="A46" s="180" t="str">
        <f>CityU!A27</f>
        <v>JS1102</v>
      </c>
      <c r="B46" s="16" t="s">
        <v>758</v>
      </c>
      <c r="C46" s="180" t="str">
        <f>CityU!C27</f>
        <v>社會科學學士(亞洲及國際研究)</v>
      </c>
      <c r="D46" s="180" t="str">
        <f>CityU!D27</f>
        <v>BSocScASIS</v>
      </c>
      <c r="E46" s="192" t="str">
        <f>CityU!E27</f>
        <v>4C2X</v>
      </c>
      <c r="F46" s="184" t="s">
        <v>360</v>
      </c>
      <c r="G46" s="184">
        <f>CityU!F27</f>
        <v>24</v>
      </c>
      <c r="H46" s="184">
        <f>CityU!G27</f>
        <v>24</v>
      </c>
      <c r="I46" s="209">
        <f>計分版!D50</f>
        <v>2.8499999999999999E-9</v>
      </c>
      <c r="J46" s="180">
        <f>CityU!K27</f>
        <v>17</v>
      </c>
      <c r="K46" s="43">
        <f>CityU!U27</f>
        <v>17</v>
      </c>
      <c r="L46" s="480">
        <f>IFERROR(CityU!AC27/CityU!V27,"新科目")</f>
        <v>6.4375</v>
      </c>
      <c r="M46" s="180">
        <f>入學要求!S28</f>
        <v>0</v>
      </c>
    </row>
    <row r="47" spans="1:16">
      <c r="A47" s="180" t="str">
        <f>CityU!A28</f>
        <v>JS1103</v>
      </c>
      <c r="B47" s="16" t="s">
        <v>758</v>
      </c>
      <c r="C47" s="180" t="str">
        <f>CityU!C28</f>
        <v>文學士(中文及歷史)</v>
      </c>
      <c r="D47" s="180" t="str">
        <f>CityU!D28</f>
        <v>BACHIS</v>
      </c>
      <c r="E47" s="192" t="str">
        <f>CityU!E28</f>
        <v>4C2X</v>
      </c>
      <c r="F47" s="184" t="s">
        <v>360</v>
      </c>
      <c r="G47" s="184">
        <f>CityU!F28</f>
        <v>36.5</v>
      </c>
      <c r="H47" s="184">
        <f>CityU!G28</f>
        <v>35</v>
      </c>
      <c r="I47" s="209">
        <f>計分版!D51</f>
        <v>3.3500000000000002E-9</v>
      </c>
      <c r="J47" s="180">
        <f>CityU!K28</f>
        <v>45</v>
      </c>
      <c r="K47" s="43">
        <f>CityU!U28</f>
        <v>43</v>
      </c>
      <c r="L47" s="480">
        <f>IFERROR(CityU!AC28/CityU!V28,"新科目")</f>
        <v>12.40625</v>
      </c>
      <c r="M47" s="180">
        <f>入學要求!S29</f>
        <v>0</v>
      </c>
      <c r="O47" s="16"/>
      <c r="P47" s="16"/>
    </row>
    <row r="48" spans="1:16">
      <c r="A48" s="180" t="str">
        <f>CityU!A29</f>
        <v>JS1104</v>
      </c>
      <c r="B48" s="16" t="s">
        <v>758</v>
      </c>
      <c r="C48" s="180" t="str">
        <f>CityU!C29</f>
        <v>文學士(英語語言)</v>
      </c>
      <c r="D48" s="180" t="str">
        <f>CityU!D29</f>
        <v>BAEN</v>
      </c>
      <c r="E48" s="192" t="str">
        <f>CityU!E29</f>
        <v>4C2X</v>
      </c>
      <c r="F48" s="184" t="s">
        <v>360</v>
      </c>
      <c r="G48" s="184">
        <f>CityU!F29</f>
        <v>33.5</v>
      </c>
      <c r="H48" s="184">
        <f>CityU!G29</f>
        <v>33.5</v>
      </c>
      <c r="I48" s="209">
        <f>計分版!D52</f>
        <v>3.3500000000000002E-9</v>
      </c>
      <c r="J48" s="180">
        <f>CityU!K29</f>
        <v>26</v>
      </c>
      <c r="K48" s="43">
        <f>CityU!U29</f>
        <v>21</v>
      </c>
      <c r="L48" s="480">
        <f>IFERROR(CityU!AC29/CityU!V29,"新科目")</f>
        <v>8.1</v>
      </c>
      <c r="M48" s="180">
        <f>入學要求!S30</f>
        <v>0</v>
      </c>
    </row>
    <row r="49" spans="1:16">
      <c r="A49" s="180" t="str">
        <f>CityU!A30</f>
        <v>JS1105</v>
      </c>
      <c r="B49" s="16" t="s">
        <v>758</v>
      </c>
      <c r="C49" s="180" t="str">
        <f>CityU!C30</f>
        <v>翻譯及語言學系 [選項: 文學士(語言學及語言應用)、文學士(翻譯及傳譯)]</v>
      </c>
      <c r="D49" s="180" t="str">
        <f>CityU!D30</f>
        <v>LT</v>
      </c>
      <c r="E49" s="192" t="str">
        <f>CityU!E30</f>
        <v>4C2X</v>
      </c>
      <c r="F49" s="184" t="s">
        <v>360</v>
      </c>
      <c r="G49" s="184">
        <f>CityU!F30</f>
        <v>30</v>
      </c>
      <c r="H49" s="184">
        <f>CityU!G30</f>
        <v>28.5</v>
      </c>
      <c r="I49" s="209">
        <f>計分版!D53</f>
        <v>3.0999999999999996E-9</v>
      </c>
      <c r="J49" s="180">
        <f>CityU!K30</f>
        <v>39</v>
      </c>
      <c r="K49" s="43">
        <f>CityU!U30</f>
        <v>37</v>
      </c>
      <c r="L49" s="480">
        <f>IFERROR(CityU!AC30/CityU!V30,"新科目")</f>
        <v>6.1428571428571432</v>
      </c>
      <c r="M49" s="180">
        <f>入學要求!S31</f>
        <v>0</v>
      </c>
    </row>
    <row r="50" spans="1:16">
      <c r="A50" s="180" t="str">
        <f>CityU!A31</f>
        <v>JS1106</v>
      </c>
      <c r="B50" s="16" t="s">
        <v>758</v>
      </c>
      <c r="C50" s="180" t="str">
        <f>CityU!C31</f>
        <v>媒體與傳播系 [選項: 文學士(數碼電視與廣播)、文學士(媒體與傳播)]</v>
      </c>
      <c r="D50" s="180" t="str">
        <f>CityU!D31</f>
        <v>COM</v>
      </c>
      <c r="E50" s="192" t="str">
        <f>CityU!E31</f>
        <v>4C2X</v>
      </c>
      <c r="F50" s="184" t="s">
        <v>360</v>
      </c>
      <c r="G50" s="184">
        <f>CityU!F31</f>
        <v>23</v>
      </c>
      <c r="H50" s="184">
        <f>CityU!G31</f>
        <v>22.25</v>
      </c>
      <c r="I50" s="209">
        <f>計分版!D54</f>
        <v>3.9500000000000006E-9</v>
      </c>
      <c r="J50" s="180">
        <f>CityU!K31</f>
        <v>49</v>
      </c>
      <c r="K50" s="43">
        <f>CityU!U31</f>
        <v>43</v>
      </c>
      <c r="L50" s="480">
        <f>IFERROR(CityU!AC31/CityU!V31,"新科目")</f>
        <v>17.5</v>
      </c>
      <c r="M50" s="180">
        <f>入學要求!S32</f>
        <v>0</v>
      </c>
      <c r="O50" s="16"/>
      <c r="P50" s="16"/>
    </row>
    <row r="51" spans="1:16" s="180" customFormat="1">
      <c r="A51" s="180" t="str">
        <f>CityU!A32</f>
        <v>JS1108</v>
      </c>
      <c r="B51" s="16" t="s">
        <v>758</v>
      </c>
      <c r="C51" s="180" t="str">
        <f>CityU!C32</f>
        <v>社會科學學士(公共政策與政治)</v>
      </c>
      <c r="D51" s="180" t="str">
        <f>CityU!D32</f>
        <v>BSocScPPP</v>
      </c>
      <c r="E51" s="192" t="str">
        <f>CityU!E32</f>
        <v>4C2X</v>
      </c>
      <c r="F51" s="184" t="s">
        <v>360</v>
      </c>
      <c r="G51" s="184">
        <f>CityU!F32</f>
        <v>30</v>
      </c>
      <c r="H51" s="184">
        <f>CityU!G32</f>
        <v>29</v>
      </c>
      <c r="I51" s="209">
        <f>計分版!D55</f>
        <v>3.2500000000000002E-9</v>
      </c>
      <c r="J51" s="180">
        <f>CityU!K32</f>
        <v>72</v>
      </c>
      <c r="K51" s="43">
        <f>CityU!U32</f>
        <v>65</v>
      </c>
      <c r="L51" s="480">
        <f>IFERROR(CityU!AC32/CityU!V32,"新科目")</f>
        <v>4.4482758620689653</v>
      </c>
      <c r="M51" s="180">
        <f>入學要求!S33</f>
        <v>0</v>
      </c>
    </row>
    <row r="52" spans="1:16">
      <c r="A52" s="180" t="str">
        <f>CityU!A33</f>
        <v>JS1110</v>
      </c>
      <c r="B52" s="16" t="s">
        <v>758</v>
      </c>
      <c r="C52" s="180" t="str">
        <f>CityU!C33</f>
        <v>社會及行為科學系 [選項: 社會科學學士(犯罪學及社會學)、社會科學學士(心理學)、社會科學學士(社會工作)]</v>
      </c>
      <c r="D52" s="180" t="str">
        <f>CityU!D33</f>
        <v>SS</v>
      </c>
      <c r="E52" s="192" t="str">
        <f>CityU!E33</f>
        <v>4C2X</v>
      </c>
      <c r="F52" s="184" t="s">
        <v>360</v>
      </c>
      <c r="G52" s="184">
        <f>CityU!F33</f>
        <v>30</v>
      </c>
      <c r="H52" s="184">
        <f>CityU!G33</f>
        <v>30</v>
      </c>
      <c r="I52" s="209">
        <f>計分版!D56</f>
        <v>3.05E-9</v>
      </c>
      <c r="J52" s="180">
        <f>CityU!K33</f>
        <v>18</v>
      </c>
      <c r="K52" s="43">
        <f>CityU!U33</f>
        <v>20</v>
      </c>
      <c r="L52" s="480">
        <f>IFERROR(CityU!AC33/CityU!V33,"新科目")</f>
        <v>25.666666666666668</v>
      </c>
      <c r="M52" s="180">
        <f>入學要求!S34</f>
        <v>0</v>
      </c>
      <c r="O52" s="16"/>
      <c r="P52" s="16"/>
    </row>
    <row r="53" spans="1:16">
      <c r="A53" s="180" t="str">
        <f>CityU!A34</f>
        <v>JS1111</v>
      </c>
      <c r="B53" s="16" t="s">
        <v>758</v>
      </c>
      <c r="C53" s="180" t="str">
        <f>CityU!C34</f>
        <v>社會科學學士(犯罪學及社會學)</v>
      </c>
      <c r="D53" s="180" t="str">
        <f>CityU!D34</f>
        <v>BSocScCRSO</v>
      </c>
      <c r="E53" s="192" t="str">
        <f>CityU!E34</f>
        <v>4C2X</v>
      </c>
      <c r="F53" s="184" t="s">
        <v>360</v>
      </c>
      <c r="G53" s="184">
        <f>CityU!F34</f>
        <v>28</v>
      </c>
      <c r="H53" s="184">
        <f>CityU!G34</f>
        <v>28</v>
      </c>
      <c r="I53" s="209">
        <f>計分版!D57</f>
        <v>3.05E-9</v>
      </c>
      <c r="J53" s="180">
        <f>CityU!K34</f>
        <v>24</v>
      </c>
      <c r="K53" s="43">
        <f>CityU!U34</f>
        <v>25</v>
      </c>
      <c r="L53" s="480">
        <f>IFERROR(CityU!AC34/CityU!V34,"新科目")</f>
        <v>15.7</v>
      </c>
      <c r="M53" s="180">
        <f>入學要求!S35</f>
        <v>0</v>
      </c>
    </row>
    <row r="54" spans="1:16">
      <c r="A54" s="180" t="str">
        <f>CityU!A35</f>
        <v>JS1112</v>
      </c>
      <c r="B54" s="16" t="s">
        <v>758</v>
      </c>
      <c r="C54" s="180" t="str">
        <f>CityU!C35</f>
        <v>社會科學學士(心理學)</v>
      </c>
      <c r="D54" s="180" t="str">
        <f>CityU!D35</f>
        <v>BSocScPSY</v>
      </c>
      <c r="E54" s="192" t="str">
        <f>CityU!E35</f>
        <v>4C2X</v>
      </c>
      <c r="F54" s="184" t="s">
        <v>360</v>
      </c>
      <c r="G54" s="184">
        <f>CityU!F35</f>
        <v>29</v>
      </c>
      <c r="H54" s="184">
        <f>CityU!G35</f>
        <v>29</v>
      </c>
      <c r="I54" s="209">
        <f>計分版!D58</f>
        <v>3.05E-9</v>
      </c>
      <c r="J54" s="180">
        <f>CityU!K35</f>
        <v>17</v>
      </c>
      <c r="K54" s="43">
        <f>CityU!U35</f>
        <v>18</v>
      </c>
      <c r="L54" s="480">
        <f>IFERROR(CityU!AC35/CityU!V35,"新科目")</f>
        <v>19.944444444444443</v>
      </c>
      <c r="M54" s="180">
        <f>入學要求!S36</f>
        <v>0</v>
      </c>
    </row>
    <row r="55" spans="1:16">
      <c r="A55" s="180" t="str">
        <f>CityU!A36</f>
        <v>JS1113</v>
      </c>
      <c r="B55" s="16" t="s">
        <v>758</v>
      </c>
      <c r="C55" s="180" t="str">
        <f>CityU!C36</f>
        <v>社會科學學士(社會工作)</v>
      </c>
      <c r="D55" s="180" t="str">
        <f>CityU!D36</f>
        <v>BSocScSW</v>
      </c>
      <c r="E55" s="192" t="str">
        <f>CityU!E36</f>
        <v>4C2X</v>
      </c>
      <c r="F55" s="184" t="s">
        <v>360</v>
      </c>
      <c r="G55" s="184">
        <f>CityU!F36</f>
        <v>28</v>
      </c>
      <c r="H55" s="184">
        <f>CityU!G36</f>
        <v>28</v>
      </c>
      <c r="I55" s="209">
        <f>計分版!D59</f>
        <v>3.05E-9</v>
      </c>
      <c r="J55" s="180">
        <f>CityU!K36</f>
        <v>42</v>
      </c>
      <c r="K55" s="43">
        <f>CityU!U36</f>
        <v>45</v>
      </c>
      <c r="L55" s="480">
        <f>IFERROR(CityU!AC36/CityU!V36,"新科目")</f>
        <v>13.466666666666667</v>
      </c>
      <c r="M55" s="180">
        <f>入學要求!S37</f>
        <v>0</v>
      </c>
    </row>
    <row r="56" spans="1:16">
      <c r="A56" s="180" t="str">
        <f>CityU!A37</f>
        <v>JS1200</v>
      </c>
      <c r="B56" s="16" t="s">
        <v>758</v>
      </c>
      <c r="C56" s="180" t="str">
        <f>CityU!C37</f>
        <v>環球精研與科創課程</v>
      </c>
      <c r="D56" s="180" t="str">
        <f>CityU!D37</f>
        <v>GREAT</v>
      </c>
      <c r="E56" s="192" t="str">
        <f>CityU!E37</f>
        <v>Best 5</v>
      </c>
      <c r="F56" s="184" t="s">
        <v>792</v>
      </c>
      <c r="G56" s="184" t="str">
        <f>CityU!F37</f>
        <v>/</v>
      </c>
      <c r="H56" s="184" t="str">
        <f>CityU!G37</f>
        <v>/</v>
      </c>
      <c r="I56" s="209">
        <f>計分版!D60</f>
        <v>4.4000000000000005E-9</v>
      </c>
      <c r="J56" s="180">
        <f>CityU!K37</f>
        <v>18</v>
      </c>
      <c r="K56" s="43" t="str">
        <f>CityU!U37</f>
        <v>/</v>
      </c>
      <c r="L56" s="480" t="str">
        <f>IFERROR(CityU!AC37/CityU!V37,"新科目")</f>
        <v>新科目</v>
      </c>
      <c r="M56" s="180">
        <f>入學要求!S38</f>
        <v>0</v>
      </c>
    </row>
    <row r="57" spans="1:16">
      <c r="A57" s="180" t="str">
        <f>CityU!A38</f>
        <v>JS1201</v>
      </c>
      <c r="B57" s="16" t="s">
        <v>758</v>
      </c>
      <c r="C57" s="180" t="str">
        <f>CityU!C38</f>
        <v>建築學及土木工程學系 [選項: 工學士(建築工程)、工學士(土木工程)、理學士(測量學)]</v>
      </c>
      <c r="D57" s="180" t="str">
        <f>CityU!D38</f>
        <v>ACE</v>
      </c>
      <c r="E57" s="192" t="str">
        <f>CityU!E38</f>
        <v>Best 6</v>
      </c>
      <c r="F57" s="184" t="s">
        <v>792</v>
      </c>
      <c r="G57" s="184" t="str">
        <f>CityU!F38</f>
        <v>/</v>
      </c>
      <c r="H57" s="184" t="str">
        <f>CityU!G38</f>
        <v>/</v>
      </c>
      <c r="I57" s="209">
        <f>計分版!D61</f>
        <v>5.0000000000000001E-9</v>
      </c>
      <c r="J57" s="180">
        <f>CityU!K38</f>
        <v>112</v>
      </c>
      <c r="K57" s="43" t="str">
        <f>CityU!U38</f>
        <v>/</v>
      </c>
      <c r="L57" s="480" t="str">
        <f>IFERROR(CityU!AC38/CityU!V38,"新科目")</f>
        <v>新科目</v>
      </c>
      <c r="M57" s="180">
        <f>入學要求!S39</f>
        <v>0</v>
      </c>
    </row>
    <row r="58" spans="1:16">
      <c r="A58" s="180" t="str">
        <f>CityU!A39</f>
        <v>JS1202</v>
      </c>
      <c r="B58" s="16" t="s">
        <v>758</v>
      </c>
      <c r="C58" s="180" t="str">
        <f>CityU!C39</f>
        <v>理學士(化學)</v>
      </c>
      <c r="D58" s="180" t="str">
        <f>CityU!D39</f>
        <v>BScCHEM</v>
      </c>
      <c r="E58" s="192" t="str">
        <f>CityU!E39</f>
        <v>4C2X</v>
      </c>
      <c r="F58" s="184" t="s">
        <v>360</v>
      </c>
      <c r="G58" s="184">
        <f>CityU!F39</f>
        <v>32</v>
      </c>
      <c r="H58" s="184">
        <f>CityU!G39</f>
        <v>30</v>
      </c>
      <c r="I58" s="209">
        <f>計分版!D62</f>
        <v>3.1999999999999997E-9</v>
      </c>
      <c r="J58" s="180">
        <f>CityU!K39</f>
        <v>42</v>
      </c>
      <c r="K58" s="43">
        <f>CityU!U39</f>
        <v>47</v>
      </c>
      <c r="L58" s="480">
        <f>IFERROR(CityU!AC39/CityU!V39,"新科目")</f>
        <v>5.6</v>
      </c>
      <c r="M58" s="180">
        <f>入學要求!S40</f>
        <v>0</v>
      </c>
    </row>
    <row r="59" spans="1:16">
      <c r="A59" s="180" t="str">
        <f>CityU!A40</f>
        <v>JS1204</v>
      </c>
      <c r="B59" s="16" t="s">
        <v>758</v>
      </c>
      <c r="C59" s="180" t="str">
        <f>CityU!C40</f>
        <v>理學士(電腦科學)</v>
      </c>
      <c r="D59" s="180" t="str">
        <f>CityU!D40</f>
        <v>BScCSC</v>
      </c>
      <c r="E59" s="192" t="str">
        <f>CityU!E40</f>
        <v>4C2X</v>
      </c>
      <c r="F59" s="184" t="s">
        <v>360</v>
      </c>
      <c r="G59" s="184">
        <f>CityU!F40</f>
        <v>27</v>
      </c>
      <c r="H59" s="184">
        <f>CityU!G40</f>
        <v>26</v>
      </c>
      <c r="I59" s="209">
        <f>計分版!D63</f>
        <v>3.05E-9</v>
      </c>
      <c r="J59" s="180">
        <f>CityU!K40</f>
        <v>103</v>
      </c>
      <c r="K59" s="43">
        <f>CityU!U40</f>
        <v>81</v>
      </c>
      <c r="L59" s="480">
        <f>IFERROR(CityU!AC40/CityU!V40,"新科目")</f>
        <v>7.7407407407407405</v>
      </c>
      <c r="M59" s="180">
        <f>入學要求!S41</f>
        <v>0</v>
      </c>
    </row>
    <row r="60" spans="1:16">
      <c r="A60" s="180" t="str">
        <f>CityU!A41</f>
        <v>JS1205</v>
      </c>
      <c r="B60" s="16" t="s">
        <v>758</v>
      </c>
      <c r="C60" s="180" t="str">
        <f>CityU!C41</f>
        <v>電機工程學系 [選項: 工學士(電子計算機及數據工程學)、工學士(電子及電機工程學)、工學士(資訊工程學)]</v>
      </c>
      <c r="D60" s="180" t="str">
        <f>CityU!D41</f>
        <v>EE</v>
      </c>
      <c r="E60" s="192" t="str">
        <f>CityU!E41</f>
        <v>4C2X</v>
      </c>
      <c r="F60" s="184" t="s">
        <v>360</v>
      </c>
      <c r="G60" s="184">
        <f>CityU!F41</f>
        <v>35</v>
      </c>
      <c r="H60" s="184">
        <f>CityU!G41</f>
        <v>33.5</v>
      </c>
      <c r="I60" s="209">
        <f>計分版!D64</f>
        <v>3.4500000000000003E-9</v>
      </c>
      <c r="J60" s="180">
        <f>CityU!K41</f>
        <v>163</v>
      </c>
      <c r="K60" s="43">
        <f>CityU!U41</f>
        <v>99</v>
      </c>
      <c r="L60" s="480">
        <f>IFERROR(CityU!AC41/CityU!V41,"新科目")</f>
        <v>6.4333333333333336</v>
      </c>
      <c r="M60" s="180">
        <f>入學要求!S42</f>
        <v>0</v>
      </c>
    </row>
    <row r="61" spans="1:16">
      <c r="A61" s="180" t="str">
        <f>CityU!A42</f>
        <v>JS1206</v>
      </c>
      <c r="B61" s="16" t="s">
        <v>758</v>
      </c>
      <c r="C61" s="180" t="str">
        <f>CityU!C42</f>
        <v>理學士(計算數學)</v>
      </c>
      <c r="D61" s="180" t="str">
        <f>CityU!D42</f>
        <v>BScCM</v>
      </c>
      <c r="E61" s="192" t="str">
        <f>CityU!E42</f>
        <v>4C2X</v>
      </c>
      <c r="F61" s="184" t="s">
        <v>360</v>
      </c>
      <c r="G61" s="184">
        <f>CityU!F42</f>
        <v>36.5</v>
      </c>
      <c r="H61" s="184">
        <f>CityU!G42</f>
        <v>36.5</v>
      </c>
      <c r="I61" s="209">
        <f>計分版!D65</f>
        <v>3.6E-9</v>
      </c>
      <c r="J61" s="180">
        <f>CityU!K42</f>
        <v>36</v>
      </c>
      <c r="K61" s="43">
        <f>CityU!U42</f>
        <v>35</v>
      </c>
      <c r="L61" s="480">
        <f>IFERROR(CityU!AC42/CityU!V42,"新科目")</f>
        <v>6.4848484848484844</v>
      </c>
      <c r="M61" s="180">
        <f>入學要求!S43</f>
        <v>0</v>
      </c>
    </row>
    <row r="62" spans="1:16">
      <c r="A62" s="180" t="str">
        <f>CityU!A43</f>
        <v>JS1207</v>
      </c>
      <c r="B62" s="16" t="s">
        <v>758</v>
      </c>
      <c r="C62" s="180" t="str">
        <f>CityU!C43</f>
        <v>機械工程學系 [選項: 工學士(機械工程)、工學士(核子及風險工程)]</v>
      </c>
      <c r="D62" s="180" t="str">
        <f>CityU!D43</f>
        <v>MNE</v>
      </c>
      <c r="E62" s="192" t="str">
        <f>CityU!E43</f>
        <v>4C2X</v>
      </c>
      <c r="F62" s="184" t="s">
        <v>360</v>
      </c>
      <c r="G62" s="184">
        <f>CityU!F43</f>
        <v>33</v>
      </c>
      <c r="H62" s="184">
        <f>CityU!G43</f>
        <v>32</v>
      </c>
      <c r="I62" s="209">
        <f>計分版!D66</f>
        <v>3.3500000000000002E-9</v>
      </c>
      <c r="J62" s="180">
        <f>CityU!K43</f>
        <v>90</v>
      </c>
      <c r="K62" s="43">
        <f>CityU!U43</f>
        <v>66</v>
      </c>
      <c r="L62" s="480">
        <f>IFERROR(CityU!AC43/CityU!V43,"新科目")</f>
        <v>7.3968253968253972</v>
      </c>
      <c r="M62" s="180">
        <f>入學要求!S44</f>
        <v>0</v>
      </c>
    </row>
    <row r="63" spans="1:16">
      <c r="A63" s="180" t="str">
        <f>CityU!A44</f>
        <v>JS1208</v>
      </c>
      <c r="B63" s="16" t="s">
        <v>758</v>
      </c>
      <c r="C63" s="180" t="str">
        <f>CityU!C44</f>
        <v>理學士(物理學)</v>
      </c>
      <c r="D63" s="180" t="str">
        <f>CityU!D44</f>
        <v>BScPHY</v>
      </c>
      <c r="E63" s="192" t="str">
        <f>CityU!E44</f>
        <v>4C2X</v>
      </c>
      <c r="F63" s="184" t="s">
        <v>360</v>
      </c>
      <c r="G63" s="184">
        <f>CityU!F44</f>
        <v>31</v>
      </c>
      <c r="H63" s="184">
        <f>CityU!G44</f>
        <v>28.75</v>
      </c>
      <c r="I63" s="209">
        <f>計分版!D67</f>
        <v>3.1249999999999999E-9</v>
      </c>
      <c r="J63" s="180">
        <f>CityU!K44</f>
        <v>30</v>
      </c>
      <c r="K63" s="43">
        <f>CityU!U44</f>
        <v>13</v>
      </c>
      <c r="L63" s="480">
        <f>IFERROR(CityU!AC44/CityU!V44,"新科目")</f>
        <v>15.125</v>
      </c>
      <c r="M63" s="180">
        <f>入學要求!S45</f>
        <v>0</v>
      </c>
    </row>
    <row r="64" spans="1:16">
      <c r="A64" s="180" t="str">
        <f>CityU!A45</f>
        <v>JS1210</v>
      </c>
      <c r="B64" s="16" t="s">
        <v>758</v>
      </c>
      <c r="C64" s="180" t="str">
        <f>CityU!C45</f>
        <v>工學士(材料科學及工程)</v>
      </c>
      <c r="D64" s="180" t="str">
        <f>CityU!D45</f>
        <v>BEngMASE</v>
      </c>
      <c r="E64" s="192" t="str">
        <f>CityU!E45</f>
        <v>4C2X</v>
      </c>
      <c r="F64" s="184" t="s">
        <v>360</v>
      </c>
      <c r="G64" s="184">
        <f>CityU!F45</f>
        <v>30</v>
      </c>
      <c r="H64" s="184">
        <f>CityU!G45</f>
        <v>29.5</v>
      </c>
      <c r="I64" s="209">
        <f>計分版!D68</f>
        <v>3.05E-9</v>
      </c>
      <c r="J64" s="180">
        <f>CityU!K45</f>
        <v>38</v>
      </c>
      <c r="K64" s="43">
        <f>CityU!U45</f>
        <v>12</v>
      </c>
      <c r="L64" s="480">
        <f>IFERROR(CityU!AC45/CityU!V45,"新科目")</f>
        <v>8.8181818181818183</v>
      </c>
      <c r="M64" s="180">
        <f>入學要求!S46</f>
        <v>0</v>
      </c>
    </row>
    <row r="65" spans="1:16">
      <c r="A65" s="180" t="str">
        <f>CityU!A46</f>
        <v>JS1211</v>
      </c>
      <c r="B65" s="16" t="s">
        <v>758</v>
      </c>
      <c r="C65" s="180" t="str">
        <f>CityU!C46</f>
        <v>工學士(生物醫學工程)</v>
      </c>
      <c r="D65" s="180" t="str">
        <f>CityU!D46</f>
        <v>BEngBME</v>
      </c>
      <c r="E65" s="192" t="str">
        <f>CityU!E46</f>
        <v>4C2X</v>
      </c>
      <c r="F65" s="184" t="s">
        <v>360</v>
      </c>
      <c r="G65" s="184">
        <f>CityU!F46</f>
        <v>38</v>
      </c>
      <c r="H65" s="184">
        <f>CityU!G46</f>
        <v>37</v>
      </c>
      <c r="I65" s="209">
        <f>計分版!D69</f>
        <v>3.3500000000000002E-9</v>
      </c>
      <c r="J65" s="180">
        <f>CityU!K46</f>
        <v>50</v>
      </c>
      <c r="K65" s="43">
        <f>CityU!U46</f>
        <v>55</v>
      </c>
      <c r="L65" s="480">
        <f>IFERROR(CityU!AC46/CityU!V46,"新科目")</f>
        <v>8.1914893617021285</v>
      </c>
      <c r="M65" s="180">
        <f>入學要求!S47</f>
        <v>0</v>
      </c>
    </row>
    <row r="66" spans="1:16" s="180" customFormat="1">
      <c r="A66" s="180" t="str">
        <f>CityU!A47</f>
        <v>JS1216</v>
      </c>
      <c r="B66" s="180" t="s">
        <v>758</v>
      </c>
      <c r="C66" s="180" t="str">
        <f>CityU!C47</f>
        <v>工學士(智能製造工程學)</v>
      </c>
      <c r="D66" s="180" t="str">
        <f>CityU!D47</f>
        <v>ITME</v>
      </c>
      <c r="E66" s="192" t="str">
        <f>CityU!E47</f>
        <v>Best 5</v>
      </c>
      <c r="F66" s="184" t="s">
        <v>360</v>
      </c>
      <c r="G66" s="184" t="str">
        <f>CityU!F47</f>
        <v>/</v>
      </c>
      <c r="H66" s="184" t="str">
        <f>CityU!G47</f>
        <v>/</v>
      </c>
      <c r="I66" s="209">
        <f>計分版!D70</f>
        <v>4.0000000000000002E-9</v>
      </c>
      <c r="J66" s="180">
        <f>CityU!K47</f>
        <v>20</v>
      </c>
      <c r="K66" s="43" t="str">
        <f>CityU!U47</f>
        <v>/</v>
      </c>
      <c r="L66" s="480" t="str">
        <f>IFERROR(CityU!AC47/CityU!V47,"新科目")</f>
        <v>新科目</v>
      </c>
      <c r="M66" s="180">
        <f>入學要求!S48</f>
        <v>0</v>
      </c>
      <c r="O66" s="21"/>
      <c r="P66" s="21"/>
    </row>
    <row r="67" spans="1:16">
      <c r="A67" s="180" t="str">
        <f>CityU!A48</f>
        <v>JS1801</v>
      </c>
      <c r="B67" s="16" t="s">
        <v>758</v>
      </c>
      <c r="C67" s="180" t="str">
        <f>CityU!C48</f>
        <v>獸醫學學士</v>
      </c>
      <c r="D67" s="180" t="str">
        <f>CityU!D48</f>
        <v>BVM</v>
      </c>
      <c r="E67" s="192" t="str">
        <f>CityU!E48</f>
        <v>4C2X</v>
      </c>
      <c r="F67" s="184" t="s">
        <v>360</v>
      </c>
      <c r="G67" s="184">
        <f>CityU!F48</f>
        <v>33</v>
      </c>
      <c r="H67" s="184">
        <f>CityU!G48</f>
        <v>33</v>
      </c>
      <c r="I67" s="209">
        <f>計分版!D71</f>
        <v>2.7000000000000002E-9</v>
      </c>
      <c r="J67" s="180">
        <f>CityU!K48</f>
        <v>30</v>
      </c>
      <c r="K67" s="43">
        <f>CityU!U48</f>
        <v>16</v>
      </c>
      <c r="L67" s="480">
        <f>IFERROR(CityU!AC48/CityU!V48,"新科目")</f>
        <v>9.4375</v>
      </c>
      <c r="M67" s="180">
        <f>入學要求!S49</f>
        <v>0</v>
      </c>
    </row>
    <row r="68" spans="1:16">
      <c r="A68" s="180" t="str">
        <f>CityU!A49</f>
        <v>JS1805</v>
      </c>
      <c r="B68" s="16" t="s">
        <v>758</v>
      </c>
      <c r="C68" s="180" t="str">
        <f>CityU!C49</f>
        <v>生物醫學系 [選項: 理學士(生物科學)、理學士(生物醫學)]</v>
      </c>
      <c r="D68" s="180" t="str">
        <f>CityU!D49</f>
        <v>BMS</v>
      </c>
      <c r="E68" s="192" t="str">
        <f>CityU!E49</f>
        <v>4C2X</v>
      </c>
      <c r="F68" s="184" t="s">
        <v>360</v>
      </c>
      <c r="G68" s="184">
        <f>CityU!F49</f>
        <v>38</v>
      </c>
      <c r="H68" s="184">
        <f>CityU!G49</f>
        <v>37.5</v>
      </c>
      <c r="I68" s="209">
        <f>計分版!D72</f>
        <v>3.0500000000000004E-9</v>
      </c>
      <c r="J68" s="180">
        <f>CityU!K49</f>
        <v>25</v>
      </c>
      <c r="K68" s="43">
        <f>CityU!U49</f>
        <v>24</v>
      </c>
      <c r="L68" s="480">
        <f>IFERROR(CityU!AC49/CityU!V49,"新科目")</f>
        <v>8.6190476190476186</v>
      </c>
      <c r="M68" s="180">
        <f>入學要求!S50</f>
        <v>0</v>
      </c>
    </row>
    <row r="69" spans="1:16">
      <c r="A69" s="180" t="str">
        <f>CityU!A50</f>
        <v>JS1806</v>
      </c>
      <c r="B69" s="16" t="s">
        <v>758</v>
      </c>
      <c r="C69" s="180" t="str">
        <f>CityU!C50</f>
        <v>理學士(生物科學)</v>
      </c>
      <c r="D69" s="180" t="str">
        <f>CityU!D50</f>
        <v>BScBISI</v>
      </c>
      <c r="E69" s="192" t="str">
        <f>CityU!E50</f>
        <v>4C2X</v>
      </c>
      <c r="F69" s="184" t="s">
        <v>360</v>
      </c>
      <c r="G69" s="184">
        <f>CityU!F50</f>
        <v>33.5</v>
      </c>
      <c r="H69" s="184">
        <f>CityU!G50</f>
        <v>33</v>
      </c>
      <c r="I69" s="209">
        <f>計分版!D73</f>
        <v>3.0500000000000004E-9</v>
      </c>
      <c r="J69" s="180">
        <f>CityU!K50</f>
        <v>30</v>
      </c>
      <c r="K69" s="43">
        <f>CityU!U50</f>
        <v>22</v>
      </c>
      <c r="L69" s="480">
        <f>IFERROR(CityU!AC50/CityU!V50,"新科目")</f>
        <v>10.5</v>
      </c>
      <c r="M69" s="180">
        <f>入學要求!S51</f>
        <v>0</v>
      </c>
    </row>
    <row r="70" spans="1:16">
      <c r="A70" s="180" t="str">
        <f>CityU!A51</f>
        <v>JS1807</v>
      </c>
      <c r="B70" s="16" t="s">
        <v>758</v>
      </c>
      <c r="C70" s="180" t="str">
        <f>CityU!C51</f>
        <v>理學士(生物醫學)</v>
      </c>
      <c r="D70" s="180" t="str">
        <f>CityU!D51</f>
        <v>BScBMS</v>
      </c>
      <c r="E70" s="192" t="str">
        <f>CityU!E51</f>
        <v>4C2X</v>
      </c>
      <c r="F70" s="184" t="s">
        <v>360</v>
      </c>
      <c r="G70" s="184">
        <f>CityU!F51</f>
        <v>40</v>
      </c>
      <c r="H70" s="184">
        <f>CityU!G51</f>
        <v>39</v>
      </c>
      <c r="I70" s="209">
        <f>計分版!D74</f>
        <v>3.0500000000000004E-9</v>
      </c>
      <c r="J70" s="180">
        <f>CityU!K51</f>
        <v>30</v>
      </c>
      <c r="K70" s="43">
        <f>CityU!U51</f>
        <v>25</v>
      </c>
      <c r="L70" s="480">
        <f>IFERROR(CityU!AC51/CityU!V51,"新科目")</f>
        <v>7.708333333333333</v>
      </c>
      <c r="M70" s="180">
        <f>入學要求!S52</f>
        <v>0</v>
      </c>
    </row>
    <row r="71" spans="1:16">
      <c r="A71" s="20"/>
      <c r="C71" s="20"/>
      <c r="D71" s="16"/>
      <c r="E71" s="65"/>
    </row>
    <row r="72" spans="1:16">
      <c r="A72" s="114"/>
      <c r="B72" s="115"/>
      <c r="C72" s="115"/>
      <c r="D72" s="115"/>
      <c r="E72" s="116"/>
      <c r="F72" s="329" t="s">
        <v>368</v>
      </c>
      <c r="G72" s="329" t="s">
        <v>994</v>
      </c>
      <c r="H72" s="329" t="s">
        <v>995</v>
      </c>
      <c r="I72" s="331" t="str">
        <f>計分版!D76</f>
        <v>總分</v>
      </c>
      <c r="J72" s="115"/>
      <c r="K72" s="115"/>
      <c r="L72" s="482"/>
      <c r="M72" s="20"/>
    </row>
    <row r="73" spans="1:16">
      <c r="A73" s="20" t="str">
        <f>HKBU!A2</f>
        <v>JS2020</v>
      </c>
      <c r="B73" s="20" t="s">
        <v>975</v>
      </c>
      <c r="C73" s="65" t="str">
        <f>HKBU!C2</f>
        <v>文學士</v>
      </c>
      <c r="D73" s="65" t="str">
        <f>HKBU!D2</f>
        <v>BA</v>
      </c>
      <c r="E73" s="65" t="str">
        <f>HKBU!E2</f>
        <v>4C2X</v>
      </c>
      <c r="F73" s="184" t="s">
        <v>360</v>
      </c>
      <c r="G73" s="184">
        <f>HKBU!F2</f>
        <v>24</v>
      </c>
      <c r="H73" s="184">
        <f>HKBU!G2</f>
        <v>24</v>
      </c>
      <c r="I73" s="209">
        <f>計分版!D77</f>
        <v>2.8499999999999999E-9</v>
      </c>
      <c r="J73" s="16">
        <f>HKBU!K2</f>
        <v>56</v>
      </c>
      <c r="K73" s="180">
        <f>HKBU!U2</f>
        <v>53</v>
      </c>
      <c r="L73" s="480">
        <f>IFERROR(HKBU!AC2/HKBU!V2,"新科目")</f>
        <v>16.276595744680851</v>
      </c>
      <c r="M73" s="16">
        <f>入學要求!S56</f>
        <v>0</v>
      </c>
    </row>
    <row r="74" spans="1:16">
      <c r="A74" s="183" t="str">
        <f>HKBU!A3</f>
        <v>JS2021</v>
      </c>
      <c r="B74" s="20" t="s">
        <v>976</v>
      </c>
      <c r="C74" s="65" t="str">
        <f>HKBU!C3</f>
        <v>中國語言文學文學士</v>
      </c>
      <c r="D74" s="65" t="str">
        <f>HKBU!D3</f>
        <v>BA(CHI)</v>
      </c>
      <c r="E74" s="65" t="str">
        <f>HKBU!E3</f>
        <v>4C2X</v>
      </c>
      <c r="F74" s="184" t="s">
        <v>360</v>
      </c>
      <c r="G74" s="184">
        <f>HKBU!F3</f>
        <v>25</v>
      </c>
      <c r="H74" s="184">
        <f>HKBU!G3</f>
        <v>25</v>
      </c>
      <c r="I74" s="209">
        <f>計分版!D78</f>
        <v>2.8499999999999999E-9</v>
      </c>
      <c r="J74" s="180">
        <f>HKBU!K3</f>
        <v>18</v>
      </c>
      <c r="K74" s="180">
        <f>HKBU!U3</f>
        <v>20</v>
      </c>
      <c r="L74" s="480">
        <f>IFERROR(HKBU!AC3/HKBU!V3,"新科目")</f>
        <v>14.25</v>
      </c>
      <c r="M74" s="16">
        <f>入學要求!S57</f>
        <v>0</v>
      </c>
    </row>
    <row r="75" spans="1:16">
      <c r="A75" s="183" t="str">
        <f>HKBU!A4</f>
        <v>JS2022</v>
      </c>
      <c r="B75" s="20" t="s">
        <v>976</v>
      </c>
      <c r="C75" s="65" t="str">
        <f>HKBU!C4</f>
        <v>創意及專業寫作文學士</v>
      </c>
      <c r="D75" s="65" t="str">
        <f>HKBU!D4</f>
        <v>BA(CPW)</v>
      </c>
      <c r="E75" s="65" t="str">
        <f>HKBU!E4</f>
        <v>4C2X</v>
      </c>
      <c r="F75" s="184" t="s">
        <v>360</v>
      </c>
      <c r="G75" s="184">
        <f>HKBU!F4</f>
        <v>23</v>
      </c>
      <c r="H75" s="184">
        <f>HKBU!G4</f>
        <v>23</v>
      </c>
      <c r="I75" s="209">
        <f>計分版!D79</f>
        <v>2.8499999999999999E-9</v>
      </c>
      <c r="J75" s="180">
        <f>HKBU!K4</f>
        <v>14</v>
      </c>
      <c r="K75" s="180">
        <f>HKBU!U4</f>
        <v>13</v>
      </c>
      <c r="L75" s="480">
        <f>IFERROR(HKBU!AC4/HKBU!V4,"新科目")</f>
        <v>19</v>
      </c>
      <c r="M75" s="16">
        <f>入學要求!S58</f>
        <v>0</v>
      </c>
    </row>
    <row r="76" spans="1:16">
      <c r="A76" s="183" t="str">
        <f>HKBU!A5</f>
        <v>JS2023</v>
      </c>
      <c r="B76" s="20" t="s">
        <v>976</v>
      </c>
      <c r="C76" s="65" t="str">
        <f>HKBU!C5</f>
        <v>英國語言文學文學士</v>
      </c>
      <c r="D76" s="65" t="str">
        <f>HKBU!D5</f>
        <v>BA(ENG)</v>
      </c>
      <c r="E76" s="65" t="str">
        <f>HKBU!E5</f>
        <v>4C2X</v>
      </c>
      <c r="F76" s="184" t="s">
        <v>360</v>
      </c>
      <c r="G76" s="184">
        <f>HKBU!F5</f>
        <v>22</v>
      </c>
      <c r="H76" s="184">
        <f>HKBU!G5</f>
        <v>21</v>
      </c>
      <c r="I76" s="209">
        <f>計分版!D80</f>
        <v>2.8499999999999999E-9</v>
      </c>
      <c r="J76" s="180">
        <f>HKBU!K5</f>
        <v>14</v>
      </c>
      <c r="K76" s="180">
        <f>HKBU!U5</f>
        <v>15</v>
      </c>
      <c r="L76" s="480">
        <f>IFERROR(HKBU!AC5/HKBU!V5,"新科目")</f>
        <v>8</v>
      </c>
      <c r="M76" s="16">
        <f>入學要求!S59</f>
        <v>0</v>
      </c>
    </row>
    <row r="77" spans="1:16">
      <c r="A77" s="183" t="str">
        <f>HKBU!A6</f>
        <v>JS2024</v>
      </c>
      <c r="B77" s="20" t="s">
        <v>976</v>
      </c>
      <c r="C77" s="65" t="str">
        <f>HKBU!C6</f>
        <v>人文學文學士</v>
      </c>
      <c r="D77" s="65" t="str">
        <f>HKBU!D6</f>
        <v>BA(HUM)</v>
      </c>
      <c r="E77" s="65" t="str">
        <f>HKBU!E6</f>
        <v>4C2X</v>
      </c>
      <c r="F77" s="184" t="s">
        <v>360</v>
      </c>
      <c r="G77" s="184">
        <f>HKBU!F6</f>
        <v>23</v>
      </c>
      <c r="H77" s="184">
        <f>HKBU!G6</f>
        <v>23</v>
      </c>
      <c r="I77" s="209">
        <f>計分版!D81</f>
        <v>2.8499999999999999E-9</v>
      </c>
      <c r="J77" s="180">
        <f>HKBU!K6</f>
        <v>14</v>
      </c>
      <c r="K77" s="180">
        <f>HKBU!U6</f>
        <v>16</v>
      </c>
      <c r="L77" s="480">
        <f>IFERROR(HKBU!AC6/HKBU!V6,"新科目")</f>
        <v>7.6</v>
      </c>
      <c r="M77" s="16">
        <f>入學要求!S60</f>
        <v>0</v>
      </c>
    </row>
    <row r="78" spans="1:16">
      <c r="A78" s="183" t="str">
        <f>HKBU!A7</f>
        <v>JS2025</v>
      </c>
      <c r="B78" s="20" t="s">
        <v>976</v>
      </c>
      <c r="C78" s="65" t="str">
        <f>HKBU!C7</f>
        <v>宗教、哲學及倫理文學士</v>
      </c>
      <c r="D78" s="65" t="str">
        <f>HKBU!D7</f>
        <v>BA(RPE)</v>
      </c>
      <c r="E78" s="65" t="str">
        <f>HKBU!E7</f>
        <v>4C2X</v>
      </c>
      <c r="F78" s="184" t="s">
        <v>360</v>
      </c>
      <c r="G78" s="184">
        <f>HKBU!F7</f>
        <v>24</v>
      </c>
      <c r="H78" s="184">
        <f>HKBU!G7</f>
        <v>23</v>
      </c>
      <c r="I78" s="209">
        <f>計分版!D82</f>
        <v>2.8499999999999999E-9</v>
      </c>
      <c r="J78" s="180">
        <f>HKBU!K7</f>
        <v>10</v>
      </c>
      <c r="K78" s="180">
        <f>HKBU!U7</f>
        <v>8</v>
      </c>
      <c r="L78" s="480">
        <f>IFERROR(HKBU!AC7/HKBU!V7,"新科目")</f>
        <v>14.571428571428571</v>
      </c>
      <c r="M78" s="16">
        <f>入學要求!S61</f>
        <v>0</v>
      </c>
    </row>
    <row r="79" spans="1:16">
      <c r="A79" s="183" t="str">
        <f>HKBU!A8</f>
        <v>JS2026</v>
      </c>
      <c r="B79" s="20" t="s">
        <v>976</v>
      </c>
      <c r="C79" s="65" t="str">
        <f>HKBU!C8</f>
        <v>翻譯學文學士</v>
      </c>
      <c r="D79" s="65" t="str">
        <f>HKBU!D8</f>
        <v>BA(TRAN)</v>
      </c>
      <c r="E79" s="65" t="str">
        <f>HKBU!E8</f>
        <v>4C2X</v>
      </c>
      <c r="F79" s="184" t="s">
        <v>360</v>
      </c>
      <c r="G79" s="184">
        <f>HKBU!F8</f>
        <v>24</v>
      </c>
      <c r="H79" s="184">
        <f>HKBU!G8</f>
        <v>23</v>
      </c>
      <c r="I79" s="209">
        <f>計分版!D83</f>
        <v>2.8499999999999999E-9</v>
      </c>
      <c r="J79" s="180">
        <f>HKBU!K8</f>
        <v>14</v>
      </c>
      <c r="K79" s="180">
        <f>HKBU!U8</f>
        <v>14</v>
      </c>
      <c r="L79" s="480">
        <f>IFERROR(HKBU!AC8/HKBU!V8,"新科目")</f>
        <v>15</v>
      </c>
      <c r="M79" s="16">
        <f>入學要求!S62</f>
        <v>0</v>
      </c>
    </row>
    <row r="80" spans="1:16">
      <c r="A80" s="183" t="str">
        <f>HKBU!A9</f>
        <v>JS2030</v>
      </c>
      <c r="B80" s="20" t="s">
        <v>976</v>
      </c>
      <c r="C80" s="65" t="str">
        <f>HKBU!C9</f>
        <v>音樂文學士</v>
      </c>
      <c r="D80" s="65" t="str">
        <f>HKBU!D9</f>
        <v>BA(MUSIC)</v>
      </c>
      <c r="E80" s="65" t="str">
        <f>HKBU!E9</f>
        <v>4C2X</v>
      </c>
      <c r="F80" s="184" t="s">
        <v>360</v>
      </c>
      <c r="G80" s="184">
        <f>HKBU!F9</f>
        <v>26</v>
      </c>
      <c r="H80" s="184">
        <f>HKBU!G9</f>
        <v>27</v>
      </c>
      <c r="I80" s="209">
        <f>計分版!D84</f>
        <v>2.8499999999999999E-9</v>
      </c>
      <c r="J80" s="180">
        <f>HKBU!K9</f>
        <v>28</v>
      </c>
      <c r="K80" s="180">
        <f>HKBU!U9</f>
        <v>12</v>
      </c>
      <c r="L80" s="480">
        <f>IFERROR(HKBU!AC9/HKBU!V9,"新科目")</f>
        <v>19.75</v>
      </c>
      <c r="M80" s="16">
        <f>入學要求!S63</f>
        <v>0</v>
      </c>
    </row>
    <row r="81" spans="1:13">
      <c r="A81" s="183" t="str">
        <f>HKBU!A10</f>
        <v>JS2040</v>
      </c>
      <c r="B81" s="20" t="s">
        <v>976</v>
      </c>
      <c r="C81" s="65" t="str">
        <f>HKBU!C10</f>
        <v>英國語言文學及英語教學 (雙學位課程)</v>
      </c>
      <c r="D81" s="65" t="str">
        <f>HKBU!D10</f>
        <v>BA(ELL)&amp;BEd(ELT)</v>
      </c>
      <c r="E81" s="65" t="str">
        <f>HKBU!E10</f>
        <v>4C2X</v>
      </c>
      <c r="F81" s="184" t="s">
        <v>360</v>
      </c>
      <c r="G81" s="184">
        <f>HKBU!F10</f>
        <v>40.5</v>
      </c>
      <c r="H81" s="184">
        <f>HKBU!G10</f>
        <v>39</v>
      </c>
      <c r="I81" s="209">
        <f>計分版!D85</f>
        <v>3.4499999999999995E-9</v>
      </c>
      <c r="J81" s="180">
        <f>HKBU!K10</f>
        <v>40</v>
      </c>
      <c r="K81" s="180">
        <f>HKBU!U10</f>
        <v>38</v>
      </c>
      <c r="L81" s="480">
        <f>IFERROR(HKBU!AC10/HKBU!V10,"新科目")</f>
        <v>6.882352941176471</v>
      </c>
      <c r="M81" s="16">
        <f>入學要求!S64</f>
        <v>0</v>
      </c>
    </row>
    <row r="82" spans="1:13">
      <c r="A82" s="183" t="str">
        <f>HKBU!A11</f>
        <v>JS2050</v>
      </c>
      <c r="B82" s="20" t="s">
        <v>976</v>
      </c>
      <c r="C82" s="65" t="str">
        <f>HKBU!C11</f>
        <v>創意產業音樂學士</v>
      </c>
      <c r="D82" s="65" t="str">
        <f>HKBU!D11</f>
        <v>BMUSIC(CI)</v>
      </c>
      <c r="E82" s="65" t="str">
        <f>HKBU!E11</f>
        <v>4C2X</v>
      </c>
      <c r="F82" s="184" t="s">
        <v>360</v>
      </c>
      <c r="G82" s="184">
        <f>HKBU!F11</f>
        <v>27</v>
      </c>
      <c r="H82" s="184">
        <f>HKBU!G11</f>
        <v>24</v>
      </c>
      <c r="I82" s="209">
        <f>計分版!D86</f>
        <v>2.8499999999999999E-9</v>
      </c>
      <c r="J82" s="180">
        <f>HKBU!K11</f>
        <v>15</v>
      </c>
      <c r="K82" s="180">
        <f>HKBU!U11</f>
        <v>7</v>
      </c>
      <c r="L82" s="480">
        <f>IFERROR(HKBU!AC11/HKBU!V11,"新科目")</f>
        <v>19.285714285714285</v>
      </c>
      <c r="M82" s="16">
        <f>入學要求!S65</f>
        <v>0</v>
      </c>
    </row>
    <row r="83" spans="1:13">
      <c r="A83" s="183" t="str">
        <f>HKBU!A12</f>
        <v>JS2110</v>
      </c>
      <c r="B83" s="20" t="s">
        <v>976</v>
      </c>
      <c r="C83" s="65" t="str">
        <f>HKBU!C12</f>
        <v>工商管理學士 - 會計學專修</v>
      </c>
      <c r="D83" s="65" t="str">
        <f>HKBU!D12</f>
        <v>BBA(ACCT)</v>
      </c>
      <c r="E83" s="65" t="str">
        <f>HKBU!E12</f>
        <v>Best 6</v>
      </c>
      <c r="F83" s="184" t="s">
        <v>360</v>
      </c>
      <c r="G83" s="184">
        <f>HKBU!F12</f>
        <v>25</v>
      </c>
      <c r="H83" s="184">
        <f>HKBU!G12</f>
        <v>25</v>
      </c>
      <c r="I83" s="209">
        <f>計分版!D87</f>
        <v>4.450000000000001E-9</v>
      </c>
      <c r="J83" s="180">
        <f>HKBU!K12</f>
        <v>50</v>
      </c>
      <c r="K83" s="180">
        <f>HKBU!U12</f>
        <v>29</v>
      </c>
      <c r="L83" s="480">
        <f>IFERROR(HKBU!AC12/HKBU!V12,"新科目")</f>
        <v>24.043478260869566</v>
      </c>
      <c r="M83" s="16">
        <f>入學要求!S66</f>
        <v>0</v>
      </c>
    </row>
    <row r="84" spans="1:13">
      <c r="A84" s="183" t="str">
        <f>HKBU!A13</f>
        <v>JS2120</v>
      </c>
      <c r="B84" s="20" t="s">
        <v>976</v>
      </c>
      <c r="C84" s="65" t="str">
        <f>HKBU!C13</f>
        <v>工商管理學士</v>
      </c>
      <c r="D84" s="65" t="str">
        <f>HKBU!D13</f>
        <v>BBA</v>
      </c>
      <c r="E84" s="65" t="str">
        <f>HKBU!E13</f>
        <v>Best 6</v>
      </c>
      <c r="F84" s="184" t="s">
        <v>360</v>
      </c>
      <c r="G84" s="184">
        <f>HKBU!F13</f>
        <v>25</v>
      </c>
      <c r="H84" s="184">
        <f>HKBU!G13</f>
        <v>24.5</v>
      </c>
      <c r="I84" s="209">
        <f>計分版!D88</f>
        <v>4.450000000000001E-9</v>
      </c>
      <c r="J84" s="180">
        <f>HKBU!K13</f>
        <v>193</v>
      </c>
      <c r="K84" s="180">
        <f>HKBU!U13</f>
        <v>167</v>
      </c>
      <c r="L84" s="480">
        <f>IFERROR(HKBU!AC13/HKBU!V13,"新科目")</f>
        <v>11.929936305732484</v>
      </c>
      <c r="M84" s="16">
        <f>入學要求!S67</f>
        <v>0</v>
      </c>
    </row>
    <row r="85" spans="1:13">
      <c r="A85" s="183" t="str">
        <f>HKBU!A14</f>
        <v>JS2320</v>
      </c>
      <c r="B85" s="20" t="s">
        <v>976</v>
      </c>
      <c r="C85" s="65" t="str">
        <f>HKBU!C14</f>
        <v>傳理學學士 - 電影主修 - 動畫及媒體藝術專修</v>
      </c>
      <c r="D85" s="65" t="str">
        <f>HKBU!D14</f>
        <v>BCOMM(AMA)</v>
      </c>
      <c r="E85" s="65" t="str">
        <f>HKBU!E14</f>
        <v>Best 5</v>
      </c>
      <c r="F85" s="184" t="s">
        <v>360</v>
      </c>
      <c r="G85" s="184">
        <f>HKBU!F14</f>
        <v>22</v>
      </c>
      <c r="H85" s="184">
        <f>HKBU!G14</f>
        <v>22</v>
      </c>
      <c r="I85" s="209">
        <f>計分版!D89</f>
        <v>3.0250000000000002E-9</v>
      </c>
      <c r="J85" s="180">
        <f>HKBU!K14</f>
        <v>13</v>
      </c>
      <c r="K85" s="180">
        <f>HKBU!U14</f>
        <v>14</v>
      </c>
      <c r="L85" s="480">
        <f>IFERROR(HKBU!AC14/HKBU!V14,"新科目")</f>
        <v>39.285714285714285</v>
      </c>
      <c r="M85" s="16">
        <f>入學要求!S68</f>
        <v>0</v>
      </c>
    </row>
    <row r="86" spans="1:13">
      <c r="A86" s="183" t="str">
        <f>HKBU!A15</f>
        <v>JS2330</v>
      </c>
      <c r="B86" s="20" t="s">
        <v>976</v>
      </c>
      <c r="C86" s="65" t="str">
        <f>HKBU!C15</f>
        <v>傳理學學士 - 電影主修 - 電影電視專修</v>
      </c>
      <c r="D86" s="65" t="str">
        <f>HKBU!D15</f>
        <v>BCOMM(FTV)</v>
      </c>
      <c r="E86" s="65" t="str">
        <f>HKBU!E15</f>
        <v>Best 5</v>
      </c>
      <c r="F86" s="184" t="s">
        <v>360</v>
      </c>
      <c r="G86" s="184">
        <f>HKBU!F15</f>
        <v>24.25</v>
      </c>
      <c r="H86" s="184">
        <f>HKBU!G15</f>
        <v>20.75</v>
      </c>
      <c r="I86" s="209">
        <f>計分版!D90</f>
        <v>3.0250000000000002E-9</v>
      </c>
      <c r="J86" s="180">
        <f>HKBU!K15</f>
        <v>20</v>
      </c>
      <c r="K86" s="180">
        <f>HKBU!U15</f>
        <v>16</v>
      </c>
      <c r="L86" s="480">
        <f>IFERROR(HKBU!AC15/HKBU!V15,"新科目")</f>
        <v>36.875</v>
      </c>
      <c r="M86" s="16">
        <f>入學要求!S69</f>
        <v>0</v>
      </c>
    </row>
    <row r="87" spans="1:13">
      <c r="A87" s="183" t="str">
        <f>HKBU!A16</f>
        <v>JS2340</v>
      </c>
      <c r="B87" s="20" t="s">
        <v>976</v>
      </c>
      <c r="C87" s="65" t="str">
        <f>HKBU!C16</f>
        <v>環球螢幕演技藝術學士</v>
      </c>
      <c r="D87" s="65" t="str">
        <f>HKBU!D16</f>
        <v>BFA(AGS)</v>
      </c>
      <c r="E87" s="65" t="str">
        <f>HKBU!E16</f>
        <v>Best 5</v>
      </c>
      <c r="F87" s="184" t="s">
        <v>360</v>
      </c>
      <c r="G87" s="184">
        <f>HKBU!F16</f>
        <v>21</v>
      </c>
      <c r="H87" s="184">
        <f>HKBU!G16</f>
        <v>21</v>
      </c>
      <c r="I87" s="209">
        <f>計分版!D91</f>
        <v>3.5500000000000004E-9</v>
      </c>
      <c r="J87" s="180">
        <f>HKBU!K16</f>
        <v>8</v>
      </c>
      <c r="K87" s="180">
        <f>HKBU!U16</f>
        <v>10</v>
      </c>
      <c r="L87" s="480">
        <f>IFERROR(HKBU!AC16/HKBU!V16,"新科目")</f>
        <v>12.1</v>
      </c>
      <c r="M87" s="16">
        <f>入學要求!S70</f>
        <v>0</v>
      </c>
    </row>
    <row r="88" spans="1:13">
      <c r="A88" s="183" t="str">
        <f>HKBU!A17</f>
        <v>JS2350</v>
      </c>
      <c r="B88" s="20" t="s">
        <v>976</v>
      </c>
      <c r="C88" s="65" t="str">
        <f>HKBU!C17</f>
        <v>傳理學學士 - 新聞與數碼媒體主修</v>
      </c>
      <c r="D88" s="65" t="str">
        <f>HKBU!D17</f>
        <v>BCOMM(JOUR)</v>
      </c>
      <c r="E88" s="65" t="str">
        <f>HKBU!E17</f>
        <v>Best 5</v>
      </c>
      <c r="G88" s="184" t="str">
        <f>HKBU!F17</f>
        <v>/</v>
      </c>
      <c r="H88" s="184" t="str">
        <f>HKBU!G17</f>
        <v>/</v>
      </c>
      <c r="I88" s="209">
        <f>計分版!D92</f>
        <v>3.0250000000000002E-9</v>
      </c>
      <c r="J88" s="180">
        <f>HKBU!K17</f>
        <v>41</v>
      </c>
      <c r="K88" s="180" t="str">
        <f>HKBU!U17</f>
        <v>/</v>
      </c>
      <c r="L88" s="480" t="str">
        <f>IFERROR(HKBU!AC17/HKBU!V17,"新科目")</f>
        <v>新科目</v>
      </c>
      <c r="M88" s="16">
        <f>入學要求!S71</f>
        <v>0</v>
      </c>
    </row>
    <row r="89" spans="1:13">
      <c r="A89" s="183" t="str">
        <f>HKBU!A18</f>
        <v>JS2360</v>
      </c>
      <c r="B89" s="20" t="s">
        <v>976</v>
      </c>
      <c r="C89" s="65" t="str">
        <f>HKBU!C18</f>
        <v>傳理學學士 - 公關及廣告主修</v>
      </c>
      <c r="D89" s="65" t="str">
        <f>HKBU!D18</f>
        <v>BCOMM(PRA)</v>
      </c>
      <c r="E89" s="65" t="str">
        <f>HKBU!E18</f>
        <v>Best 5</v>
      </c>
      <c r="G89" s="184" t="str">
        <f>HKBU!F18</f>
        <v>/</v>
      </c>
      <c r="H89" s="184" t="str">
        <f>HKBU!G18</f>
        <v>/</v>
      </c>
      <c r="I89" s="209">
        <f>計分版!D93</f>
        <v>3.0250000000000002E-9</v>
      </c>
      <c r="J89" s="180">
        <f>HKBU!K18</f>
        <v>40</v>
      </c>
      <c r="K89" s="180" t="str">
        <f>HKBU!U18</f>
        <v>/</v>
      </c>
      <c r="L89" s="480" t="str">
        <f>IFERROR(HKBU!AC18/HKBU!V18,"新科目")</f>
        <v>新科目</v>
      </c>
      <c r="M89" s="16">
        <f>入學要求!S72</f>
        <v>0</v>
      </c>
    </row>
    <row r="90" spans="1:13">
      <c r="A90" s="183" t="str">
        <f>HKBU!A19</f>
        <v>JS2410</v>
      </c>
      <c r="B90" s="20" t="s">
        <v>976</v>
      </c>
      <c r="C90" s="65" t="str">
        <f>HKBU!C19</f>
        <v>中醫學學士及生物醫學理學士</v>
      </c>
      <c r="D90" s="65" t="str">
        <f>HKBU!D19</f>
        <v>BCM&amp;BSc(BIOMED)</v>
      </c>
      <c r="E90" s="65" t="str">
        <f>HKBU!E19</f>
        <v>Best 5</v>
      </c>
      <c r="F90" s="184" t="s">
        <v>360</v>
      </c>
      <c r="G90" s="184">
        <f>HKBU!F19</f>
        <v>32.25</v>
      </c>
      <c r="H90" s="184">
        <f>HKBU!G19</f>
        <v>31</v>
      </c>
      <c r="I90" s="209">
        <f>計分版!D94</f>
        <v>3.9500000000000006E-9</v>
      </c>
      <c r="J90" s="180">
        <f>HKBU!K19</f>
        <v>30</v>
      </c>
      <c r="K90" s="180">
        <f>HKBU!U19</f>
        <v>29</v>
      </c>
      <c r="L90" s="480">
        <f>IFERROR(HKBU!AC19/HKBU!V19,"新科目")</f>
        <v>6.8928571428571432</v>
      </c>
      <c r="M90" s="16">
        <f>入學要求!S73</f>
        <v>0</v>
      </c>
    </row>
    <row r="91" spans="1:13">
      <c r="A91" s="183" t="str">
        <f>HKBU!A20</f>
        <v>JS2420</v>
      </c>
      <c r="B91" s="20" t="s">
        <v>976</v>
      </c>
      <c r="C91" s="65" t="str">
        <f>HKBU!C20</f>
        <v>中藥學學士</v>
      </c>
      <c r="D91" s="65" t="str">
        <f>HKBU!D20</f>
        <v>BPharm</v>
      </c>
      <c r="E91" s="65" t="str">
        <f>HKBU!E20</f>
        <v>Best 5</v>
      </c>
      <c r="F91" s="184" t="s">
        <v>360</v>
      </c>
      <c r="G91" s="184">
        <f>HKBU!F20</f>
        <v>27</v>
      </c>
      <c r="H91" s="184">
        <f>HKBU!G20</f>
        <v>27</v>
      </c>
      <c r="I91" s="209">
        <f>計分版!D95</f>
        <v>3.9500000000000006E-9</v>
      </c>
      <c r="J91" s="180">
        <f>HKBU!K20</f>
        <v>15</v>
      </c>
      <c r="K91" s="180">
        <f>HKBU!U20</f>
        <v>22</v>
      </c>
      <c r="L91" s="480">
        <f>IFERROR(HKBU!AC20/HKBU!V20,"新科目")</f>
        <v>9.85</v>
      </c>
      <c r="M91" s="16">
        <f>入學要求!S74</f>
        <v>0</v>
      </c>
    </row>
    <row r="92" spans="1:13">
      <c r="A92" s="183" t="str">
        <f>HKBU!A21</f>
        <v>JS2510</v>
      </c>
      <c r="B92" s="20" t="s">
        <v>976</v>
      </c>
      <c r="C92" s="65" t="str">
        <f>HKBU!C21</f>
        <v>理學士</v>
      </c>
      <c r="D92" s="65" t="str">
        <f>HKBU!D21</f>
        <v>BSc</v>
      </c>
      <c r="E92" s="65" t="str">
        <f>HKBU!E21</f>
        <v>Best 6</v>
      </c>
      <c r="F92" s="184" t="s">
        <v>360</v>
      </c>
      <c r="G92" s="184">
        <f>HKBU!F21</f>
        <v>22</v>
      </c>
      <c r="H92" s="184">
        <f>HKBU!G21</f>
        <v>22</v>
      </c>
      <c r="I92" s="209">
        <f>計分版!D96</f>
        <v>3.9000000000000002E-9</v>
      </c>
      <c r="J92" s="180">
        <f>HKBU!K21</f>
        <v>206</v>
      </c>
      <c r="K92" s="180">
        <f>HKBU!U21</f>
        <v>218</v>
      </c>
      <c r="L92" s="480">
        <f>IFERROR(HKBU!AC21/HKBU!V21,"新科目")</f>
        <v>5.8423913043478262</v>
      </c>
      <c r="M92" s="16">
        <f>入學要求!S75</f>
        <v>0</v>
      </c>
    </row>
    <row r="93" spans="1:13">
      <c r="A93" s="183" t="str">
        <f>HKBU!A22</f>
        <v>JS2610</v>
      </c>
      <c r="B93" s="20" t="s">
        <v>976</v>
      </c>
      <c r="C93" s="65" t="str">
        <f>HKBU!C22</f>
        <v>文學士/ 社會科學學士 (地理/ 政治及國際關係學/ 歷史/ 社會學)</v>
      </c>
      <c r="D93" s="65" t="str">
        <f>HKBU!D22</f>
        <v>BA/ BSocSc</v>
      </c>
      <c r="E93" s="65" t="str">
        <f>HKBU!E22</f>
        <v>4C2X</v>
      </c>
      <c r="F93" s="184" t="s">
        <v>360</v>
      </c>
      <c r="G93" s="184">
        <f>HKBU!F22</f>
        <v>28</v>
      </c>
      <c r="H93" s="184">
        <f>HKBU!G22</f>
        <v>27</v>
      </c>
      <c r="I93" s="209">
        <f>計分版!D97</f>
        <v>3.05E-9</v>
      </c>
      <c r="J93" s="180">
        <f>HKBU!K22</f>
        <v>105</v>
      </c>
      <c r="K93" s="180">
        <f>HKBU!U22</f>
        <v>108</v>
      </c>
      <c r="L93" s="480">
        <f>IFERROR(HKBU!AC22/HKBU!V22,"新科目")</f>
        <v>12.942307692307692</v>
      </c>
      <c r="M93" s="16">
        <f>入學要求!S76</f>
        <v>0</v>
      </c>
    </row>
    <row r="94" spans="1:13">
      <c r="A94" s="183" t="str">
        <f>HKBU!A23</f>
        <v>JS2620</v>
      </c>
      <c r="B94" s="20" t="s">
        <v>976</v>
      </c>
      <c r="C94" s="65" t="str">
        <f>HKBU!C23</f>
        <v>體育及康樂管理文學士</v>
      </c>
      <c r="D94" s="65" t="str">
        <f>HKBU!D23</f>
        <v>BA(PERM)</v>
      </c>
      <c r="E94" s="65" t="str">
        <f>HKBU!E23</f>
        <v>4C2X</v>
      </c>
      <c r="F94" s="184" t="s">
        <v>360</v>
      </c>
      <c r="G94" s="184">
        <f>HKBU!F23</f>
        <v>27</v>
      </c>
      <c r="H94" s="184">
        <f>HKBU!G23</f>
        <v>26</v>
      </c>
      <c r="I94" s="209">
        <f>計分版!D98</f>
        <v>2.8499999999999999E-9</v>
      </c>
      <c r="J94" s="180">
        <f>HKBU!K23</f>
        <v>26</v>
      </c>
      <c r="K94" s="180">
        <f>HKBU!U23</f>
        <v>13</v>
      </c>
      <c r="L94" s="480">
        <f>IFERROR(HKBU!AC23/HKBU!V23,"新科目")</f>
        <v>55.07692307692308</v>
      </c>
      <c r="M94" s="16">
        <f>入學要求!S77</f>
        <v>0</v>
      </c>
    </row>
    <row r="95" spans="1:13">
      <c r="A95" s="183" t="str">
        <f>HKBU!A24</f>
        <v>JS2630</v>
      </c>
      <c r="B95" s="20" t="s">
        <v>976</v>
      </c>
      <c r="C95" s="65" t="str">
        <f>HKBU!C24</f>
        <v>歐洲研究社會科學學士 - 法文</v>
      </c>
      <c r="D95" s="65" t="str">
        <f>HKBU!D24</f>
        <v>BSocSc(EURO-FREN)</v>
      </c>
      <c r="E95" s="65" t="str">
        <f>HKBU!E24</f>
        <v>Best 5</v>
      </c>
      <c r="F95" s="184" t="s">
        <v>360</v>
      </c>
      <c r="G95" s="184">
        <f>HKBU!F24</f>
        <v>21.8</v>
      </c>
      <c r="H95" s="184">
        <f>HKBU!G24</f>
        <v>20.8</v>
      </c>
      <c r="I95" s="209">
        <f>計分版!D99</f>
        <v>2.9900000000000002E-9</v>
      </c>
      <c r="J95" s="180">
        <f>HKBU!K24</f>
        <v>15</v>
      </c>
      <c r="K95" s="180">
        <f>HKBU!U24</f>
        <v>12</v>
      </c>
      <c r="L95" s="480">
        <f>IFERROR(HKBU!AC24/HKBU!V24,"新科目")</f>
        <v>12.636363636363637</v>
      </c>
      <c r="M95" s="16">
        <f>入學要求!S78</f>
        <v>0</v>
      </c>
    </row>
    <row r="96" spans="1:13">
      <c r="A96" s="183" t="str">
        <f>HKBU!A25</f>
        <v>JS2640</v>
      </c>
      <c r="B96" s="20" t="s">
        <v>976</v>
      </c>
      <c r="C96" s="65" t="str">
        <f>HKBU!C25</f>
        <v>歐洲研究社會科學學士 - 德文</v>
      </c>
      <c r="D96" s="65" t="str">
        <f>HKBU!D25</f>
        <v>BSocSc(EURO-GERM)</v>
      </c>
      <c r="E96" s="65" t="str">
        <f>HKBU!E25</f>
        <v>Best 5</v>
      </c>
      <c r="F96" s="184" t="s">
        <v>360</v>
      </c>
      <c r="G96" s="184">
        <f>HKBU!F25</f>
        <v>21.6</v>
      </c>
      <c r="H96" s="184">
        <f>HKBU!G25</f>
        <v>20.8</v>
      </c>
      <c r="I96" s="209">
        <f>計分版!D100</f>
        <v>2.9900000000000002E-9</v>
      </c>
      <c r="J96" s="180">
        <f>HKBU!K25</f>
        <v>15</v>
      </c>
      <c r="K96" s="180">
        <f>HKBU!U25</f>
        <v>16</v>
      </c>
      <c r="L96" s="480">
        <f>IFERROR(HKBU!AC25/HKBU!V25,"新科目")</f>
        <v>9.384615384615385</v>
      </c>
      <c r="M96" s="16">
        <f>入學要求!S79</f>
        <v>0</v>
      </c>
    </row>
    <row r="97" spans="1:24">
      <c r="A97" s="183" t="str">
        <f>HKBU!A26</f>
        <v>JS2660</v>
      </c>
      <c r="B97" s="20" t="s">
        <v>976</v>
      </c>
      <c r="C97" s="65" t="str">
        <f>HKBU!C26</f>
        <v>社會工作學士</v>
      </c>
      <c r="D97" s="65" t="str">
        <f>HKBU!D26</f>
        <v>BSW</v>
      </c>
      <c r="E97" s="65" t="str">
        <f>HKBU!E26</f>
        <v>4C2X</v>
      </c>
      <c r="F97" s="184" t="s">
        <v>360</v>
      </c>
      <c r="G97" s="184">
        <f>HKBU!F26</f>
        <v>31.5</v>
      </c>
      <c r="H97" s="184">
        <f>HKBU!G26</f>
        <v>32</v>
      </c>
      <c r="I97" s="209">
        <f>計分版!D101</f>
        <v>3.2500000000000002E-9</v>
      </c>
      <c r="J97" s="180">
        <f>HKBU!K26</f>
        <v>43</v>
      </c>
      <c r="K97" s="180">
        <f>HKBU!U26</f>
        <v>33</v>
      </c>
      <c r="L97" s="480">
        <f>IFERROR(HKBU!AC26/HKBU!V26,"新科目")</f>
        <v>34.40625</v>
      </c>
      <c r="M97" s="16">
        <f>入學要求!S80</f>
        <v>0</v>
      </c>
    </row>
    <row r="98" spans="1:24">
      <c r="A98" s="183" t="str">
        <f>HKBU!A27</f>
        <v>JS2670</v>
      </c>
      <c r="B98" s="20" t="s">
        <v>976</v>
      </c>
      <c r="C98" s="65" t="str">
        <f>HKBU!C27</f>
        <v>全球及中國研究社會科學學士</v>
      </c>
      <c r="D98" s="65" t="str">
        <f>HKBU!D27</f>
        <v>BSocSc(GCS)</v>
      </c>
      <c r="E98" s="65" t="str">
        <f>HKBU!E27</f>
        <v>4C2X</v>
      </c>
      <c r="F98" s="184" t="s">
        <v>360</v>
      </c>
      <c r="G98" s="184">
        <f>HKBU!F27</f>
        <v>27.5</v>
      </c>
      <c r="H98" s="184">
        <f>HKBU!G27</f>
        <v>26.5</v>
      </c>
      <c r="I98" s="209">
        <f>計分版!D102</f>
        <v>2.9999999999999996E-9</v>
      </c>
      <c r="J98" s="180">
        <f>HKBU!K27</f>
        <v>20</v>
      </c>
      <c r="K98" s="180">
        <f>HKBU!U27</f>
        <v>25</v>
      </c>
      <c r="L98" s="480">
        <f>IFERROR(HKBU!AC27/HKBU!V27,"新科目")</f>
        <v>9.5714285714285712</v>
      </c>
      <c r="M98" s="16">
        <f>入學要求!S81</f>
        <v>0</v>
      </c>
    </row>
    <row r="99" spans="1:24">
      <c r="A99" s="183" t="str">
        <f>HKBU!A28</f>
        <v>JS2690</v>
      </c>
      <c r="B99" s="20" t="s">
        <v>976</v>
      </c>
      <c r="C99" s="65" t="str">
        <f>HKBU!C28</f>
        <v>地理/ 歷史/ 社會學及個人、社會及人文教學 (雙學位課程)</v>
      </c>
      <c r="D99" s="65" t="str">
        <f>HKBU!D28</f>
        <v>BA/BSocSc&amp;BEd(PSHE)</v>
      </c>
      <c r="E99" s="65" t="str">
        <f>HKBU!E28</f>
        <v>4C2X</v>
      </c>
      <c r="F99" s="184" t="s">
        <v>360</v>
      </c>
      <c r="G99" s="184">
        <f>HKBU!F28</f>
        <v>31.8</v>
      </c>
      <c r="H99" s="184">
        <f>HKBU!G28</f>
        <v>29.6</v>
      </c>
      <c r="I99" s="209">
        <f>計分版!D103</f>
        <v>2.8499999999999999E-9</v>
      </c>
      <c r="J99" s="180">
        <f>HKBU!K28</f>
        <v>18</v>
      </c>
      <c r="K99" s="180">
        <f>HKBU!U28</f>
        <v>10</v>
      </c>
      <c r="L99" s="480">
        <f>IFERROR(HKBU!AC28/HKBU!V28,"新科目")</f>
        <v>22.555555555555557</v>
      </c>
      <c r="M99" s="16">
        <f>入學要求!S82</f>
        <v>0</v>
      </c>
    </row>
    <row r="100" spans="1:24">
      <c r="A100" s="183" t="str">
        <f>HKBU!A29</f>
        <v>JS2810</v>
      </c>
      <c r="B100" s="20" t="s">
        <v>976</v>
      </c>
      <c r="C100" s="65" t="str">
        <f>HKBU!C29</f>
        <v>視覺藝術文學士</v>
      </c>
      <c r="D100" s="65" t="str">
        <f>HKBU!D29</f>
        <v>BA(VA)</v>
      </c>
      <c r="E100" s="65" t="str">
        <f>HKBU!E29</f>
        <v>Best 5</v>
      </c>
      <c r="F100" s="184" t="s">
        <v>360</v>
      </c>
      <c r="G100" s="184">
        <f>HKBU!F29</f>
        <v>19</v>
      </c>
      <c r="H100" s="184">
        <f>HKBU!G29</f>
        <v>20</v>
      </c>
      <c r="I100" s="209">
        <f>計分版!D104</f>
        <v>3.5500000000000004E-9</v>
      </c>
      <c r="J100" s="180">
        <f>HKBU!K29</f>
        <v>52</v>
      </c>
      <c r="K100" s="180">
        <f>HKBU!U29</f>
        <v>49</v>
      </c>
      <c r="L100" s="480">
        <f>IFERROR(HKBU!AC29/HKBU!V29,"新科目")</f>
        <v>14.795918367346939</v>
      </c>
      <c r="M100" s="16">
        <f>入學要求!S83</f>
        <v>0</v>
      </c>
      <c r="T100" s="25"/>
    </row>
    <row r="101" spans="1:24">
      <c r="A101" s="183" t="str">
        <f>HKBU!A30</f>
        <v>JS2910</v>
      </c>
      <c r="B101" s="20" t="s">
        <v>976</v>
      </c>
      <c r="C101" s="65" t="str">
        <f>HKBU!C30</f>
        <v>商業計算及數據分析理學士</v>
      </c>
      <c r="D101" s="65" t="str">
        <f>HKBU!D30</f>
        <v>BSc(BCDA)</v>
      </c>
      <c r="E101" s="65" t="str">
        <f>HKBU!E30</f>
        <v>Best 6</v>
      </c>
      <c r="F101" s="184" t="s">
        <v>360</v>
      </c>
      <c r="G101" s="184">
        <f>HKBU!F30</f>
        <v>23</v>
      </c>
      <c r="H101" s="184">
        <f>HKBU!G30</f>
        <v>23</v>
      </c>
      <c r="I101" s="209">
        <f>計分版!D105</f>
        <v>3.9000000000000002E-9</v>
      </c>
      <c r="J101" s="180">
        <f>HKBU!K30</f>
        <v>15</v>
      </c>
      <c r="K101" s="180">
        <f>HKBU!U30</f>
        <v>16</v>
      </c>
      <c r="L101" s="480">
        <f>IFERROR(HKBU!AC30/HKBU!V30,"新科目")</f>
        <v>47</v>
      </c>
      <c r="M101" s="16">
        <f>入學要求!S84</f>
        <v>0</v>
      </c>
      <c r="T101" s="25"/>
    </row>
    <row r="102" spans="1:24">
      <c r="D102" s="16"/>
      <c r="E102" s="56"/>
      <c r="I102" s="209"/>
    </row>
    <row r="103" spans="1:24">
      <c r="D103" s="16"/>
      <c r="E103" s="56"/>
      <c r="F103" s="184" t="s">
        <v>368</v>
      </c>
      <c r="G103" s="184" t="s">
        <v>994</v>
      </c>
      <c r="H103" s="184" t="s">
        <v>995</v>
      </c>
      <c r="I103" s="209" t="str">
        <f>計分版!D107</f>
        <v>總分</v>
      </c>
    </row>
    <row r="104" spans="1:24">
      <c r="A104" s="16" t="str">
        <f>PolyU!A2</f>
        <v>JS3337</v>
      </c>
      <c r="B104" s="16" t="s">
        <v>550</v>
      </c>
      <c r="C104" s="180" t="str">
        <f>PolyU!C2</f>
        <v>精神健康護理學(榮譽)理學士學位</v>
      </c>
      <c r="D104" s="180" t="str">
        <f>PolyU!D2</f>
        <v>MENTAL HEALTH NURSING</v>
      </c>
      <c r="E104" s="56" t="str">
        <f>PolyU!E2</f>
        <v>4C2X</v>
      </c>
      <c r="F104" s="184" t="s">
        <v>360</v>
      </c>
      <c r="G104" s="184">
        <f>PolyU!F2</f>
        <v>250.00000000001802</v>
      </c>
      <c r="H104" s="184">
        <f>PolyU!G2</f>
        <v>242.50000000001802</v>
      </c>
      <c r="I104" s="209">
        <f>計分版!D108</f>
        <v>1.925E-8</v>
      </c>
      <c r="J104" s="20">
        <f>PolyU!K2</f>
        <v>70</v>
      </c>
      <c r="K104" s="183">
        <f>PolyU!U2</f>
        <v>66</v>
      </c>
      <c r="L104" s="483">
        <f>IFERROR(PolyU!AC2/PolyU!V2,"新科目")</f>
        <v>6.838709677419355</v>
      </c>
      <c r="M104" s="20">
        <f>入學要求!S88</f>
        <v>0</v>
      </c>
    </row>
    <row r="105" spans="1:24">
      <c r="A105" s="180" t="str">
        <f>PolyU!A3</f>
        <v>JS3349</v>
      </c>
      <c r="B105" s="16" t="s">
        <v>550</v>
      </c>
      <c r="C105" s="180" t="str">
        <f>PolyU!C3</f>
        <v>食品科技與食物安全(榮譽)理學士學位</v>
      </c>
      <c r="D105" s="180" t="str">
        <f>PolyU!D3</f>
        <v xml:space="preserve">	FOOD SAFE TECH</v>
      </c>
      <c r="E105" s="192" t="str">
        <f>PolyU!E3</f>
        <v>Best 5</v>
      </c>
      <c r="F105" s="184" t="s">
        <v>360</v>
      </c>
      <c r="G105" s="184">
        <f>PolyU!F3</f>
        <v>203.00000000001882</v>
      </c>
      <c r="H105" s="184">
        <f>PolyU!G3</f>
        <v>188.00000000001671</v>
      </c>
      <c r="I105" s="209">
        <f>計分版!D109</f>
        <v>2.175E-8</v>
      </c>
      <c r="J105" s="183">
        <f>PolyU!K3</f>
        <v>26</v>
      </c>
      <c r="K105" s="183">
        <f>PolyU!U3</f>
        <v>25</v>
      </c>
      <c r="L105" s="483">
        <f>IFERROR(PolyU!AC3/PolyU!V3,"新科目")</f>
        <v>15.941176470588236</v>
      </c>
      <c r="M105" s="20">
        <f>入學要求!S89</f>
        <v>0</v>
      </c>
    </row>
    <row r="106" spans="1:24">
      <c r="A106" s="180" t="str">
        <f>PolyU!A4</f>
        <v>JS3351</v>
      </c>
      <c r="B106" s="16" t="s">
        <v>550</v>
      </c>
      <c r="C106" s="180" t="str">
        <f>PolyU!C4</f>
        <v>運輸系統工程學(榮譽)工學士學位</v>
      </c>
      <c r="D106" s="180" t="str">
        <f>PolyU!D4</f>
        <v xml:space="preserve">	TRANS SYS ENGG</v>
      </c>
      <c r="E106" s="192" t="str">
        <f>PolyU!E4</f>
        <v>Best 5</v>
      </c>
      <c r="F106" s="184" t="s">
        <v>360</v>
      </c>
      <c r="G106" s="184">
        <f>PolyU!F4</f>
        <v>186.00000000001882</v>
      </c>
      <c r="H106" s="184">
        <f>PolyU!G4</f>
        <v>170.00000000002299</v>
      </c>
      <c r="I106" s="209">
        <f>計分版!D110</f>
        <v>2.175E-8</v>
      </c>
      <c r="J106" s="183">
        <f>PolyU!K4</f>
        <v>23</v>
      </c>
      <c r="K106" s="183">
        <f>PolyU!U4</f>
        <v>25</v>
      </c>
      <c r="L106" s="483">
        <f>IFERROR(PolyU!AC4/PolyU!V4,"新科目")</f>
        <v>10.944444444444445</v>
      </c>
      <c r="M106" s="20">
        <f>入學要求!S90</f>
        <v>0</v>
      </c>
    </row>
    <row r="107" spans="1:24">
      <c r="A107" s="180" t="str">
        <f>PolyU!A5</f>
        <v>JS3375</v>
      </c>
      <c r="B107" s="16" t="s">
        <v>550</v>
      </c>
      <c r="C107" s="180" t="str">
        <f>PolyU!C5</f>
        <v>環境工程與可持續發展學(榮譽)工學士學位</v>
      </c>
      <c r="D107" s="180" t="str">
        <f>PolyU!D5</f>
        <v xml:space="preserve">	ENV &amp; SUSTAIN DEVELOP</v>
      </c>
      <c r="E107" s="192" t="str">
        <f>PolyU!E5</f>
        <v>Best 5</v>
      </c>
      <c r="F107" s="184" t="s">
        <v>360</v>
      </c>
      <c r="G107" s="184">
        <f>PolyU!F5</f>
        <v>178.00000000001671</v>
      </c>
      <c r="H107" s="184">
        <f>PolyU!G5</f>
        <v>171.00000000001882</v>
      </c>
      <c r="I107" s="209">
        <f>計分版!D111</f>
        <v>1.9750000000000001E-8</v>
      </c>
      <c r="J107" s="183">
        <f>PolyU!K5</f>
        <v>27</v>
      </c>
      <c r="K107" s="183">
        <f>PolyU!U5</f>
        <v>25</v>
      </c>
      <c r="L107" s="483">
        <f>IFERROR(PolyU!AC5/PolyU!V5,"新科目")</f>
        <v>12.266666666666667</v>
      </c>
      <c r="M107" s="20">
        <f>入學要求!S91</f>
        <v>0</v>
      </c>
    </row>
    <row r="108" spans="1:24">
      <c r="A108" s="180" t="str">
        <f>PolyU!A6</f>
        <v>JS3387</v>
      </c>
      <c r="B108" s="16" t="s">
        <v>550</v>
      </c>
      <c r="C108" s="180" t="str">
        <f>PolyU!C6</f>
        <v>土地測量及地理資訊學(榮譽)理學士學位</v>
      </c>
      <c r="D108" s="180" t="str">
        <f>PolyU!D6</f>
        <v>LAND SUR &amp; GEO-INFO</v>
      </c>
      <c r="E108" s="192" t="str">
        <f>PolyU!E6</f>
        <v>Best 5</v>
      </c>
      <c r="F108" s="184" t="s">
        <v>360</v>
      </c>
      <c r="G108" s="184">
        <f>PolyU!F6</f>
        <v>164.50000000001202</v>
      </c>
      <c r="H108" s="184">
        <f>PolyU!G6</f>
        <v>163.500000000011</v>
      </c>
      <c r="I108" s="209">
        <f>計分版!D112</f>
        <v>1.9750000000000001E-8</v>
      </c>
      <c r="J108" s="183">
        <f>PolyU!K6</f>
        <v>37</v>
      </c>
      <c r="K108" s="183">
        <f>PolyU!U6</f>
        <v>33</v>
      </c>
      <c r="L108" s="483">
        <f>IFERROR(PolyU!AC6/PolyU!V6,"新科目")</f>
        <v>7.709677419354839</v>
      </c>
      <c r="M108" s="20">
        <f>入學要求!S92</f>
        <v>0</v>
      </c>
    </row>
    <row r="109" spans="1:24">
      <c r="A109" s="180" t="str">
        <f>PolyU!A7</f>
        <v>JS3442</v>
      </c>
      <c r="B109" s="16" t="s">
        <v>550</v>
      </c>
      <c r="C109" s="180" t="str">
        <f>PolyU!C7</f>
        <v>物業管理學(榮譽)理學士學位</v>
      </c>
      <c r="D109" s="180" t="str">
        <f>PolyU!D7</f>
        <v xml:space="preserve">	PROPERTY MGT</v>
      </c>
      <c r="E109" s="192" t="str">
        <f>PolyU!E7</f>
        <v>Best 5</v>
      </c>
      <c r="F109" s="184" t="s">
        <v>360</v>
      </c>
      <c r="G109" s="184">
        <f>PolyU!F7</f>
        <v>144.50000000001012</v>
      </c>
      <c r="H109" s="184">
        <f>PolyU!G7</f>
        <v>137.0000000000106</v>
      </c>
      <c r="I109" s="209">
        <f>計分版!D113</f>
        <v>3.875E-8</v>
      </c>
      <c r="J109" s="183">
        <f>PolyU!K7</f>
        <v>22</v>
      </c>
      <c r="K109" s="183">
        <f>PolyU!U7</f>
        <v>23</v>
      </c>
      <c r="L109" s="483">
        <f>IFERROR(PolyU!AC7/PolyU!V7,"新科目")</f>
        <v>13.409090909090908</v>
      </c>
      <c r="M109" s="20">
        <f>入學要求!S93</f>
        <v>0</v>
      </c>
    </row>
    <row r="110" spans="1:24">
      <c r="A110" s="180" t="str">
        <f>PolyU!A8</f>
        <v>JS3466</v>
      </c>
      <c r="B110" s="16" t="s">
        <v>550</v>
      </c>
      <c r="C110" s="180" t="str">
        <f>PolyU!C8</f>
        <v>會計及金融(榮譽)工商管理學士學位</v>
      </c>
      <c r="D110" s="180" t="str">
        <f>PolyU!D8</f>
        <v xml:space="preserve">	ACCT &amp; FINANCE</v>
      </c>
      <c r="E110" s="192" t="str">
        <f>PolyU!E8</f>
        <v>Best 5</v>
      </c>
      <c r="F110" s="184" t="s">
        <v>360</v>
      </c>
      <c r="G110" s="184">
        <f>PolyU!F8</f>
        <v>172.50000000001202</v>
      </c>
      <c r="H110" s="184">
        <f>PolyU!G8</f>
        <v>163.500000000011</v>
      </c>
      <c r="I110" s="209">
        <f>計分版!D114</f>
        <v>1.8250000000000001E-8</v>
      </c>
      <c r="J110" s="183">
        <f>PolyU!K8</f>
        <v>38</v>
      </c>
      <c r="K110" s="183">
        <f>PolyU!U8</f>
        <v>38</v>
      </c>
      <c r="L110" s="483">
        <f>IFERROR(PolyU!AC8/PolyU!V8,"新科目")</f>
        <v>10.472222222222221</v>
      </c>
      <c r="M110" s="20">
        <f>入學要求!S94</f>
        <v>0</v>
      </c>
    </row>
    <row r="111" spans="1:24">
      <c r="A111" s="180" t="str">
        <f>PolyU!A9</f>
        <v>JS3478</v>
      </c>
      <c r="B111" s="16" t="s">
        <v>550</v>
      </c>
      <c r="C111" s="180" t="str">
        <f>PolyU!C9</f>
        <v>醫療化驗科學(榮譽)理學士學位</v>
      </c>
      <c r="D111" s="180" t="str">
        <f>PolyU!D9</f>
        <v xml:space="preserve">	MED LAB SCI</v>
      </c>
      <c r="E111" s="192" t="str">
        <f>PolyU!E9</f>
        <v>Best 6</v>
      </c>
      <c r="F111" s="184" t="s">
        <v>360</v>
      </c>
      <c r="G111" s="184">
        <f>PolyU!F9</f>
        <v>323.50000000002012</v>
      </c>
      <c r="H111" s="184">
        <f>PolyU!G9</f>
        <v>316.50000000002149</v>
      </c>
      <c r="I111" s="209">
        <f>計分版!D115</f>
        <v>2.475E-8</v>
      </c>
      <c r="J111" s="183">
        <f>PolyU!K9</f>
        <v>54</v>
      </c>
      <c r="K111" s="183">
        <f>PolyU!U9</f>
        <v>55</v>
      </c>
      <c r="L111" s="483">
        <f>IFERROR(PolyU!AC9/PolyU!V9,"新科目")</f>
        <v>5.3962264150943398</v>
      </c>
      <c r="M111" s="20">
        <f>入學要求!S95</f>
        <v>0</v>
      </c>
      <c r="O111" s="66"/>
      <c r="P111" s="66"/>
      <c r="Q111" s="20"/>
      <c r="R111" s="20"/>
      <c r="S111" s="20"/>
      <c r="T111" s="20"/>
      <c r="U111" s="20"/>
      <c r="V111" s="20"/>
      <c r="W111" s="20"/>
      <c r="X111" s="20"/>
    </row>
    <row r="112" spans="1:24">
      <c r="A112" s="180" t="str">
        <f>PolyU!A10</f>
        <v>JS3492</v>
      </c>
      <c r="B112" s="16" t="s">
        <v>550</v>
      </c>
      <c r="C112" s="180" t="str">
        <f>PolyU!C10</f>
        <v>服裝及紡織(榮譽)文學士學位組合課程</v>
      </c>
      <c r="D112" s="180" t="str">
        <f>PolyU!D10</f>
        <v xml:space="preserve">	FASHION &amp; TEXTILES</v>
      </c>
      <c r="E112" s="192" t="str">
        <f>PolyU!E10</f>
        <v>Best 5</v>
      </c>
      <c r="F112" s="184" t="s">
        <v>360</v>
      </c>
      <c r="G112" s="184">
        <f>PolyU!F10</f>
        <v>176.00000000001791</v>
      </c>
      <c r="H112" s="184">
        <f>PolyU!G10</f>
        <v>166.00000000001791</v>
      </c>
      <c r="I112" s="209">
        <f>計分版!D116</f>
        <v>1.9750000000000001E-8</v>
      </c>
      <c r="J112" s="183">
        <f>PolyU!K10</f>
        <v>92</v>
      </c>
      <c r="K112" s="183">
        <f>PolyU!U10</f>
        <v>92</v>
      </c>
      <c r="L112" s="483">
        <f>IFERROR(PolyU!AC10/PolyU!V10,"新科目")</f>
        <v>7.2727272727272725</v>
      </c>
      <c r="M112" s="20">
        <f>入學要求!S96</f>
        <v>0</v>
      </c>
      <c r="O112" s="66"/>
      <c r="P112" s="66"/>
      <c r="Q112" s="20"/>
      <c r="R112" s="20"/>
      <c r="S112" s="20"/>
      <c r="T112" s="20"/>
      <c r="U112" s="20"/>
      <c r="V112" s="20"/>
      <c r="W112" s="20"/>
      <c r="X112" s="20"/>
    </row>
    <row r="113" spans="1:25">
      <c r="A113" s="180" t="str">
        <f>PolyU!A11</f>
        <v>JS3507</v>
      </c>
      <c r="B113" s="16" t="s">
        <v>550</v>
      </c>
      <c r="C113" s="180" t="str">
        <f>PolyU!C11</f>
        <v>航空工程學(榮譽)工學士學位</v>
      </c>
      <c r="D113" s="180" t="str">
        <f>PolyU!D11</f>
        <v xml:space="preserve">	AVIATION ENGG</v>
      </c>
      <c r="E113" s="192" t="str">
        <f>PolyU!E11</f>
        <v>Best 5</v>
      </c>
      <c r="F113" s="184" t="s">
        <v>360</v>
      </c>
      <c r="G113" s="184">
        <f>PolyU!F11</f>
        <v>185.00000000002899</v>
      </c>
      <c r="H113" s="184">
        <f>PolyU!G11</f>
        <v>171.00000000001882</v>
      </c>
      <c r="I113" s="209">
        <f>計分版!D117</f>
        <v>2.175E-8</v>
      </c>
      <c r="J113" s="183">
        <f>PolyU!K11</f>
        <v>56</v>
      </c>
      <c r="K113" s="183">
        <f>PolyU!U11</f>
        <v>49</v>
      </c>
      <c r="L113" s="483">
        <f>IFERROR(PolyU!AC11/PolyU!V11,"新科目")</f>
        <v>11.685714285714285</v>
      </c>
      <c r="M113" s="20">
        <f>入學要求!S97</f>
        <v>0</v>
      </c>
      <c r="O113" s="66"/>
      <c r="P113" s="66"/>
      <c r="Q113" s="20"/>
      <c r="R113" s="20"/>
      <c r="S113" s="20"/>
      <c r="T113" s="20"/>
      <c r="U113" s="20"/>
      <c r="V113" s="20"/>
      <c r="W113" s="20"/>
      <c r="X113" s="20"/>
    </row>
    <row r="114" spans="1:25">
      <c r="A114" s="180" t="str">
        <f>PolyU!A12</f>
        <v>JS3519</v>
      </c>
      <c r="B114" s="16" t="s">
        <v>550</v>
      </c>
      <c r="C114" s="180" t="str">
        <f>PolyU!C12</f>
        <v>互聯網及多媒體科技(榮譽)理學士學位</v>
      </c>
      <c r="D114" s="180" t="str">
        <f>PolyU!D12</f>
        <v xml:space="preserve">	INT &amp; MULTI MEDIA TECH</v>
      </c>
      <c r="E114" s="192" t="str">
        <f>PolyU!E12</f>
        <v>Best 5</v>
      </c>
      <c r="F114" s="184" t="s">
        <v>360</v>
      </c>
      <c r="G114" s="184">
        <f>PolyU!F12</f>
        <v>190.00000000002498</v>
      </c>
      <c r="H114" s="184">
        <f>PolyU!G12</f>
        <v>175.00000000002399</v>
      </c>
      <c r="I114" s="209">
        <f>計分版!D118</f>
        <v>2.175E-8</v>
      </c>
      <c r="J114" s="183">
        <f>PolyU!K12</f>
        <v>27</v>
      </c>
      <c r="K114" s="183">
        <f>PolyU!U12</f>
        <v>26</v>
      </c>
      <c r="L114" s="483">
        <f>IFERROR(PolyU!AC12/PolyU!V12,"新科目")</f>
        <v>25.636363636363637</v>
      </c>
      <c r="M114" s="20">
        <f>入學要求!S98</f>
        <v>0</v>
      </c>
      <c r="O114" s="66"/>
      <c r="P114" s="66"/>
      <c r="Q114" s="20"/>
      <c r="R114" s="20"/>
      <c r="S114" s="20"/>
      <c r="T114" s="20"/>
      <c r="U114" s="20"/>
      <c r="V114" s="20"/>
      <c r="W114" s="20"/>
      <c r="X114" s="20"/>
    </row>
    <row r="115" spans="1:25">
      <c r="A115" s="180" t="str">
        <f>PolyU!A13</f>
        <v>JS3557</v>
      </c>
      <c r="B115" s="16" t="s">
        <v>550</v>
      </c>
      <c r="C115" s="180" t="str">
        <f>PolyU!C13</f>
        <v>產品及工業工程(榮譽)工學士學位組合課程</v>
      </c>
      <c r="D115" s="180" t="str">
        <f>PolyU!D13</f>
        <v xml:space="preserve">	PROD &amp; INDUSTRIAL ENGG</v>
      </c>
      <c r="E115" s="192" t="str">
        <f>PolyU!E13</f>
        <v>Best 5</v>
      </c>
      <c r="F115" s="184" t="s">
        <v>360</v>
      </c>
      <c r="G115" s="184">
        <f>PolyU!F13</f>
        <v>149.50000000001222</v>
      </c>
      <c r="H115" s="184">
        <f>PolyU!G13</f>
        <v>149.00000000001151</v>
      </c>
      <c r="I115" s="209">
        <f>計分版!D119</f>
        <v>1.9750000000000001E-8</v>
      </c>
      <c r="J115" s="183">
        <f>PolyU!K13</f>
        <v>56</v>
      </c>
      <c r="K115" s="183">
        <f>PolyU!U13</f>
        <v>46</v>
      </c>
      <c r="L115" s="483">
        <f>IFERROR(PolyU!AC13/PolyU!V13,"新科目")</f>
        <v>9.7631578947368425</v>
      </c>
      <c r="M115" s="20">
        <f>入學要求!S99</f>
        <v>0</v>
      </c>
      <c r="O115" s="66"/>
      <c r="P115" s="66"/>
      <c r="Q115" s="20"/>
      <c r="R115" s="20"/>
      <c r="S115" s="20"/>
      <c r="T115" s="20"/>
      <c r="U115" s="20"/>
      <c r="V115" s="20"/>
      <c r="W115" s="20"/>
      <c r="X115" s="20"/>
      <c r="Y115" s="14"/>
    </row>
    <row r="116" spans="1:25">
      <c r="A116" s="180" t="str">
        <f>PolyU!A14</f>
        <v>JS3569</v>
      </c>
      <c r="B116" s="16" t="s">
        <v>550</v>
      </c>
      <c r="C116" s="180" t="str">
        <f>PolyU!C14</f>
        <v>設計學(榮譽)文學士學位組合課程</v>
      </c>
      <c r="D116" s="180" t="str">
        <f>PolyU!D14</f>
        <v xml:space="preserve">	DESIGN</v>
      </c>
      <c r="E116" s="192" t="str">
        <f>PolyU!E14</f>
        <v>Best 5</v>
      </c>
      <c r="F116" s="184" t="s">
        <v>360</v>
      </c>
      <c r="G116" s="184">
        <f>PolyU!F14</f>
        <v>200.00000000001998</v>
      </c>
      <c r="H116" s="184">
        <f>PolyU!G14</f>
        <v>180.000000000017</v>
      </c>
      <c r="I116" s="209">
        <f>計分版!D120</f>
        <v>2.0749999999999997E-8</v>
      </c>
      <c r="J116" s="183">
        <f>PolyU!K14</f>
        <v>81</v>
      </c>
      <c r="K116" s="183">
        <f>PolyU!U14</f>
        <v>65</v>
      </c>
      <c r="L116" s="483">
        <f>IFERROR(PolyU!AC14/PolyU!V14,"新科目")</f>
        <v>16.296875</v>
      </c>
      <c r="M116" s="20">
        <f>入學要求!S100</f>
        <v>0</v>
      </c>
      <c r="O116" s="66"/>
      <c r="P116" s="66"/>
      <c r="Q116" s="20"/>
      <c r="R116" s="20"/>
      <c r="S116" s="20"/>
      <c r="T116" s="20"/>
      <c r="U116" s="20"/>
      <c r="V116" s="20"/>
      <c r="W116" s="20"/>
      <c r="X116" s="20"/>
      <c r="Y116" s="14"/>
    </row>
    <row r="117" spans="1:25">
      <c r="A117" s="180" t="str">
        <f>PolyU!A15</f>
        <v>JS3571</v>
      </c>
      <c r="B117" s="16" t="s">
        <v>550</v>
      </c>
      <c r="C117" s="180" t="str">
        <f>PolyU!C15</f>
        <v>物流及企業工程(榮譽)理學士學位組合課程</v>
      </c>
      <c r="D117" s="180" t="str">
        <f>PolyU!D15</f>
        <v xml:space="preserve">	LOG &amp; ENTERPRISE ENGG</v>
      </c>
      <c r="E117" s="192" t="str">
        <f>PolyU!E15</f>
        <v>Best 5</v>
      </c>
      <c r="F117" s="184" t="s">
        <v>360</v>
      </c>
      <c r="G117" s="184">
        <f>PolyU!F15</f>
        <v>149.500000000011</v>
      </c>
      <c r="H117" s="184">
        <f>PolyU!G15</f>
        <v>146.000000000011</v>
      </c>
      <c r="I117" s="209">
        <f>計分版!D121</f>
        <v>1.9750000000000001E-8</v>
      </c>
      <c r="J117" s="183">
        <f>PolyU!K15</f>
        <v>51</v>
      </c>
      <c r="K117" s="183">
        <f>PolyU!U15</f>
        <v>41</v>
      </c>
      <c r="L117" s="483">
        <f>IFERROR(PolyU!AC15/PolyU!V15,"新科目")</f>
        <v>6.6764705882352944</v>
      </c>
      <c r="M117" s="20">
        <f>入學要求!S101</f>
        <v>0</v>
      </c>
      <c r="O117" s="66"/>
      <c r="P117" s="66"/>
      <c r="Q117" s="20"/>
      <c r="R117" s="20"/>
      <c r="S117" s="20"/>
      <c r="T117" s="20"/>
      <c r="U117" s="20"/>
      <c r="V117" s="20"/>
      <c r="W117" s="20"/>
      <c r="X117" s="20"/>
      <c r="Y117" s="14"/>
    </row>
    <row r="118" spans="1:25">
      <c r="A118" s="180" t="str">
        <f>PolyU!A16</f>
        <v>JS3583</v>
      </c>
      <c r="B118" s="16" t="s">
        <v>550</v>
      </c>
      <c r="C118" s="180" t="str">
        <f>PolyU!C16</f>
        <v>管理學(榮譽)工商管理學士學位</v>
      </c>
      <c r="D118" s="180" t="str">
        <f>PolyU!D16</f>
        <v xml:space="preserve">	MGT</v>
      </c>
      <c r="E118" s="192" t="str">
        <f>PolyU!E16</f>
        <v>Best 5</v>
      </c>
      <c r="F118" s="184" t="s">
        <v>360</v>
      </c>
      <c r="G118" s="184">
        <f>PolyU!F16</f>
        <v>161.00000000001199</v>
      </c>
      <c r="H118" s="184">
        <f>PolyU!G16</f>
        <v>156.50000000001148</v>
      </c>
      <c r="I118" s="209">
        <f>計分版!D122</f>
        <v>1.9750000000000001E-8</v>
      </c>
      <c r="J118" s="183">
        <f>PolyU!K16</f>
        <v>50</v>
      </c>
      <c r="K118" s="183">
        <f>PolyU!U16</f>
        <v>49</v>
      </c>
      <c r="L118" s="483">
        <f>IFERROR(PolyU!AC16/PolyU!V16,"新科目")</f>
        <v>14.738095238095237</v>
      </c>
      <c r="M118" s="20">
        <f>入學要求!S102</f>
        <v>0</v>
      </c>
      <c r="O118" s="66"/>
      <c r="P118" s="66"/>
      <c r="Q118" s="20"/>
      <c r="R118" s="20"/>
      <c r="S118" s="20"/>
      <c r="T118" s="20"/>
      <c r="U118" s="20"/>
      <c r="V118" s="20"/>
      <c r="W118" s="20"/>
      <c r="X118" s="20"/>
      <c r="Y118" s="14"/>
    </row>
    <row r="119" spans="1:25">
      <c r="A119" s="180" t="str">
        <f>PolyU!A17</f>
        <v>JS3595</v>
      </c>
      <c r="B119" s="16" t="s">
        <v>550</v>
      </c>
      <c r="C119" s="180" t="str">
        <f>PolyU!C17</f>
        <v>金融服務(榮譽)工商管理學士學位</v>
      </c>
      <c r="D119" s="180" t="str">
        <f>PolyU!D17</f>
        <v>FINANCIAL SERV</v>
      </c>
      <c r="E119" s="192" t="str">
        <f>PolyU!E17</f>
        <v>Best 5</v>
      </c>
      <c r="F119" s="184" t="s">
        <v>360</v>
      </c>
      <c r="G119" s="184">
        <f>PolyU!F17</f>
        <v>153.50000000001251</v>
      </c>
      <c r="H119" s="184">
        <f>PolyU!G17</f>
        <v>149.00000000001202</v>
      </c>
      <c r="I119" s="209">
        <f>計分版!D123</f>
        <v>1.9750000000000001E-8</v>
      </c>
      <c r="J119" s="183">
        <f>PolyU!K17</f>
        <v>30</v>
      </c>
      <c r="K119" s="183">
        <f>PolyU!U17</f>
        <v>26</v>
      </c>
      <c r="L119" s="483">
        <f>IFERROR(PolyU!AC17/PolyU!V17,"新科目")</f>
        <v>12</v>
      </c>
      <c r="M119" s="20">
        <f>入學要求!S103</f>
        <v>0</v>
      </c>
      <c r="O119" s="66"/>
      <c r="P119" s="66"/>
      <c r="Q119" s="20"/>
      <c r="R119" s="20"/>
      <c r="S119" s="20"/>
      <c r="T119" s="20"/>
      <c r="U119" s="20"/>
      <c r="V119" s="20"/>
      <c r="W119" s="20"/>
      <c r="X119" s="20"/>
      <c r="Y119" s="14"/>
    </row>
    <row r="120" spans="1:25">
      <c r="A120" s="180" t="str">
        <f>PolyU!A18</f>
        <v>JS3600</v>
      </c>
      <c r="B120" s="16" t="s">
        <v>550</v>
      </c>
      <c r="C120" s="180" t="str">
        <f>PolyU!C18</f>
        <v>生物醫學工程(榮譽)理學士學位</v>
      </c>
      <c r="D120" s="180" t="str">
        <f>PolyU!D18</f>
        <v xml:space="preserve">	BIOMEDICAL ENGG</v>
      </c>
      <c r="E120" s="192" t="str">
        <f>PolyU!E18</f>
        <v>Best 5</v>
      </c>
      <c r="F120" s="184" t="s">
        <v>360</v>
      </c>
      <c r="G120" s="184">
        <f>PolyU!F18</f>
        <v>218.50000000002339</v>
      </c>
      <c r="H120" s="184">
        <f>PolyU!G18</f>
        <v>206.00000000001822</v>
      </c>
      <c r="I120" s="209">
        <f>計分版!D124</f>
        <v>2.175E-8</v>
      </c>
      <c r="J120" s="183">
        <f>PolyU!K18</f>
        <v>19</v>
      </c>
      <c r="K120" s="183">
        <f>PolyU!U18</f>
        <v>26</v>
      </c>
      <c r="L120" s="483">
        <f>IFERROR(PolyU!AC18/PolyU!V18,"新科目")</f>
        <v>9.85</v>
      </c>
      <c r="M120" s="20">
        <f>入學要求!S104</f>
        <v>0</v>
      </c>
      <c r="O120" s="66"/>
      <c r="P120" s="66"/>
      <c r="Q120" s="20"/>
      <c r="R120" s="20"/>
      <c r="S120" s="20"/>
      <c r="T120" s="20"/>
      <c r="U120" s="20"/>
      <c r="V120" s="20"/>
      <c r="W120" s="20"/>
      <c r="X120" s="20"/>
      <c r="Y120" s="14"/>
    </row>
    <row r="121" spans="1:25">
      <c r="A121" s="180" t="str">
        <f>PolyU!A19</f>
        <v>JS3612</v>
      </c>
      <c r="B121" s="16" t="s">
        <v>550</v>
      </c>
      <c r="C121" s="180" t="str">
        <f>PolyU!C19</f>
        <v>放射學(榮譽)理學士學位</v>
      </c>
      <c r="D121" s="180" t="str">
        <f>PolyU!D19</f>
        <v xml:space="preserve">	RADIOGRAPHY</v>
      </c>
      <c r="E121" s="192" t="str">
        <f>PolyU!E19</f>
        <v>Best 6</v>
      </c>
      <c r="F121" s="184" t="s">
        <v>360</v>
      </c>
      <c r="G121" s="184">
        <f>PolyU!F19</f>
        <v>305.00000000002296</v>
      </c>
      <c r="H121" s="184">
        <f>PolyU!G19</f>
        <v>305.00000000002296</v>
      </c>
      <c r="I121" s="209">
        <f>計分版!D125</f>
        <v>2.2750000000000002E-8</v>
      </c>
      <c r="J121" s="183">
        <f>PolyU!K19</f>
        <v>110</v>
      </c>
      <c r="K121" s="183">
        <f>PolyU!U19</f>
        <v>113</v>
      </c>
      <c r="L121" s="483">
        <f>IFERROR(PolyU!AC19/PolyU!V19,"新科目")</f>
        <v>5.2410714285714288</v>
      </c>
      <c r="M121" s="20">
        <f>入學要求!S105</f>
        <v>0</v>
      </c>
      <c r="O121" s="66"/>
      <c r="P121" s="66"/>
      <c r="Q121" s="20"/>
      <c r="R121" s="20"/>
      <c r="S121" s="20"/>
      <c r="T121" s="20"/>
      <c r="U121" s="20"/>
      <c r="V121" s="20"/>
      <c r="W121" s="20"/>
      <c r="X121" s="20"/>
    </row>
    <row r="122" spans="1:25">
      <c r="A122" s="180" t="str">
        <f>PolyU!A20</f>
        <v>JS3624</v>
      </c>
      <c r="B122" s="16" t="s">
        <v>550</v>
      </c>
      <c r="C122" s="180" t="str">
        <f>PolyU!C20</f>
        <v>職業治療學(榮譽)理學士學位</v>
      </c>
      <c r="D122" s="180" t="str">
        <f>PolyU!D20</f>
        <v xml:space="preserve">	OCCUPATIONAL THERAPY</v>
      </c>
      <c r="E122" s="192" t="str">
        <f>PolyU!E20</f>
        <v>Best 6</v>
      </c>
      <c r="F122" s="184" t="s">
        <v>360</v>
      </c>
      <c r="G122" s="184">
        <f>PolyU!F20</f>
        <v>299.00000000001614</v>
      </c>
      <c r="H122" s="184">
        <f>PolyU!G20</f>
        <v>288.50000000001683</v>
      </c>
      <c r="I122" s="209">
        <f>計分版!D126</f>
        <v>2.255E-8</v>
      </c>
      <c r="J122" s="183">
        <f>PolyU!K20</f>
        <v>100</v>
      </c>
      <c r="K122" s="183">
        <f>PolyU!U20</f>
        <v>101</v>
      </c>
      <c r="L122" s="483">
        <f>IFERROR(PolyU!AC20/PolyU!V20,"新科目")</f>
        <v>4.83</v>
      </c>
      <c r="M122" s="20">
        <f>入學要求!S106</f>
        <v>0</v>
      </c>
    </row>
    <row r="123" spans="1:25">
      <c r="A123" s="180" t="str">
        <f>PolyU!A21</f>
        <v>JS3636</v>
      </c>
      <c r="B123" s="16" t="s">
        <v>550</v>
      </c>
      <c r="C123" s="180" t="str">
        <f>PolyU!C21</f>
        <v>物理治療學(榮譽)理學士學位</v>
      </c>
      <c r="D123" s="180" t="str">
        <f>PolyU!D21</f>
        <v xml:space="preserve">	PHYSIOTHERAPY</v>
      </c>
      <c r="E123" s="192" t="str">
        <f>PolyU!E21</f>
        <v>Best 6</v>
      </c>
      <c r="F123" s="184" t="s">
        <v>360</v>
      </c>
      <c r="G123" s="184">
        <f>PolyU!F21</f>
        <v>284.00000000001609</v>
      </c>
      <c r="H123" s="184">
        <f>PolyU!G21</f>
        <v>267.50000000001501</v>
      </c>
      <c r="I123" s="209">
        <f>計分版!D127</f>
        <v>2.255E-8</v>
      </c>
      <c r="J123" s="183">
        <f>PolyU!K21</f>
        <v>150</v>
      </c>
      <c r="K123" s="183">
        <f>PolyU!U21</f>
        <v>142</v>
      </c>
      <c r="L123" s="483">
        <f>IFERROR(PolyU!AC21/PolyU!V21,"新科目")</f>
        <v>3.7266187050359711</v>
      </c>
      <c r="M123" s="20">
        <f>入學要求!S107</f>
        <v>0</v>
      </c>
    </row>
    <row r="124" spans="1:25">
      <c r="A124" s="180" t="str">
        <f>PolyU!A22</f>
        <v>JS3648</v>
      </c>
      <c r="B124" s="16" t="s">
        <v>550</v>
      </c>
      <c r="C124" s="180" t="str">
        <f>PolyU!C22</f>
        <v>護理學(榮譽)理學士學位</v>
      </c>
      <c r="D124" s="180" t="str">
        <f>PolyU!D22</f>
        <v xml:space="preserve">	NURSING</v>
      </c>
      <c r="E124" s="192" t="str">
        <f>PolyU!E22</f>
        <v>4C2X</v>
      </c>
      <c r="F124" s="184" t="s">
        <v>360</v>
      </c>
      <c r="G124" s="184">
        <f>PolyU!F22</f>
        <v>245.00000000001498</v>
      </c>
      <c r="H124" s="184">
        <f>PolyU!G22</f>
        <v>230.00000000001501</v>
      </c>
      <c r="I124" s="209">
        <f>計分版!D128</f>
        <v>1.925E-8</v>
      </c>
      <c r="J124" s="183">
        <f>PolyU!K22</f>
        <v>193</v>
      </c>
      <c r="K124" s="183">
        <f>PolyU!U22</f>
        <v>165</v>
      </c>
      <c r="L124" s="483">
        <f>IFERROR(PolyU!AC22/PolyU!V22,"新科目")</f>
        <v>7.0797546012269938</v>
      </c>
      <c r="M124" s="20">
        <f>入學要求!S108</f>
        <v>0</v>
      </c>
    </row>
    <row r="125" spans="1:25">
      <c r="A125" s="180" t="str">
        <f>PolyU!A23</f>
        <v>JS3650</v>
      </c>
      <c r="B125" s="16" t="s">
        <v>550</v>
      </c>
      <c r="C125" s="180" t="str">
        <f>PolyU!C23</f>
        <v>眼科視光學(榮譽)理學士學位</v>
      </c>
      <c r="D125" s="180" t="str">
        <f>PolyU!D23</f>
        <v xml:space="preserve">	OPTOMETRY</v>
      </c>
      <c r="E125" s="192" t="str">
        <f>PolyU!E23</f>
        <v>Best 6</v>
      </c>
      <c r="F125" s="184" t="s">
        <v>360</v>
      </c>
      <c r="G125" s="184">
        <f>PolyU!F23</f>
        <v>305.00000000002905</v>
      </c>
      <c r="H125" s="184">
        <f>PolyU!G23</f>
        <v>290.00000000002302</v>
      </c>
      <c r="I125" s="209">
        <f>計分版!D129</f>
        <v>2.475E-8</v>
      </c>
      <c r="J125" s="183">
        <f>PolyU!K23</f>
        <v>45</v>
      </c>
      <c r="K125" s="183">
        <f>PolyU!U23</f>
        <v>51</v>
      </c>
      <c r="L125" s="483">
        <f>IFERROR(PolyU!AC23/PolyU!V23,"新科目")</f>
        <v>5.7391304347826084</v>
      </c>
      <c r="M125" s="20">
        <f>入學要求!S109</f>
        <v>0</v>
      </c>
    </row>
    <row r="126" spans="1:25">
      <c r="A126" s="180" t="str">
        <f>PolyU!A24</f>
        <v>JS3662</v>
      </c>
      <c r="B126" s="16" t="s">
        <v>550</v>
      </c>
      <c r="C126" s="180" t="str">
        <f>PolyU!C24</f>
        <v>社會工作(榮譽)文學士學位</v>
      </c>
      <c r="D126" s="180" t="str">
        <f>PolyU!D24</f>
        <v xml:space="preserve">	SOCIAL WORK</v>
      </c>
      <c r="E126" s="192" t="str">
        <f>PolyU!E24</f>
        <v>4C2X</v>
      </c>
      <c r="F126" s="184" t="s">
        <v>360</v>
      </c>
      <c r="G126" s="184">
        <f>PolyU!F24</f>
        <v>164.00000000000949</v>
      </c>
      <c r="H126" s="184">
        <f>PolyU!G24</f>
        <v>163.50000000001003</v>
      </c>
      <c r="I126" s="209">
        <f>計分版!D130</f>
        <v>1.625E-8</v>
      </c>
      <c r="J126" s="183">
        <f>PolyU!K24</f>
        <v>32</v>
      </c>
      <c r="K126" s="183">
        <f>PolyU!U24</f>
        <v>35</v>
      </c>
      <c r="L126" s="483">
        <f>IFERROR(PolyU!AC24/PolyU!V24,"新科目")</f>
        <v>15.6</v>
      </c>
      <c r="M126" s="20">
        <f>入學要求!S110</f>
        <v>0</v>
      </c>
    </row>
    <row r="127" spans="1:25">
      <c r="A127" s="180" t="str">
        <f>PolyU!A25</f>
        <v>JS3674</v>
      </c>
      <c r="B127" s="16" t="s">
        <v>550</v>
      </c>
      <c r="C127" s="180" t="str">
        <f>PolyU!C25</f>
        <v>國際航運及物流管理(榮譽)工商管理學士學位</v>
      </c>
      <c r="D127" s="180" t="str">
        <f>PolyU!D25</f>
        <v xml:space="preserve">	INT'L SHIP &amp; TRANS LGT</v>
      </c>
      <c r="E127" s="192" t="str">
        <f>PolyU!E25</f>
        <v>Best 5</v>
      </c>
      <c r="F127" s="184" t="s">
        <v>360</v>
      </c>
      <c r="G127" s="184">
        <f>PolyU!F25</f>
        <v>151.0000000000127</v>
      </c>
      <c r="H127" s="184">
        <f>PolyU!G25</f>
        <v>146.000000000011</v>
      </c>
      <c r="I127" s="209">
        <f>計分版!D131</f>
        <v>1.9750000000000001E-8</v>
      </c>
      <c r="J127" s="183">
        <f>PolyU!K25</f>
        <v>31</v>
      </c>
      <c r="K127" s="183">
        <f>PolyU!U25</f>
        <v>34</v>
      </c>
      <c r="L127" s="483">
        <f>IFERROR(PolyU!AC25/PolyU!V25,"新科目")</f>
        <v>10.473684210526315</v>
      </c>
      <c r="M127" s="20">
        <f>入學要求!S111</f>
        <v>0</v>
      </c>
      <c r="O127" s="16"/>
      <c r="P127" s="16"/>
    </row>
    <row r="128" spans="1:25">
      <c r="A128" s="180" t="str">
        <f>PolyU!A26</f>
        <v>JS3703</v>
      </c>
      <c r="B128" s="16" t="s">
        <v>550</v>
      </c>
      <c r="C128" s="180" t="str">
        <f>PolyU!C26</f>
        <v>電子及資訊工程學(榮譽)工學士學位</v>
      </c>
      <c r="D128" s="180" t="str">
        <f>PolyU!D26</f>
        <v xml:space="preserve">	ELECTRONIC &amp; INFO ENGG</v>
      </c>
      <c r="E128" s="192" t="str">
        <f>PolyU!E26</f>
        <v>Best 5</v>
      </c>
      <c r="F128" s="184" t="s">
        <v>360</v>
      </c>
      <c r="G128" s="184">
        <f>PolyU!F26</f>
        <v>180.00000000002299</v>
      </c>
      <c r="H128" s="184">
        <f>PolyU!G26</f>
        <v>170.00000000002402</v>
      </c>
      <c r="I128" s="209">
        <f>計分版!D132</f>
        <v>2.175E-8</v>
      </c>
      <c r="J128" s="183">
        <f>PolyU!K26</f>
        <v>37</v>
      </c>
      <c r="K128" s="183">
        <f>PolyU!U26</f>
        <v>30</v>
      </c>
      <c r="L128" s="483">
        <f>IFERROR(PolyU!AC26/PolyU!V26,"新科目")</f>
        <v>21.714285714285715</v>
      </c>
      <c r="M128" s="20">
        <f>入學要求!S112</f>
        <v>0</v>
      </c>
      <c r="O128" s="20"/>
      <c r="P128" s="20"/>
    </row>
    <row r="129" spans="1:16">
      <c r="A129" s="180" t="str">
        <f>PolyU!A27</f>
        <v>JS3715</v>
      </c>
      <c r="B129" s="16" t="s">
        <v>550</v>
      </c>
      <c r="C129" s="180" t="str">
        <f>PolyU!C27</f>
        <v>電機工程學(榮譽)工學士學位</v>
      </c>
      <c r="D129" s="180" t="str">
        <f>PolyU!D27</f>
        <v xml:space="preserve">	ELECTRICAL ENGG</v>
      </c>
      <c r="E129" s="192" t="str">
        <f>PolyU!E27</f>
        <v>Best 5</v>
      </c>
      <c r="F129" s="184" t="s">
        <v>360</v>
      </c>
      <c r="G129" s="184">
        <f>PolyU!F27</f>
        <v>220.00000000002399</v>
      </c>
      <c r="H129" s="184">
        <f>PolyU!G27</f>
        <v>186.00000000001876</v>
      </c>
      <c r="I129" s="209">
        <f>計分版!D133</f>
        <v>2.175E-8</v>
      </c>
      <c r="J129" s="183">
        <f>PolyU!K27</f>
        <v>39</v>
      </c>
      <c r="K129" s="183">
        <f>PolyU!U27</f>
        <v>41</v>
      </c>
      <c r="L129" s="483">
        <f>IFERROR(PolyU!AC27/PolyU!V27,"新科目")</f>
        <v>7.4210526315789478</v>
      </c>
      <c r="M129" s="20">
        <f>入學要求!S113</f>
        <v>0</v>
      </c>
      <c r="O129" s="16"/>
      <c r="P129" s="16"/>
    </row>
    <row r="130" spans="1:16">
      <c r="A130" s="180" t="str">
        <f>PolyU!A28</f>
        <v>JS3739</v>
      </c>
      <c r="B130" s="16" t="s">
        <v>550</v>
      </c>
      <c r="C130" s="180" t="str">
        <f>PolyU!C28</f>
        <v>土木工程學(榮譽)工學士學位</v>
      </c>
      <c r="D130" s="180" t="str">
        <f>PolyU!D28</f>
        <v xml:space="preserve">	CIVIL ENGG</v>
      </c>
      <c r="E130" s="192" t="str">
        <f>PolyU!E28</f>
        <v>Best 5</v>
      </c>
      <c r="F130" s="184" t="s">
        <v>360</v>
      </c>
      <c r="G130" s="184">
        <f>PolyU!F28</f>
        <v>191.0000000000135</v>
      </c>
      <c r="H130" s="184">
        <f>PolyU!G28</f>
        <v>184.0000000000135</v>
      </c>
      <c r="I130" s="209">
        <f>計分版!D134</f>
        <v>2.175E-8</v>
      </c>
      <c r="J130" s="183">
        <f>PolyU!K28</f>
        <v>62</v>
      </c>
      <c r="K130" s="183">
        <f>PolyU!U28</f>
        <v>58</v>
      </c>
      <c r="L130" s="483">
        <f>IFERROR(PolyU!AC28/PolyU!V28,"新科目")</f>
        <v>11</v>
      </c>
      <c r="M130" s="20">
        <f>入學要求!S114</f>
        <v>0</v>
      </c>
      <c r="O130" s="16"/>
      <c r="P130" s="16"/>
    </row>
    <row r="131" spans="1:16">
      <c r="A131" s="180" t="str">
        <f>PolyU!A29</f>
        <v>JS3741</v>
      </c>
      <c r="B131" s="16" t="s">
        <v>550</v>
      </c>
      <c r="C131" s="180" t="str">
        <f>PolyU!C29</f>
        <v>機械工程(榮譽)工學士學位組合課程</v>
      </c>
      <c r="D131" s="180" t="str">
        <f>PolyU!D29</f>
        <v xml:space="preserve">	MECHANICAL ENGG</v>
      </c>
      <c r="E131" s="192" t="str">
        <f>PolyU!E29</f>
        <v>Best 5</v>
      </c>
      <c r="F131" s="184" t="s">
        <v>360</v>
      </c>
      <c r="G131" s="184">
        <f>PolyU!F29</f>
        <v>180.00000000002399</v>
      </c>
      <c r="H131" s="184">
        <f>PolyU!G29</f>
        <v>176.00000000001882</v>
      </c>
      <c r="I131" s="209">
        <f>計分版!D135</f>
        <v>2.175E-8</v>
      </c>
      <c r="J131" s="183">
        <f>PolyU!K29</f>
        <v>62</v>
      </c>
      <c r="K131" s="183">
        <f>PolyU!U29</f>
        <v>51</v>
      </c>
      <c r="L131" s="483">
        <f>IFERROR(PolyU!AC29/PolyU!V29,"新科目")</f>
        <v>9.0444444444444443</v>
      </c>
      <c r="M131" s="20">
        <f>入學要求!S115</f>
        <v>0</v>
      </c>
      <c r="O131" s="16"/>
      <c r="P131" s="16"/>
    </row>
    <row r="132" spans="1:16">
      <c r="A132" s="180" t="str">
        <f>PolyU!A30</f>
        <v>JS3753</v>
      </c>
      <c r="B132" s="16" t="s">
        <v>550</v>
      </c>
      <c r="C132" s="180" t="str">
        <f>PolyU!C30</f>
        <v>屋宇設備工程學(榮譽)工學士學位</v>
      </c>
      <c r="D132" s="180" t="str">
        <f>PolyU!D30</f>
        <v xml:space="preserve">	BLDG SERV ENGG</v>
      </c>
      <c r="E132" s="192" t="str">
        <f>PolyU!E30</f>
        <v>Best 5</v>
      </c>
      <c r="F132" s="184" t="s">
        <v>360</v>
      </c>
      <c r="G132" s="184">
        <f>PolyU!F30</f>
        <v>176.0000000000135</v>
      </c>
      <c r="H132" s="184">
        <f>PolyU!G30</f>
        <v>159.00000000001353</v>
      </c>
      <c r="I132" s="209">
        <f>計分版!D136</f>
        <v>1.9750000000000001E-8</v>
      </c>
      <c r="J132" s="183">
        <f>PolyU!K30</f>
        <v>29</v>
      </c>
      <c r="K132" s="183">
        <f>PolyU!U30</f>
        <v>24</v>
      </c>
      <c r="L132" s="483">
        <f>IFERROR(PolyU!AC30/PolyU!V30,"新科目")</f>
        <v>6.1363636363636367</v>
      </c>
      <c r="M132" s="20">
        <f>入學要求!S116</f>
        <v>0</v>
      </c>
      <c r="O132" s="16"/>
      <c r="P132" s="16"/>
    </row>
    <row r="133" spans="1:16">
      <c r="A133" s="180" t="str">
        <f>PolyU!A31</f>
        <v>JS3765</v>
      </c>
      <c r="B133" s="16" t="s">
        <v>550</v>
      </c>
      <c r="C133" s="180" t="str">
        <f>PolyU!C31</f>
        <v>社會政策及社會創業(榮譽)文學士學位</v>
      </c>
      <c r="D133" s="180" t="str">
        <f>PolyU!D31</f>
        <v xml:space="preserve">	SOC POLICY &amp; SOC ENTREPR</v>
      </c>
      <c r="E133" s="192" t="str">
        <f>PolyU!E31</f>
        <v>4C2X</v>
      </c>
      <c r="F133" s="184" t="s">
        <v>360</v>
      </c>
      <c r="G133" s="184">
        <f>PolyU!F31</f>
        <v>133.00000000000952</v>
      </c>
      <c r="H133" s="184">
        <f>PolyU!G31</f>
        <v>139.00000000000949</v>
      </c>
      <c r="I133" s="209">
        <f>計分版!D137</f>
        <v>1.625E-8</v>
      </c>
      <c r="J133" s="183">
        <f>PolyU!K31</f>
        <v>18</v>
      </c>
      <c r="K133" s="183">
        <f>PolyU!U31</f>
        <v>18</v>
      </c>
      <c r="L133" s="483">
        <f>IFERROR(PolyU!AC31/PolyU!V31,"新科目")</f>
        <v>13.666666666666666</v>
      </c>
      <c r="M133" s="20">
        <f>入學要求!S117</f>
        <v>0</v>
      </c>
      <c r="O133" s="16"/>
      <c r="P133" s="16"/>
    </row>
    <row r="134" spans="1:16">
      <c r="A134" s="180" t="str">
        <f>PolyU!A32</f>
        <v>JS3777</v>
      </c>
      <c r="B134" s="16" t="s">
        <v>550</v>
      </c>
      <c r="C134" s="180" t="str">
        <f>PolyU!C32</f>
        <v>結構及消防安全工程學(榮譽)工學士學位</v>
      </c>
      <c r="D134" s="180" t="str">
        <f>PolyU!D32</f>
        <v>STRUCT &amp; FIRE SAFETY ENG</v>
      </c>
      <c r="E134" s="192" t="str">
        <f>PolyU!E32</f>
        <v>Best 5</v>
      </c>
      <c r="F134" s="184" t="s">
        <v>360</v>
      </c>
      <c r="G134" s="184">
        <f>PolyU!F32</f>
        <v>162.0000000000135</v>
      </c>
      <c r="H134" s="184">
        <f>PolyU!G32</f>
        <v>159.0000000000135</v>
      </c>
      <c r="I134" s="209">
        <f>計分版!D138</f>
        <v>2.175E-8</v>
      </c>
      <c r="J134" s="183">
        <f>PolyU!K32</f>
        <v>30</v>
      </c>
      <c r="K134" s="183">
        <f>PolyU!U32</f>
        <v>28</v>
      </c>
      <c r="L134" s="483">
        <f>IFERROR(PolyU!AC32/PolyU!V32,"新科目")</f>
        <v>9.8148148148148149</v>
      </c>
      <c r="M134" s="20">
        <f>入學要求!S118</f>
        <v>0</v>
      </c>
      <c r="O134" s="16"/>
      <c r="P134" s="16"/>
    </row>
    <row r="135" spans="1:16">
      <c r="A135" s="180" t="str">
        <f>PolyU!A33</f>
        <v>JS3789</v>
      </c>
      <c r="B135" s="16" t="s">
        <v>550</v>
      </c>
      <c r="C135" s="180" t="str">
        <f>PolyU!C33</f>
        <v>地產及建設測量學(榮譽)理學士學位</v>
      </c>
      <c r="D135" s="180" t="str">
        <f>PolyU!D33</f>
        <v xml:space="preserve">	SURVEYING</v>
      </c>
      <c r="E135" s="192" t="str">
        <f>PolyU!E33</f>
        <v>Best 5</v>
      </c>
      <c r="F135" s="184" t="s">
        <v>360</v>
      </c>
      <c r="G135" s="184">
        <f>PolyU!F33</f>
        <v>173.00000000001063</v>
      </c>
      <c r="H135" s="184">
        <f>PolyU!G33</f>
        <v>172.5000000000116</v>
      </c>
      <c r="I135" s="209">
        <f>計分版!D139</f>
        <v>1.9750000000000001E-8</v>
      </c>
      <c r="J135" s="183">
        <f>PolyU!K33</f>
        <v>47</v>
      </c>
      <c r="K135" s="183">
        <f>PolyU!U33</f>
        <v>53</v>
      </c>
      <c r="L135" s="483">
        <f>IFERROR(PolyU!AC33/PolyU!V33,"新科目")</f>
        <v>3.2115384615384617</v>
      </c>
      <c r="M135" s="20">
        <f>入學要求!S119</f>
        <v>0</v>
      </c>
      <c r="O135" s="16"/>
      <c r="P135" s="16"/>
    </row>
    <row r="136" spans="1:16">
      <c r="A136" s="180" t="str">
        <f>PolyU!A34</f>
        <v>JS3791</v>
      </c>
      <c r="B136" s="16" t="s">
        <v>550</v>
      </c>
      <c r="C136" s="180" t="str">
        <f>PolyU!C34</f>
        <v>建築工程及管理學(榮譽)理學士學位</v>
      </c>
      <c r="D136" s="180" t="str">
        <f>PolyU!D34</f>
        <v>BLDG ENGG &amp; MGT</v>
      </c>
      <c r="E136" s="192" t="str">
        <f>PolyU!E34</f>
        <v>Best 5</v>
      </c>
      <c r="F136" s="184" t="s">
        <v>360</v>
      </c>
      <c r="G136" s="184">
        <f>PolyU!F34</f>
        <v>174.00000000001353</v>
      </c>
      <c r="H136" s="184">
        <f>PolyU!G34</f>
        <v>152.0000000000135</v>
      </c>
      <c r="I136" s="209">
        <f>計分版!D140</f>
        <v>2.175E-8</v>
      </c>
      <c r="J136" s="183">
        <f>PolyU!K34</f>
        <v>22</v>
      </c>
      <c r="K136" s="183">
        <f>PolyU!U34</f>
        <v>20</v>
      </c>
      <c r="L136" s="483">
        <f>IFERROR(PolyU!AC34/PolyU!V34,"新科目")</f>
        <v>9</v>
      </c>
      <c r="M136" s="20">
        <f>入學要求!S120</f>
        <v>0</v>
      </c>
      <c r="O136" s="16"/>
      <c r="P136" s="16"/>
    </row>
    <row r="137" spans="1:16">
      <c r="A137" s="180" t="str">
        <f>PolyU!A35</f>
        <v>JS3806</v>
      </c>
      <c r="B137" s="16" t="s">
        <v>550</v>
      </c>
      <c r="C137" s="180" t="str">
        <f>PolyU!C35</f>
        <v>投資科學及金融分析(榮譽)理學士學位</v>
      </c>
      <c r="D137" s="180" t="str">
        <f>PolyU!D35</f>
        <v>INV SCI &amp; FIN ANALYTICS</v>
      </c>
      <c r="E137" s="192" t="str">
        <f>PolyU!E35</f>
        <v>Best 5</v>
      </c>
      <c r="F137" s="184" t="s">
        <v>360</v>
      </c>
      <c r="G137" s="184">
        <f>PolyU!F35</f>
        <v>166.50000000001154</v>
      </c>
      <c r="H137" s="184">
        <f>PolyU!G35</f>
        <v>156.50000000001097</v>
      </c>
      <c r="I137" s="209">
        <f>計分版!D141</f>
        <v>1.9750000000000001E-8</v>
      </c>
      <c r="J137" s="183">
        <f>PolyU!K35</f>
        <v>19</v>
      </c>
      <c r="K137" s="183">
        <f>PolyU!U35</f>
        <v>25</v>
      </c>
      <c r="L137" s="483">
        <f>IFERROR(PolyU!AC35/PolyU!V35,"新科目")</f>
        <v>5.3043478260869561</v>
      </c>
      <c r="M137" s="20">
        <f>入學要求!S121</f>
        <v>0</v>
      </c>
      <c r="O137" s="16"/>
      <c r="P137" s="16"/>
    </row>
    <row r="138" spans="1:16">
      <c r="A138" s="180" t="str">
        <f>PolyU!A36</f>
        <v>JS3818</v>
      </c>
      <c r="B138" s="16" t="s">
        <v>550</v>
      </c>
      <c r="C138" s="180" t="str">
        <f>PolyU!C36</f>
        <v>語言學及翻譯學(榮譽)文學士學位</v>
      </c>
      <c r="D138" s="180" t="str">
        <f>PolyU!D36</f>
        <v xml:space="preserve">	LINGUISTICS &amp; TRANSLAT</v>
      </c>
      <c r="E138" s="192" t="str">
        <f>PolyU!E36</f>
        <v>中英+3X</v>
      </c>
      <c r="F138" s="184" t="s">
        <v>360</v>
      </c>
      <c r="G138" s="184">
        <f>PolyU!F36</f>
        <v>171.00000000001091</v>
      </c>
      <c r="H138" s="184">
        <f>PolyU!G36</f>
        <v>163.5000000000104</v>
      </c>
      <c r="I138" s="209">
        <f>計分版!D142</f>
        <v>1.625E-8</v>
      </c>
      <c r="J138" s="183">
        <f>PolyU!K36</f>
        <v>37</v>
      </c>
      <c r="K138" s="183">
        <f>PolyU!U36</f>
        <v>37</v>
      </c>
      <c r="L138" s="483">
        <f>IFERROR(PolyU!AC36/PolyU!V36,"新科目")</f>
        <v>9.235294117647058</v>
      </c>
      <c r="M138" s="20">
        <f>入學要求!S122</f>
        <v>0</v>
      </c>
      <c r="O138" s="16"/>
      <c r="P138" s="16"/>
    </row>
    <row r="139" spans="1:16">
      <c r="A139" s="180" t="str">
        <f>PolyU!A37</f>
        <v>JS3820</v>
      </c>
      <c r="B139" s="16" t="s">
        <v>550</v>
      </c>
      <c r="C139" s="180" t="str">
        <f>PolyU!C37</f>
        <v>旅遊業及會展管理(榮譽)理學士學位</v>
      </c>
      <c r="D139" s="180" t="str">
        <f>PolyU!D37</f>
        <v xml:space="preserve">	TOUR &amp; EVENTS MGT</v>
      </c>
      <c r="E139" s="192" t="str">
        <f>PolyU!E37</f>
        <v>Best 5</v>
      </c>
      <c r="F139" s="184" t="s">
        <v>360</v>
      </c>
      <c r="G139" s="184">
        <f>PolyU!F37</f>
        <v>154.5000000000106</v>
      </c>
      <c r="H139" s="184">
        <f>PolyU!G37</f>
        <v>137.000000000011</v>
      </c>
      <c r="I139" s="209">
        <f>計分版!D143</f>
        <v>1.9750000000000001E-8</v>
      </c>
      <c r="J139" s="183">
        <f>PolyU!K37</f>
        <v>32</v>
      </c>
      <c r="K139" s="183">
        <f>PolyU!U37</f>
        <v>35</v>
      </c>
      <c r="L139" s="483">
        <f>IFERROR(PolyU!AC37/PolyU!V37,"新科目")</f>
        <v>19.685714285714287</v>
      </c>
      <c r="M139" s="20">
        <f>入學要求!S123</f>
        <v>0</v>
      </c>
      <c r="O139" s="16"/>
      <c r="P139" s="16"/>
    </row>
    <row r="140" spans="1:16">
      <c r="A140" s="180" t="str">
        <f>PolyU!A38</f>
        <v>JS3832</v>
      </c>
      <c r="B140" s="16" t="s">
        <v>550</v>
      </c>
      <c r="C140" s="180" t="str">
        <f>PolyU!C38</f>
        <v>英文及應用語言學(榮譽)文學士學位</v>
      </c>
      <c r="D140" s="180" t="str">
        <f>PolyU!D38</f>
        <v xml:space="preserve">	ENGL &amp; APP LINGUISTICS</v>
      </c>
      <c r="E140" s="192" t="str">
        <f>PolyU!E38</f>
        <v>中英+3X</v>
      </c>
      <c r="F140" s="184" t="s">
        <v>360</v>
      </c>
      <c r="G140" s="184">
        <f>PolyU!F38</f>
        <v>164.00000000001191</v>
      </c>
      <c r="H140" s="184">
        <f>PolyU!G38</f>
        <v>159.00000000001091</v>
      </c>
      <c r="I140" s="209">
        <f>計分版!D144</f>
        <v>1.625E-8</v>
      </c>
      <c r="J140" s="183">
        <f>PolyU!K38</f>
        <v>41</v>
      </c>
      <c r="K140" s="183">
        <f>PolyU!U38</f>
        <v>22</v>
      </c>
      <c r="L140" s="483">
        <f>IFERROR(PolyU!AC38/PolyU!V38,"新科目")</f>
        <v>6.3529411764705879</v>
      </c>
      <c r="M140" s="20">
        <f>入學要求!S124</f>
        <v>0</v>
      </c>
      <c r="O140" s="16"/>
      <c r="P140" s="16"/>
    </row>
    <row r="141" spans="1:16">
      <c r="A141" s="180" t="str">
        <f>PolyU!A39</f>
        <v>JS3844</v>
      </c>
      <c r="B141" s="180" t="s">
        <v>550</v>
      </c>
      <c r="C141" s="180" t="str">
        <f>PolyU!C39</f>
        <v>供應鏈管理及分析(榮譽)工商管理學士學位</v>
      </c>
      <c r="D141" s="180" t="str">
        <f>PolyU!D39</f>
        <v>SUP CHAIN MGT &amp; ANALY</v>
      </c>
      <c r="E141" s="192" t="str">
        <f>PolyU!E39</f>
        <v>Best 5</v>
      </c>
      <c r="F141" s="184" t="s">
        <v>360</v>
      </c>
      <c r="G141" s="184">
        <f>PolyU!F39</f>
        <v>156.50000000001103</v>
      </c>
      <c r="H141" s="184">
        <f>PolyU!G39</f>
        <v>146.500000000011</v>
      </c>
      <c r="I141" s="209">
        <f>計分版!D145</f>
        <v>1.9750000000000001E-8</v>
      </c>
      <c r="J141" s="183">
        <f>PolyU!K39</f>
        <v>29</v>
      </c>
      <c r="K141" s="183" t="str">
        <f>PolyU!U39</f>
        <v>/</v>
      </c>
      <c r="L141" s="483" t="str">
        <f>IFERROR(PolyU!AC39/PolyU!V39,"無資料")</f>
        <v>無資料</v>
      </c>
      <c r="M141" s="183">
        <f>入學要求!S125</f>
        <v>0</v>
      </c>
      <c r="O141" s="16"/>
      <c r="P141" s="16"/>
    </row>
    <row r="142" spans="1:16">
      <c r="A142" s="180" t="str">
        <f>PolyU!A40</f>
        <v>JS3868</v>
      </c>
      <c r="B142" s="16" t="s">
        <v>550</v>
      </c>
      <c r="C142" s="180" t="str">
        <f>PolyU!C40</f>
        <v>電子計算(榮譽)理學士學位組合課程</v>
      </c>
      <c r="D142" s="180" t="str">
        <f>PolyU!D40</f>
        <v xml:space="preserve">	COMPUTING</v>
      </c>
      <c r="E142" s="192" t="str">
        <f>PolyU!E40</f>
        <v>Best 5</v>
      </c>
      <c r="F142" s="184" t="s">
        <v>360</v>
      </c>
      <c r="G142" s="184">
        <f>PolyU!F40</f>
        <v>188.00000000001882</v>
      </c>
      <c r="H142" s="184">
        <f>PolyU!G40</f>
        <v>181.00000000001882</v>
      </c>
      <c r="I142" s="209">
        <f>計分版!D146</f>
        <v>2.175E-8</v>
      </c>
      <c r="J142" s="183">
        <f>PolyU!K40</f>
        <v>110</v>
      </c>
      <c r="K142" s="183">
        <f>PolyU!U40</f>
        <v>95</v>
      </c>
      <c r="L142" s="483">
        <f>IFERROR(PolyU!AC40/PolyU!V40,"新科目")</f>
        <v>5.9770114942528734</v>
      </c>
      <c r="M142" s="20">
        <f>入學要求!S126</f>
        <v>0</v>
      </c>
      <c r="O142" s="16"/>
      <c r="P142" s="16"/>
    </row>
    <row r="143" spans="1:16">
      <c r="A143" s="180" t="str">
        <f>PolyU!A41</f>
        <v>JS3882</v>
      </c>
      <c r="B143" s="16" t="s">
        <v>550</v>
      </c>
      <c r="C143" s="180" t="str">
        <f>PolyU!C41</f>
        <v>酒店業管理(榮譽)理學士學位</v>
      </c>
      <c r="D143" s="180" t="str">
        <f>PolyU!D41</f>
        <v xml:space="preserve">	HOTEL MGT</v>
      </c>
      <c r="E143" s="192" t="str">
        <f>PolyU!E41</f>
        <v>Best 5</v>
      </c>
      <c r="F143" s="184" t="s">
        <v>360</v>
      </c>
      <c r="G143" s="184">
        <f>PolyU!F41</f>
        <v>154.50000000001063</v>
      </c>
      <c r="H143" s="184">
        <f>PolyU!G41</f>
        <v>134.50000000001012</v>
      </c>
      <c r="I143" s="209">
        <f>計分版!D147</f>
        <v>1.9750000000000001E-8</v>
      </c>
      <c r="J143" s="183">
        <f>PolyU!K41</f>
        <v>45</v>
      </c>
      <c r="K143" s="183">
        <f>PolyU!U41</f>
        <v>49</v>
      </c>
      <c r="L143" s="483">
        <f>IFERROR(PolyU!AC41/PolyU!V41,"新科目")</f>
        <v>18.122448979591837</v>
      </c>
      <c r="M143" s="20">
        <f>入學要求!S127</f>
        <v>0</v>
      </c>
      <c r="O143" s="16"/>
      <c r="P143" s="16"/>
    </row>
    <row r="144" spans="1:16">
      <c r="A144" s="180" t="str">
        <f>PolyU!A42</f>
        <v>JS3894</v>
      </c>
      <c r="B144" s="16" t="s">
        <v>550</v>
      </c>
      <c r="C144" s="180" t="str">
        <f>PolyU!C42</f>
        <v>市場學(榮譽)工商管理學士學位</v>
      </c>
      <c r="D144" s="180" t="str">
        <f>PolyU!D42</f>
        <v xml:space="preserve">	MARKETING</v>
      </c>
      <c r="E144" s="192" t="str">
        <f>PolyU!E42</f>
        <v>Best 5</v>
      </c>
      <c r="F144" s="184" t="s">
        <v>360</v>
      </c>
      <c r="G144" s="184">
        <f>PolyU!F42</f>
        <v>163.500000000011</v>
      </c>
      <c r="H144" s="184">
        <f>PolyU!G42</f>
        <v>146.0000000000133</v>
      </c>
      <c r="I144" s="209">
        <f>計分版!D148</f>
        <v>1.9750000000000001E-8</v>
      </c>
      <c r="J144" s="183">
        <f>PolyU!K42</f>
        <v>58</v>
      </c>
      <c r="K144" s="183">
        <f>PolyU!U42</f>
        <v>57</v>
      </c>
      <c r="L144" s="483">
        <f>IFERROR(PolyU!AC42/PolyU!V42,"新科目")</f>
        <v>15.865384615384615</v>
      </c>
      <c r="M144" s="20">
        <f>入學要求!S128</f>
        <v>0</v>
      </c>
      <c r="O144" s="16"/>
      <c r="P144" s="16"/>
    </row>
    <row r="145" spans="1:16" s="20" customFormat="1">
      <c r="A145" s="180" t="str">
        <f>PolyU!A43</f>
        <v>JS3911</v>
      </c>
      <c r="B145" s="16" t="s">
        <v>550</v>
      </c>
      <c r="C145" s="180" t="str">
        <f>PolyU!C43</f>
        <v>會計學(榮譽)工商管理學士學位</v>
      </c>
      <c r="D145" s="180" t="str">
        <f>PolyU!D43</f>
        <v xml:space="preserve">	ACCOUNTANCY</v>
      </c>
      <c r="E145" s="192" t="str">
        <f>PolyU!E43</f>
        <v>Best 5</v>
      </c>
      <c r="F145" s="184" t="s">
        <v>360</v>
      </c>
      <c r="G145" s="184">
        <f>PolyU!F43</f>
        <v>171.00000000001151</v>
      </c>
      <c r="H145" s="184">
        <f>PolyU!G43</f>
        <v>166.50000000001154</v>
      </c>
      <c r="I145" s="209">
        <f>計分版!D149</f>
        <v>2.0249999999999999E-8</v>
      </c>
      <c r="J145" s="183">
        <f>PolyU!K43</f>
        <v>108</v>
      </c>
      <c r="K145" s="183">
        <f>PolyU!U43</f>
        <v>81</v>
      </c>
      <c r="L145" s="483">
        <f>IFERROR(PolyU!AC43/PolyU!V43,"新科目")</f>
        <v>8.962025316455696</v>
      </c>
      <c r="M145" s="20">
        <f>入學要求!S129</f>
        <v>0</v>
      </c>
    </row>
    <row r="146" spans="1:16">
      <c r="A146" s="180" t="str">
        <f>PolyU!A44</f>
        <v>JS3923</v>
      </c>
      <c r="B146" s="16" t="s">
        <v>550</v>
      </c>
      <c r="C146" s="180" t="str">
        <f>PolyU!C44</f>
        <v>應用生物兼生物科技(榮譽)理學士學位</v>
      </c>
      <c r="D146" s="180" t="str">
        <f>PolyU!D44</f>
        <v xml:space="preserve">	APP BIO</v>
      </c>
      <c r="E146" s="192" t="str">
        <f>PolyU!E44</f>
        <v>Best 5</v>
      </c>
      <c r="F146" s="184" t="s">
        <v>360</v>
      </c>
      <c r="G146" s="184">
        <f>PolyU!F44</f>
        <v>186.50000000001353</v>
      </c>
      <c r="H146" s="184">
        <f>PolyU!G44</f>
        <v>184.00000000001353</v>
      </c>
      <c r="I146" s="209">
        <f>計分版!D150</f>
        <v>1.9750000000000001E-8</v>
      </c>
      <c r="J146" s="183">
        <f>PolyU!K44</f>
        <v>26</v>
      </c>
      <c r="K146" s="183">
        <f>PolyU!U44</f>
        <v>25</v>
      </c>
      <c r="L146" s="483">
        <f>IFERROR(PolyU!AC44/PolyU!V44,"新科目")</f>
        <v>16.272727272727273</v>
      </c>
      <c r="M146" s="20">
        <f>入學要求!S130</f>
        <v>0</v>
      </c>
      <c r="O146" s="16"/>
      <c r="P146" s="16"/>
    </row>
    <row r="147" spans="1:16">
      <c r="A147" s="180" t="str">
        <f>PolyU!A45</f>
        <v>JS3985</v>
      </c>
      <c r="B147" s="16" t="s">
        <v>550</v>
      </c>
      <c r="C147" s="180" t="str">
        <f>PolyU!C45</f>
        <v>工程物理學(榮譽)理學士學位</v>
      </c>
      <c r="D147" s="180" t="str">
        <f>PolyU!D45</f>
        <v xml:space="preserve">	ENGG PHY</v>
      </c>
      <c r="E147" s="192" t="str">
        <f>PolyU!E45</f>
        <v>Best 5</v>
      </c>
      <c r="F147" s="184" t="s">
        <v>360</v>
      </c>
      <c r="G147" s="184">
        <f>PolyU!F45</f>
        <v>159.00000000001353</v>
      </c>
      <c r="H147" s="184">
        <f>PolyU!G45</f>
        <v>158.0000000000208</v>
      </c>
      <c r="I147" s="209">
        <f>計分版!D151</f>
        <v>2.0750000000000004E-8</v>
      </c>
      <c r="J147" s="183">
        <f>PolyU!K45</f>
        <v>25</v>
      </c>
      <c r="K147" s="183">
        <f>PolyU!U45</f>
        <v>27</v>
      </c>
      <c r="L147" s="483">
        <f>IFERROR(PolyU!AC45/PolyU!V45,"新科目")</f>
        <v>10.363636363636363</v>
      </c>
      <c r="M147" s="20">
        <f>入學要求!S131</f>
        <v>0</v>
      </c>
      <c r="O147" s="16"/>
      <c r="P147" s="16"/>
    </row>
    <row r="148" spans="1:16">
      <c r="A148" s="180" t="str">
        <f>PolyU!A46</f>
        <v>JS3997</v>
      </c>
      <c r="B148" s="16" t="s">
        <v>550</v>
      </c>
      <c r="C148" s="180" t="str">
        <f>PolyU!C46</f>
        <v>化學科技(榮譽)理學士學位</v>
      </c>
      <c r="D148" s="180" t="str">
        <f>PolyU!D46</f>
        <v xml:space="preserve">	CHEM TECH</v>
      </c>
      <c r="E148" s="192" t="str">
        <f>PolyU!E46</f>
        <v>Best 5</v>
      </c>
      <c r="F148" s="184" t="s">
        <v>360</v>
      </c>
      <c r="G148" s="184">
        <f>PolyU!F46</f>
        <v>176.0000000000135</v>
      </c>
      <c r="H148" s="184">
        <f>PolyU!G46</f>
        <v>171.0000000000135</v>
      </c>
      <c r="I148" s="209">
        <f>計分版!D152</f>
        <v>1.9750000000000001E-8</v>
      </c>
      <c r="J148" s="183">
        <f>PolyU!K46</f>
        <v>26</v>
      </c>
      <c r="K148" s="183">
        <f>PolyU!U46</f>
        <v>23</v>
      </c>
      <c r="L148" s="483">
        <f>IFERROR(PolyU!AC46/PolyU!V46,"新科目")</f>
        <v>14.434782608695652</v>
      </c>
      <c r="M148" s="20">
        <f>入學要求!S132</f>
        <v>0</v>
      </c>
      <c r="O148" s="16"/>
      <c r="P148" s="16"/>
    </row>
    <row r="149" spans="1:16">
      <c r="A149" s="180" t="str">
        <f>PolyU!A48</f>
        <v>JS3014</v>
      </c>
      <c r="B149" s="16" t="s">
        <v>550</v>
      </c>
      <c r="C149" s="180" t="str">
        <f>PolyU!C48</f>
        <v>應用物理學高級文憑</v>
      </c>
      <c r="D149" s="180" t="str">
        <f>PolyU!D48</f>
        <v xml:space="preserve">	HD BLDG SERV ENGG</v>
      </c>
      <c r="E149" s="56" t="str">
        <f>PolyU!E48</f>
        <v>中英+3X</v>
      </c>
      <c r="F149" s="184" t="s">
        <v>360</v>
      </c>
      <c r="G149" s="184">
        <f>PolyU!F48</f>
        <v>14.1</v>
      </c>
      <c r="H149" s="184" t="s">
        <v>360</v>
      </c>
      <c r="I149" s="209">
        <f>計分版!D153</f>
        <v>2.9500000000000004E-9</v>
      </c>
      <c r="J149" s="183">
        <f>PolyU!K48</f>
        <v>51</v>
      </c>
      <c r="K149" s="183">
        <f>PolyU!U47</f>
        <v>0</v>
      </c>
      <c r="L149" s="483">
        <f>IFERROR(PolyU!AC48/PolyU!V48,"新科目")</f>
        <v>2.7625899280575541</v>
      </c>
      <c r="M149" s="20">
        <f>入學要求!S134</f>
        <v>0</v>
      </c>
      <c r="O149" s="16"/>
      <c r="P149" s="16"/>
    </row>
    <row r="150" spans="1:16">
      <c r="A150" s="180" t="str">
        <f>PolyU!A49</f>
        <v>JS3026</v>
      </c>
      <c r="B150" s="16" t="s">
        <v>550</v>
      </c>
      <c r="C150" s="180" t="str">
        <f>PolyU!C49</f>
        <v>屋宇設備工程學高級文憑</v>
      </c>
      <c r="D150" s="180" t="str">
        <f>PolyU!D49</f>
        <v xml:space="preserve">	HD BLDG TECH &amp; MGT(ENGG)</v>
      </c>
      <c r="E150" s="192" t="str">
        <f>PolyU!E49</f>
        <v>中英+3X</v>
      </c>
      <c r="F150" s="184" t="s">
        <v>360</v>
      </c>
      <c r="G150" s="184">
        <f>PolyU!F49</f>
        <v>14.4</v>
      </c>
      <c r="H150" s="184" t="s">
        <v>360</v>
      </c>
      <c r="I150" s="209">
        <f>計分版!D154</f>
        <v>2.9500000000000004E-9</v>
      </c>
      <c r="J150" s="183">
        <f>PolyU!K49</f>
        <v>75</v>
      </c>
      <c r="K150" s="183">
        <f>PolyU!U48</f>
        <v>361</v>
      </c>
      <c r="L150" s="483">
        <f>IFERROR(PolyU!AC49/PolyU!V49,"新科目")</f>
        <v>3.5098039215686274</v>
      </c>
      <c r="M150" s="20">
        <f>入學要求!S135</f>
        <v>0</v>
      </c>
      <c r="O150" s="16"/>
      <c r="P150" s="16"/>
    </row>
    <row r="151" spans="1:16">
      <c r="A151" s="180" t="str">
        <f>PolyU!A50</f>
        <v>JS3038</v>
      </c>
      <c r="B151" s="16" t="s">
        <v>550</v>
      </c>
      <c r="C151" s="180" t="str">
        <f>PolyU!C50</f>
        <v>建築科技及管理學高級文憑(工程)</v>
      </c>
      <c r="D151" s="180" t="str">
        <f>PolyU!D50</f>
        <v xml:space="preserve">	HD CHEM TECH</v>
      </c>
      <c r="E151" s="192" t="str">
        <f>PolyU!E50</f>
        <v>中英+3X</v>
      </c>
      <c r="F151" s="184" t="s">
        <v>360</v>
      </c>
      <c r="G151" s="184">
        <f>PolyU!F50</f>
        <v>14.2</v>
      </c>
      <c r="H151" s="184" t="s">
        <v>360</v>
      </c>
      <c r="I151" s="209">
        <f>計分版!D155</f>
        <v>2.9500000000000004E-9</v>
      </c>
      <c r="J151" s="183">
        <f>PolyU!K50</f>
        <v>40</v>
      </c>
      <c r="K151" s="183">
        <f>PolyU!U49</f>
        <v>285</v>
      </c>
      <c r="L151" s="483">
        <f>IFERROR(PolyU!AC50/PolyU!V50,"新科目")</f>
        <v>3.8518518518518516</v>
      </c>
      <c r="M151" s="20">
        <f>入學要求!S136</f>
        <v>0</v>
      </c>
      <c r="O151" s="16"/>
      <c r="P151" s="16"/>
    </row>
    <row r="152" spans="1:16">
      <c r="A152" s="180" t="str">
        <f>PolyU!A51</f>
        <v>JS3040</v>
      </c>
      <c r="B152" s="16" t="s">
        <v>550</v>
      </c>
      <c r="C152" s="180" t="str">
        <f>PolyU!C51</f>
        <v>化學科技高級文憑</v>
      </c>
      <c r="D152" s="180" t="str">
        <f>PolyU!D51</f>
        <v xml:space="preserve">	HD CIVIL ENGG</v>
      </c>
      <c r="E152" s="192" t="str">
        <f>PolyU!E51</f>
        <v>中英+3X</v>
      </c>
      <c r="F152" s="184" t="s">
        <v>360</v>
      </c>
      <c r="G152" s="184">
        <f>PolyU!F57</f>
        <v>15.5</v>
      </c>
      <c r="H152" s="184" t="s">
        <v>360</v>
      </c>
      <c r="I152" s="209">
        <f>計分版!D156</f>
        <v>2.9500000000000004E-9</v>
      </c>
      <c r="J152" s="183">
        <f>PolyU!K51</f>
        <v>48</v>
      </c>
      <c r="K152" s="183">
        <f>PolyU!U50</f>
        <v>307</v>
      </c>
      <c r="L152" s="483">
        <f>IFERROR(PolyU!AC51/PolyU!V51,"新科目")</f>
        <v>2.5473684210526315</v>
      </c>
      <c r="M152" s="20">
        <f>入學要求!S137</f>
        <v>0</v>
      </c>
      <c r="O152" s="16"/>
      <c r="P152" s="16"/>
    </row>
    <row r="153" spans="1:16">
      <c r="A153" s="180" t="str">
        <f>PolyU!A52</f>
        <v>JS3052</v>
      </c>
      <c r="B153" s="16" t="s">
        <v>550</v>
      </c>
      <c r="C153" s="180" t="str">
        <f>PolyU!C52</f>
        <v>土木工程學高級文憑</v>
      </c>
      <c r="D153" s="180" t="str">
        <f>PolyU!D52</f>
        <v xml:space="preserve">	HD ELECTRICAL ENGG</v>
      </c>
      <c r="E153" s="192" t="str">
        <f>PolyU!E52</f>
        <v>中英+3X</v>
      </c>
      <c r="F153" s="184" t="s">
        <v>360</v>
      </c>
      <c r="G153" s="184">
        <f>PolyU!F51</f>
        <v>16.5</v>
      </c>
      <c r="H153" s="184" t="s">
        <v>360</v>
      </c>
      <c r="I153" s="209">
        <f>計分版!D157</f>
        <v>2.9500000000000004E-9</v>
      </c>
      <c r="J153" s="183">
        <f>PolyU!K52</f>
        <v>73</v>
      </c>
      <c r="K153" s="183">
        <f>PolyU!U51</f>
        <v>332</v>
      </c>
      <c r="L153" s="483">
        <f>IFERROR(PolyU!AC52/PolyU!V52,"新科目")</f>
        <v>5.375</v>
      </c>
      <c r="M153" s="20">
        <f>入學要求!S138</f>
        <v>0</v>
      </c>
      <c r="O153" s="16"/>
      <c r="P153" s="16"/>
    </row>
    <row r="154" spans="1:16">
      <c r="A154" s="180" t="str">
        <f>PolyU!A53</f>
        <v>JS3064</v>
      </c>
      <c r="B154" s="16" t="s">
        <v>550</v>
      </c>
      <c r="C154" s="180" t="str">
        <f>PolyU!C53</f>
        <v>電機工程學高級文憑</v>
      </c>
      <c r="D154" s="180" t="str">
        <f>PolyU!D53</f>
        <v xml:space="preserve">	HD ELECTRONIC INFO ENGG</v>
      </c>
      <c r="E154" s="192" t="str">
        <f>PolyU!E53</f>
        <v>中英+3X</v>
      </c>
      <c r="F154" s="184" t="s">
        <v>360</v>
      </c>
      <c r="G154" s="184">
        <f>PolyU!F52</f>
        <v>18.3</v>
      </c>
      <c r="H154" s="184" t="s">
        <v>360</v>
      </c>
      <c r="I154" s="209">
        <f>計分版!D158</f>
        <v>2.9500000000000004E-9</v>
      </c>
      <c r="J154" s="183">
        <f>PolyU!K53</f>
        <v>53</v>
      </c>
      <c r="K154" s="183">
        <f>PolyU!U52</f>
        <v>204</v>
      </c>
      <c r="L154" s="483">
        <f>IFERROR(PolyU!AC53/PolyU!V53,"新科目")</f>
        <v>5.0977443609022552</v>
      </c>
      <c r="M154" s="20">
        <f>入學要求!S139</f>
        <v>0</v>
      </c>
      <c r="O154" s="16"/>
      <c r="P154" s="16"/>
    </row>
    <row r="155" spans="1:16">
      <c r="A155" s="180" t="str">
        <f>PolyU!A54</f>
        <v>JS3076</v>
      </c>
      <c r="B155" s="16" t="s">
        <v>550</v>
      </c>
      <c r="C155" s="180" t="str">
        <f>PolyU!C54</f>
        <v>電子及資訊工程學高級文憑</v>
      </c>
      <c r="D155" s="180" t="str">
        <f>PolyU!D54</f>
        <v xml:space="preserve">	HD LAND SUR &amp; GEO-INFO</v>
      </c>
      <c r="E155" s="192" t="str">
        <f>PolyU!E54</f>
        <v>中英+3X</v>
      </c>
      <c r="F155" s="184" t="s">
        <v>360</v>
      </c>
      <c r="G155" s="184">
        <f>PolyU!F53</f>
        <v>16.899999999999999</v>
      </c>
      <c r="H155" s="184" t="s">
        <v>360</v>
      </c>
      <c r="I155" s="209">
        <f>計分版!D159</f>
        <v>2.9500000000000004E-9</v>
      </c>
      <c r="J155" s="183">
        <f>PolyU!K54</f>
        <v>88</v>
      </c>
      <c r="K155" s="183">
        <f>PolyU!U53</f>
        <v>222</v>
      </c>
      <c r="L155" s="483">
        <f>IFERROR(PolyU!AC54/PolyU!V54,"新科目")</f>
        <v>3.4229074889867843</v>
      </c>
      <c r="M155" s="20">
        <f>入學要求!S140</f>
        <v>0</v>
      </c>
      <c r="O155" s="16"/>
      <c r="P155" s="16"/>
    </row>
    <row r="156" spans="1:16">
      <c r="A156" s="180" t="str">
        <f>PolyU!A55</f>
        <v>JS3105</v>
      </c>
      <c r="B156" s="16" t="s">
        <v>550</v>
      </c>
      <c r="C156" s="180" t="str">
        <f>PolyU!C55</f>
        <v>土地測量及地理資訊學高級文憑</v>
      </c>
      <c r="D156" s="180" t="str">
        <f>PolyU!D55</f>
        <v xml:space="preserve">	HD INDUSTRIAL &amp; SYS ENGG</v>
      </c>
      <c r="E156" s="192" t="str">
        <f>PolyU!E55</f>
        <v>中英+3X</v>
      </c>
      <c r="F156" s="184" t="s">
        <v>360</v>
      </c>
      <c r="G156" s="184">
        <f>PolyU!F54</f>
        <v>16.399999999999999</v>
      </c>
      <c r="H156" s="184" t="s">
        <v>360</v>
      </c>
      <c r="I156" s="209">
        <f>計分版!D160</f>
        <v>2.9500000000000004E-9</v>
      </c>
      <c r="J156" s="183">
        <f>PolyU!K55</f>
        <v>71</v>
      </c>
      <c r="K156" s="183">
        <f>PolyU!U54</f>
        <v>423</v>
      </c>
      <c r="L156" s="483">
        <f>IFERROR(PolyU!AC55/PolyU!V55,"新科目")</f>
        <v>2.8878048780487804</v>
      </c>
      <c r="M156" s="20">
        <f>入學要求!S141</f>
        <v>0</v>
      </c>
      <c r="O156" s="16"/>
      <c r="P156" s="16"/>
    </row>
    <row r="157" spans="1:16">
      <c r="A157" s="180" t="str">
        <f>PolyU!A56</f>
        <v>JS3117</v>
      </c>
      <c r="B157" s="16" t="s">
        <v>550</v>
      </c>
      <c r="C157" s="180" t="str">
        <f>PolyU!C56</f>
        <v>工業及系統工程學高級文憑</v>
      </c>
      <c r="D157" s="180" t="str">
        <f>PolyU!D56</f>
        <v>HD BLDG TECH &amp; MGT(SURV)</v>
      </c>
      <c r="E157" s="192" t="str">
        <f>PolyU!E56</f>
        <v>中英+3X</v>
      </c>
      <c r="F157" s="184" t="s">
        <v>360</v>
      </c>
      <c r="G157" s="184">
        <f>PolyU!F56</f>
        <v>12.6</v>
      </c>
      <c r="H157" s="184" t="s">
        <v>360</v>
      </c>
      <c r="I157" s="209">
        <f>計分版!D161</f>
        <v>2.9500000000000004E-9</v>
      </c>
      <c r="J157" s="183">
        <f>PolyU!K56</f>
        <v>43</v>
      </c>
      <c r="K157" s="183">
        <f>PolyU!U55</f>
        <v>354</v>
      </c>
      <c r="L157" s="483">
        <f>IFERROR(PolyU!AC56/PolyU!V56,"新科目")</f>
        <v>2.9274193548387095</v>
      </c>
      <c r="M157" s="20">
        <f>入學要求!S142</f>
        <v>0</v>
      </c>
      <c r="O157" s="16"/>
      <c r="P157" s="16"/>
    </row>
    <row r="158" spans="1:16" s="20" customFormat="1">
      <c r="A158" s="180" t="str">
        <f>PolyU!A57</f>
        <v>JS3284</v>
      </c>
      <c r="B158" s="16" t="s">
        <v>550</v>
      </c>
      <c r="C158" s="180" t="str">
        <f>PolyU!C57</f>
        <v>建築科技及管理學高級文憑(測量)</v>
      </c>
      <c r="D158" s="180" t="str">
        <f>PolyU!D57</f>
        <v>HD in Building Technology &amp; Management (Surveying)</v>
      </c>
      <c r="E158" s="192" t="str">
        <f>PolyU!E57</f>
        <v>中英+3X</v>
      </c>
      <c r="F158" s="184" t="s">
        <v>360</v>
      </c>
      <c r="G158" s="184">
        <f>PolyU!F55</f>
        <v>16.399999999999999</v>
      </c>
      <c r="H158" s="184" t="s">
        <v>360</v>
      </c>
      <c r="I158" s="209">
        <f>計分版!D162</f>
        <v>2.9500000000000004E-9</v>
      </c>
      <c r="J158" s="183">
        <f>PolyU!K57</f>
        <v>55</v>
      </c>
      <c r="K158" s="183">
        <f>PolyU!U56</f>
        <v>315</v>
      </c>
      <c r="L158" s="483">
        <f>IFERROR(PolyU!AC57/PolyU!V57,"新科目")</f>
        <v>3.5985915492957745</v>
      </c>
      <c r="M158" s="20">
        <f>入學要求!S143</f>
        <v>0</v>
      </c>
    </row>
    <row r="159" spans="1:16" s="20" customFormat="1">
      <c r="A159" s="16"/>
      <c r="B159" s="16"/>
      <c r="C159" s="16"/>
      <c r="D159" s="16"/>
      <c r="E159" s="56"/>
      <c r="F159" s="184"/>
      <c r="G159" s="184"/>
      <c r="H159" s="184"/>
      <c r="I159" s="209"/>
      <c r="J159" s="16"/>
      <c r="K159" s="180"/>
      <c r="L159" s="483"/>
      <c r="M159" s="16"/>
    </row>
    <row r="160" spans="1:16" s="20" customFormat="1">
      <c r="A160" s="16"/>
      <c r="B160" s="70"/>
      <c r="C160" s="16"/>
      <c r="D160" s="16"/>
      <c r="E160" s="56"/>
      <c r="F160" s="330" t="s">
        <v>368</v>
      </c>
      <c r="G160" s="330" t="s">
        <v>994</v>
      </c>
      <c r="H160" s="184" t="s">
        <v>995</v>
      </c>
      <c r="I160" s="209" t="str">
        <f>計分版!D164</f>
        <v>總分</v>
      </c>
      <c r="J160" s="16"/>
      <c r="K160" s="180"/>
      <c r="L160" s="480"/>
      <c r="M160" s="16"/>
    </row>
    <row r="161" spans="1:25" s="20" customFormat="1">
      <c r="A161" s="16" t="str">
        <f>CUHK!A2</f>
        <v>JS4006</v>
      </c>
      <c r="B161" s="70" t="s">
        <v>193</v>
      </c>
      <c r="C161" s="180" t="str">
        <f>CUHK!C2</f>
        <v>人類學</v>
      </c>
      <c r="D161" s="180" t="str">
        <f>CUHK!D2</f>
        <v>ANTHROPOLOGY</v>
      </c>
      <c r="E161" s="180" t="str">
        <f>CUHK!E2</f>
        <v>Best 5</v>
      </c>
      <c r="F161" s="184">
        <f>CUHK!F2</f>
        <v>26</v>
      </c>
      <c r="G161" s="184">
        <f>CUHK!G2</f>
        <v>24.5</v>
      </c>
      <c r="H161" s="184">
        <f>CUHK!H2</f>
        <v>23</v>
      </c>
      <c r="I161" s="209">
        <f>計分版!D165</f>
        <v>3.9500000000000006E-9</v>
      </c>
      <c r="J161" s="16">
        <f>CUHK!L2</f>
        <v>20</v>
      </c>
      <c r="K161" s="180">
        <f>CUHK!V2</f>
        <v>20</v>
      </c>
      <c r="L161" s="483">
        <f>IFERROR(CUHK!AD2/CUHK!W2,"新科目")</f>
        <v>8</v>
      </c>
      <c r="M161" s="16">
        <f>入學要求!S147</f>
        <v>0</v>
      </c>
    </row>
    <row r="162" spans="1:25">
      <c r="A162" s="180" t="str">
        <f>CUHK!A3</f>
        <v>JS4018</v>
      </c>
      <c r="B162" s="70" t="s">
        <v>193</v>
      </c>
      <c r="C162" s="180" t="str">
        <f>CUHK!C3</f>
        <v>中國語言及文學</v>
      </c>
      <c r="D162" s="180" t="str">
        <f>CUHK!D3</f>
        <v xml:space="preserve">	CHI LANG &amp; LIT</v>
      </c>
      <c r="E162" s="180" t="str">
        <f>CUHK!E3</f>
        <v>Best 5</v>
      </c>
      <c r="F162" s="184">
        <f>CUHK!F3</f>
        <v>36.25</v>
      </c>
      <c r="G162" s="184">
        <f>CUHK!G3</f>
        <v>32.5</v>
      </c>
      <c r="H162" s="184">
        <f>CUHK!H3</f>
        <v>31</v>
      </c>
      <c r="I162" s="209">
        <f>計分版!D166</f>
        <v>3.9500000000000006E-9</v>
      </c>
      <c r="J162" s="180">
        <f>CUHK!L3</f>
        <v>80</v>
      </c>
      <c r="K162" s="180">
        <f>CUHK!V3</f>
        <v>84</v>
      </c>
      <c r="L162" s="483">
        <f>IFERROR(CUHK!AD3/CUHK!W3,"新科目")</f>
        <v>3.6785714285714284</v>
      </c>
      <c r="M162" s="16">
        <f>入學要求!S148</f>
        <v>0</v>
      </c>
      <c r="O162" s="16"/>
      <c r="P162" s="16"/>
    </row>
    <row r="163" spans="1:25">
      <c r="A163" s="180" t="str">
        <f>CUHK!A4</f>
        <v>JS4020</v>
      </c>
      <c r="B163" s="70" t="s">
        <v>193</v>
      </c>
      <c r="C163" s="180" t="str">
        <f>CUHK!C4</f>
        <v>文化研究</v>
      </c>
      <c r="D163" s="180" t="str">
        <f>CUHK!D4</f>
        <v xml:space="preserve">	CULTURAL STUDIES</v>
      </c>
      <c r="E163" s="180" t="str">
        <f>CUHK!E4</f>
        <v>Best 5</v>
      </c>
      <c r="F163" s="184">
        <f>CUHK!F4</f>
        <v>26</v>
      </c>
      <c r="G163" s="184">
        <f>CUHK!G4</f>
        <v>24.5</v>
      </c>
      <c r="H163" s="184">
        <f>CUHK!H4</f>
        <v>24.5</v>
      </c>
      <c r="I163" s="209">
        <f>計分版!D167</f>
        <v>3.9500000000000006E-9</v>
      </c>
      <c r="J163" s="180">
        <f>CUHK!L4</f>
        <v>17</v>
      </c>
      <c r="K163" s="180">
        <f>CUHK!V4</f>
        <v>16</v>
      </c>
      <c r="L163" s="483">
        <f>IFERROR(CUHK!AD4/CUHK!W4,"新科目")</f>
        <v>15.3125</v>
      </c>
      <c r="M163" s="16">
        <f>入學要求!S149</f>
        <v>0</v>
      </c>
      <c r="O163" s="16"/>
      <c r="P163" s="16"/>
    </row>
    <row r="164" spans="1:25">
      <c r="A164" s="180" t="str">
        <f>CUHK!A5</f>
        <v>JS4022</v>
      </c>
      <c r="B164" s="70" t="s">
        <v>193</v>
      </c>
      <c r="C164" s="180" t="str">
        <f>CUHK!C5</f>
        <v>文化管理</v>
      </c>
      <c r="D164" s="180" t="str">
        <f>CUHK!D5</f>
        <v xml:space="preserve">	CULTURAL MANAGEMENT</v>
      </c>
      <c r="E164" s="180" t="str">
        <f>CUHK!E5</f>
        <v>Best 5</v>
      </c>
      <c r="F164" s="184">
        <f>CUHK!F5</f>
        <v>26.5</v>
      </c>
      <c r="G164" s="184">
        <f>CUHK!G5</f>
        <v>26</v>
      </c>
      <c r="H164" s="184">
        <f>CUHK!H5</f>
        <v>24.5</v>
      </c>
      <c r="I164" s="209">
        <f>計分版!D168</f>
        <v>3.9500000000000006E-9</v>
      </c>
      <c r="J164" s="180">
        <f>CUHK!L5</f>
        <v>21</v>
      </c>
      <c r="K164" s="180">
        <f>CUHK!V5</f>
        <v>21</v>
      </c>
      <c r="L164" s="483">
        <f>IFERROR(CUHK!AD5/CUHK!W5,"新科目")</f>
        <v>5.5714285714285712</v>
      </c>
      <c r="M164" s="16">
        <f>入學要求!S150</f>
        <v>0</v>
      </c>
      <c r="O164" s="16"/>
      <c r="P164" s="16"/>
    </row>
    <row r="165" spans="1:25" s="180" customFormat="1">
      <c r="A165" s="180" t="str">
        <f>CUHK!A6</f>
        <v>JS4032</v>
      </c>
      <c r="B165" s="70" t="s">
        <v>193</v>
      </c>
      <c r="C165" s="180" t="str">
        <f>CUHK!C6</f>
        <v>英文</v>
      </c>
      <c r="D165" s="180" t="str">
        <f>CUHK!D6</f>
        <v xml:space="preserve">	ENGLISH</v>
      </c>
      <c r="E165" s="180" t="str">
        <f>CUHK!E6</f>
        <v>4C2X</v>
      </c>
      <c r="F165" s="184">
        <f>CUHK!F6</f>
        <v>32</v>
      </c>
      <c r="G165" s="184">
        <f>CUHK!G6</f>
        <v>30.5</v>
      </c>
      <c r="H165" s="184">
        <f>CUHK!H6</f>
        <v>29.5</v>
      </c>
      <c r="I165" s="209">
        <f>計分版!D169</f>
        <v>2.9499999999999999E-9</v>
      </c>
      <c r="J165" s="180">
        <f>CUHK!L6</f>
        <v>55</v>
      </c>
      <c r="K165" s="180">
        <f>CUHK!V6</f>
        <v>53</v>
      </c>
      <c r="L165" s="483">
        <f>IFERROR(CUHK!AD6/CUHK!W6,"新科目")</f>
        <v>5.583333333333333</v>
      </c>
      <c r="M165" s="16">
        <f>入學要求!S151</f>
        <v>0</v>
      </c>
    </row>
    <row r="166" spans="1:25">
      <c r="A166" s="180" t="str">
        <f>CUHK!A7</f>
        <v>JS4044</v>
      </c>
      <c r="B166" s="70" t="s">
        <v>193</v>
      </c>
      <c r="C166" s="180" t="str">
        <f>CUHK!C7</f>
        <v>藝術</v>
      </c>
      <c r="D166" s="180" t="str">
        <f>CUHK!D7</f>
        <v>FINE ARTS</v>
      </c>
      <c r="E166" s="180" t="str">
        <f>CUHK!E7</f>
        <v>Best 5</v>
      </c>
      <c r="F166" s="184">
        <f>CUHK!F7</f>
        <v>27.5</v>
      </c>
      <c r="G166" s="184">
        <f>CUHK!G7</f>
        <v>26</v>
      </c>
      <c r="H166" s="184">
        <f>CUHK!H7</f>
        <v>24.5</v>
      </c>
      <c r="I166" s="209">
        <f>計分版!D170</f>
        <v>3.9500000000000006E-9</v>
      </c>
      <c r="J166" s="180">
        <f>CUHK!L7</f>
        <v>20</v>
      </c>
      <c r="K166" s="180">
        <f>CUHK!V7</f>
        <v>19</v>
      </c>
      <c r="L166" s="483">
        <f>IFERROR(CUHK!AD7/CUHK!W7,"新科目")</f>
        <v>13.736842105263158</v>
      </c>
      <c r="M166" s="16">
        <f>入學要求!S152</f>
        <v>0</v>
      </c>
      <c r="O166" s="16"/>
      <c r="P166" s="16"/>
    </row>
    <row r="167" spans="1:25">
      <c r="A167" s="180" t="str">
        <f>CUHK!A8</f>
        <v>JS4056</v>
      </c>
      <c r="B167" s="70" t="s">
        <v>193</v>
      </c>
      <c r="C167" s="180" t="str">
        <f>CUHK!C8</f>
        <v>歷史</v>
      </c>
      <c r="D167" s="180" t="str">
        <f>CUHK!D8</f>
        <v>HISTORY</v>
      </c>
      <c r="E167" s="180" t="str">
        <f>CUHK!E8</f>
        <v>Best 5</v>
      </c>
      <c r="F167" s="184">
        <f>CUHK!F8</f>
        <v>27.5</v>
      </c>
      <c r="G167" s="184">
        <f>CUHK!G8</f>
        <v>26</v>
      </c>
      <c r="H167" s="184">
        <f>CUHK!H8</f>
        <v>24.5</v>
      </c>
      <c r="I167" s="209">
        <f>計分版!D171</f>
        <v>3.9500000000000006E-9</v>
      </c>
      <c r="J167" s="180">
        <f>CUHK!L8</f>
        <v>47</v>
      </c>
      <c r="K167" s="180">
        <f>CUHK!V8</f>
        <v>47</v>
      </c>
      <c r="L167" s="483">
        <f>IFERROR(CUHK!AD8/CUHK!W8,"新科目")</f>
        <v>7.2765957446808507</v>
      </c>
      <c r="M167" s="16">
        <f>入學要求!S153</f>
        <v>0</v>
      </c>
      <c r="O167" s="16"/>
      <c r="P167" s="16"/>
    </row>
    <row r="168" spans="1:25">
      <c r="A168" s="180" t="str">
        <f>CUHK!A9</f>
        <v>JS4068</v>
      </c>
      <c r="B168" s="70" t="s">
        <v>193</v>
      </c>
      <c r="C168" s="180" t="str">
        <f>CUHK!C9</f>
        <v>日本研究</v>
      </c>
      <c r="D168" s="180" t="str">
        <f>CUHK!D9</f>
        <v>JAPANESE STUDIES</v>
      </c>
      <c r="E168" s="180" t="str">
        <f>CUHK!E9</f>
        <v>Best 5</v>
      </c>
      <c r="F168" s="184">
        <f>CUHK!F9</f>
        <v>26</v>
      </c>
      <c r="G168" s="184">
        <f>CUHK!G9</f>
        <v>24.5</v>
      </c>
      <c r="H168" s="184">
        <f>CUHK!H9</f>
        <v>23</v>
      </c>
      <c r="I168" s="209">
        <f>計分版!D172</f>
        <v>3.9500000000000006E-9</v>
      </c>
      <c r="J168" s="180">
        <f>CUHK!L9</f>
        <v>22</v>
      </c>
      <c r="K168" s="180">
        <f>CUHK!V9</f>
        <v>21</v>
      </c>
      <c r="L168" s="483">
        <f>IFERROR(CUHK!AD9/CUHK!W9,"新科目")</f>
        <v>22.333333333333332</v>
      </c>
      <c r="M168" s="16">
        <f>入學要求!S154</f>
        <v>0</v>
      </c>
      <c r="O168" s="16"/>
      <c r="P168" s="16"/>
    </row>
    <row r="169" spans="1:25">
      <c r="A169" s="180" t="str">
        <f>CUHK!A10</f>
        <v>JS4070</v>
      </c>
      <c r="B169" s="70" t="s">
        <v>193</v>
      </c>
      <c r="C169" s="180" t="str">
        <f>CUHK!C10</f>
        <v>語言學</v>
      </c>
      <c r="D169" s="180" t="str">
        <f>CUHK!D10</f>
        <v xml:space="preserve">	LINGUISTICS</v>
      </c>
      <c r="E169" s="180" t="str">
        <f>CUHK!E10</f>
        <v>Best 5</v>
      </c>
      <c r="F169" s="184">
        <f>CUHK!F10</f>
        <v>26.5</v>
      </c>
      <c r="G169" s="184">
        <f>CUHK!G10</f>
        <v>26</v>
      </c>
      <c r="H169" s="184">
        <f>CUHK!H10</f>
        <v>24.5</v>
      </c>
      <c r="I169" s="209">
        <f>計分版!D173</f>
        <v>3.9500000000000006E-9</v>
      </c>
      <c r="J169" s="180">
        <f>CUHK!L10</f>
        <v>20</v>
      </c>
      <c r="K169" s="180">
        <f>CUHK!V10</f>
        <v>19</v>
      </c>
      <c r="L169" s="483">
        <f>IFERROR(CUHK!AD10/CUHK!W10,"新科目")</f>
        <v>7.4210526315789478</v>
      </c>
      <c r="M169" s="16">
        <f>入學要求!S155</f>
        <v>0</v>
      </c>
      <c r="O169" s="16"/>
      <c r="P169" s="16"/>
    </row>
    <row r="170" spans="1:25" s="20" customFormat="1">
      <c r="A170" s="180" t="str">
        <f>CUHK!A11</f>
        <v>JS4082</v>
      </c>
      <c r="B170" s="70" t="s">
        <v>193</v>
      </c>
      <c r="C170" s="180" t="str">
        <f>CUHK!C11</f>
        <v>音樂</v>
      </c>
      <c r="D170" s="180" t="str">
        <f>CUHK!D11</f>
        <v xml:space="preserve">	MUSIC</v>
      </c>
      <c r="E170" s="180" t="str">
        <f>CUHK!E11</f>
        <v>Best 5</v>
      </c>
      <c r="F170" s="184">
        <f>CUHK!F11</f>
        <v>29</v>
      </c>
      <c r="G170" s="184">
        <f>CUHK!G11</f>
        <v>24.5</v>
      </c>
      <c r="H170" s="184">
        <f>CUHK!H11</f>
        <v>21.5</v>
      </c>
      <c r="I170" s="209">
        <f>計分版!D174</f>
        <v>3.9500000000000006E-9</v>
      </c>
      <c r="J170" s="180">
        <f>CUHK!L11</f>
        <v>28</v>
      </c>
      <c r="K170" s="180">
        <f>CUHK!V11</f>
        <v>25</v>
      </c>
      <c r="L170" s="483">
        <f>IFERROR(CUHK!AD11/CUHK!W11,"新科目")</f>
        <v>7.48</v>
      </c>
      <c r="M170" s="16">
        <f>入學要求!S156</f>
        <v>0</v>
      </c>
      <c r="S170" s="16"/>
      <c r="T170" s="16"/>
      <c r="U170" s="16"/>
      <c r="V170" s="16"/>
      <c r="W170" s="16"/>
      <c r="X170" s="16"/>
      <c r="Y170" s="16"/>
    </row>
    <row r="171" spans="1:25">
      <c r="A171" s="180" t="str">
        <f>CUHK!A12</f>
        <v>JS4094</v>
      </c>
      <c r="B171" s="70" t="s">
        <v>193</v>
      </c>
      <c r="C171" s="180" t="str">
        <f>CUHK!C12</f>
        <v>哲學</v>
      </c>
      <c r="D171" s="180" t="str">
        <f>CUHK!D12</f>
        <v xml:space="preserve">	PHILOSOPHY</v>
      </c>
      <c r="E171" s="180" t="str">
        <f>CUHK!E12</f>
        <v>Best 5</v>
      </c>
      <c r="F171" s="184">
        <f>CUHK!F12</f>
        <v>24.5</v>
      </c>
      <c r="G171" s="184">
        <f>CUHK!G12</f>
        <v>24.5</v>
      </c>
      <c r="H171" s="184">
        <f>CUHK!H12</f>
        <v>23</v>
      </c>
      <c r="I171" s="209">
        <f>計分版!D175</f>
        <v>2.9500000000000004E-9</v>
      </c>
      <c r="J171" s="180">
        <f>CUHK!L12</f>
        <v>21</v>
      </c>
      <c r="K171" s="180">
        <f>CUHK!V12</f>
        <v>22</v>
      </c>
      <c r="L171" s="483">
        <f>IFERROR(CUHK!AD12/CUHK!W12,"新科目")</f>
        <v>12.863636363636363</v>
      </c>
      <c r="M171" s="16">
        <f>入學要求!S157</f>
        <v>0</v>
      </c>
      <c r="O171" s="16"/>
      <c r="P171" s="16"/>
    </row>
    <row r="172" spans="1:25">
      <c r="A172" s="180" t="str">
        <f>CUHK!A13</f>
        <v>JS4109</v>
      </c>
      <c r="B172" s="70" t="s">
        <v>193</v>
      </c>
      <c r="C172" s="180" t="str">
        <f>CUHK!C13</f>
        <v>宗教研究</v>
      </c>
      <c r="D172" s="180" t="str">
        <f>CUHK!D13</f>
        <v xml:space="preserve">	RELIGION</v>
      </c>
      <c r="E172" s="180" t="str">
        <f>CUHK!E13</f>
        <v>Best 5</v>
      </c>
      <c r="F172" s="184">
        <f>CUHK!F13</f>
        <v>23</v>
      </c>
      <c r="G172" s="184">
        <f>CUHK!G13</f>
        <v>22</v>
      </c>
      <c r="H172" s="184">
        <f>CUHK!H13</f>
        <v>21.5</v>
      </c>
      <c r="I172" s="209">
        <f>計分版!D176</f>
        <v>3.9500000000000006E-9</v>
      </c>
      <c r="J172" s="180" t="str">
        <f>CUHK!L13</f>
        <v>19*</v>
      </c>
      <c r="K172" s="180">
        <f>CUHK!V13</f>
        <v>19</v>
      </c>
      <c r="L172" s="483">
        <f>IFERROR(CUHK!AD13/CUHK!W13,"新科目")</f>
        <v>7.1052631578947372</v>
      </c>
      <c r="M172" s="16">
        <f>入學要求!S158</f>
        <v>0</v>
      </c>
      <c r="O172" s="16"/>
      <c r="P172" s="16"/>
    </row>
    <row r="173" spans="1:25">
      <c r="A173" s="180" t="str">
        <f>CUHK!A14</f>
        <v>JS4111</v>
      </c>
      <c r="B173" s="70" t="s">
        <v>193</v>
      </c>
      <c r="C173" s="180" t="str">
        <f>CUHK!C14</f>
        <v>神學</v>
      </c>
      <c r="D173" s="180" t="str">
        <f>CUHK!D14</f>
        <v>THEOLOGY</v>
      </c>
      <c r="E173" s="180" t="str">
        <f>CUHK!E14</f>
        <v>Best 5</v>
      </c>
      <c r="F173" s="184" t="str">
        <f>CUHK!F14</f>
        <v>/</v>
      </c>
      <c r="G173" s="184" t="str">
        <f>CUHK!G14</f>
        <v>/</v>
      </c>
      <c r="H173" s="184" t="str">
        <f>CUHK!H14</f>
        <v>/</v>
      </c>
      <c r="I173" s="209">
        <f>計分版!D177</f>
        <v>3.9500000000000006E-9</v>
      </c>
      <c r="J173" s="180" t="str">
        <f>CUHK!L13</f>
        <v>19*</v>
      </c>
      <c r="K173" s="180">
        <f>CUHK!V14</f>
        <v>0</v>
      </c>
      <c r="L173" s="483" t="str">
        <f>IFERROR(CUHK!AD14/CUHK!W14,"無資料")</f>
        <v>無資料</v>
      </c>
      <c r="M173" s="16">
        <f>入學要求!S159</f>
        <v>0</v>
      </c>
      <c r="O173" s="16"/>
      <c r="P173" s="16"/>
    </row>
    <row r="174" spans="1:25">
      <c r="A174" s="180" t="str">
        <f>CUHK!A15</f>
        <v>JS4123</v>
      </c>
      <c r="B174" s="70" t="s">
        <v>193</v>
      </c>
      <c r="C174" s="180" t="str">
        <f>CUHK!C15</f>
        <v>翻譯</v>
      </c>
      <c r="D174" s="180" t="str">
        <f>CUHK!D15</f>
        <v>TRANSLATION</v>
      </c>
      <c r="E174" s="180" t="str">
        <f>CUHK!E15</f>
        <v>Best 5</v>
      </c>
      <c r="F174" s="184">
        <f>CUHK!F15</f>
        <v>33.5</v>
      </c>
      <c r="G174" s="184">
        <f>CUHK!G15</f>
        <v>29</v>
      </c>
      <c r="H174" s="184">
        <f>CUHK!H15</f>
        <v>26</v>
      </c>
      <c r="I174" s="209">
        <f>計分版!D178</f>
        <v>3.9500000000000006E-9</v>
      </c>
      <c r="J174" s="180">
        <f>CUHK!L15</f>
        <v>32</v>
      </c>
      <c r="K174" s="180">
        <f>CUHK!V15</f>
        <v>21</v>
      </c>
      <c r="L174" s="483">
        <f>IFERROR(CUHK!AD15/CUHK!W15,"新科目")</f>
        <v>6.2105263157894735</v>
      </c>
      <c r="M174" s="16">
        <f>入學要求!S160</f>
        <v>0</v>
      </c>
      <c r="O174" s="16"/>
      <c r="P174" s="16"/>
    </row>
    <row r="175" spans="1:25">
      <c r="A175" s="180" t="str">
        <f>CUHK!A16</f>
        <v>JS4136</v>
      </c>
      <c r="B175" s="70" t="s">
        <v>193</v>
      </c>
      <c r="C175" s="180" t="str">
        <f>CUHK!C16</f>
        <v>中國研究</v>
      </c>
      <c r="D175" s="180" t="str">
        <f>CUHK!D16</f>
        <v xml:space="preserve">	CHINESE STUDIES</v>
      </c>
      <c r="E175" s="180" t="str">
        <f>CUHK!E16</f>
        <v>Best 5</v>
      </c>
      <c r="F175" s="184">
        <f>CUHK!F16</f>
        <v>24.5</v>
      </c>
      <c r="G175" s="184">
        <f>CUHK!G16</f>
        <v>23.5</v>
      </c>
      <c r="H175" s="184">
        <f>CUHK!H16</f>
        <v>23</v>
      </c>
      <c r="I175" s="209">
        <f>計分版!D179</f>
        <v>3.9500000000000006E-9</v>
      </c>
      <c r="J175" s="180">
        <f>CUHK!L16</f>
        <v>15</v>
      </c>
      <c r="K175" s="180">
        <f>CUHK!V16</f>
        <v>14</v>
      </c>
      <c r="L175" s="483">
        <f>IFERROR(CUHK!AD16/CUHK!W16,"新科目")</f>
        <v>22.714285714285715</v>
      </c>
      <c r="M175" s="16">
        <f>入學要求!S161</f>
        <v>0</v>
      </c>
      <c r="O175" s="16"/>
      <c r="P175" s="16"/>
    </row>
    <row r="176" spans="1:25">
      <c r="A176" s="180" t="str">
        <f>CUHK!A17</f>
        <v>JS4202</v>
      </c>
      <c r="B176" s="70" t="s">
        <v>193</v>
      </c>
      <c r="C176" s="180" t="str">
        <f>CUHK!C17</f>
        <v>工商管理學士綜合課程</v>
      </c>
      <c r="D176" s="180" t="str">
        <f>CUHK!D17</f>
        <v xml:space="preserve">	INTEGRATED BBA</v>
      </c>
      <c r="E176" s="180" t="str">
        <f>CUHK!E17</f>
        <v>Best 5</v>
      </c>
      <c r="F176" s="184">
        <f>CUHK!F17</f>
        <v>27.5</v>
      </c>
      <c r="G176" s="184">
        <f>CUHK!G17</f>
        <v>26</v>
      </c>
      <c r="H176" s="184">
        <f>CUHK!H17</f>
        <v>24.5</v>
      </c>
      <c r="I176" s="209">
        <f>計分版!D180</f>
        <v>3.9500000000000006E-9</v>
      </c>
      <c r="J176" s="180">
        <f>CUHK!L17</f>
        <v>253</v>
      </c>
      <c r="K176" s="180">
        <f>CUHK!V17</f>
        <v>220</v>
      </c>
      <c r="L176" s="483">
        <f>IFERROR(CUHK!AD17/CUHK!W17,"新科目")</f>
        <v>4.8272727272727272</v>
      </c>
      <c r="M176" s="16">
        <f>入學要求!S162</f>
        <v>0</v>
      </c>
      <c r="O176" s="16"/>
      <c r="P176" s="16"/>
    </row>
    <row r="177" spans="1:18">
      <c r="A177" s="180" t="str">
        <f>CUHK!A18</f>
        <v>JS4214</v>
      </c>
      <c r="B177" s="70" t="s">
        <v>193</v>
      </c>
      <c r="C177" s="180" t="str">
        <f>CUHK!C18</f>
        <v>環球商業學</v>
      </c>
      <c r="D177" s="180" t="str">
        <f>CUHK!D18</f>
        <v>GBS</v>
      </c>
      <c r="E177" s="180" t="str">
        <f>CUHK!E18</f>
        <v>4C2X</v>
      </c>
      <c r="F177" s="184">
        <f>CUHK!F18</f>
        <v>48</v>
      </c>
      <c r="G177" s="184">
        <f>CUHK!G18</f>
        <v>45</v>
      </c>
      <c r="H177" s="184">
        <f>CUHK!H18</f>
        <v>45</v>
      </c>
      <c r="I177" s="209">
        <f>計分版!D181</f>
        <v>2.8499999999999999E-9</v>
      </c>
      <c r="J177" s="180">
        <f>CUHK!L18</f>
        <v>15</v>
      </c>
      <c r="K177" s="180">
        <f>CUHK!V18</f>
        <v>10</v>
      </c>
      <c r="L177" s="483">
        <f>IFERROR(CUHK!AD18/CUHK!W18,"新科目")</f>
        <v>3.9</v>
      </c>
      <c r="M177" s="16">
        <f>入學要求!S163</f>
        <v>0</v>
      </c>
      <c r="O177" s="16"/>
      <c r="P177" s="16"/>
    </row>
    <row r="178" spans="1:18">
      <c r="A178" s="180" t="str">
        <f>CUHK!A19</f>
        <v>JS4226</v>
      </c>
      <c r="B178" s="70" t="s">
        <v>193</v>
      </c>
      <c r="C178" s="180" t="str">
        <f>CUHK!C19</f>
        <v>酒店旅遊及房地產</v>
      </c>
      <c r="D178" s="180" t="str">
        <f>CUHK!D19</f>
        <v>HOSP &amp; REAL EST</v>
      </c>
      <c r="E178" s="180" t="str">
        <f>CUHK!E19</f>
        <v>Best 5</v>
      </c>
      <c r="F178" s="184">
        <f>CUHK!F19</f>
        <v>26</v>
      </c>
      <c r="G178" s="184">
        <f>CUHK!G19</f>
        <v>26</v>
      </c>
      <c r="H178" s="184">
        <f>CUHK!H19</f>
        <v>24.5</v>
      </c>
      <c r="I178" s="209">
        <f>計分版!D182</f>
        <v>3.9500000000000006E-9</v>
      </c>
      <c r="J178" s="180">
        <f>CUHK!L19</f>
        <v>66</v>
      </c>
      <c r="K178" s="180">
        <f>CUHK!V19</f>
        <v>42</v>
      </c>
      <c r="L178" s="483">
        <f>IFERROR(CUHK!AD19/CUHK!W19,"新科目")</f>
        <v>15.833333333333334</v>
      </c>
      <c r="M178" s="16">
        <f>入學要求!S164</f>
        <v>0</v>
      </c>
      <c r="O178" s="16"/>
      <c r="P178" s="16"/>
    </row>
    <row r="179" spans="1:18">
      <c r="A179" s="180" t="str">
        <f>CUHK!A20</f>
        <v>JS4238</v>
      </c>
      <c r="B179" s="70" t="s">
        <v>193</v>
      </c>
      <c r="C179" s="180" t="str">
        <f>CUHK!C20</f>
        <v>保險、金融與精算學</v>
      </c>
      <c r="D179" s="180" t="str">
        <f>CUHK!D20</f>
        <v xml:space="preserve">	IFAA</v>
      </c>
      <c r="E179" s="180" t="str">
        <f>CUHK!E20</f>
        <v>Best 5</v>
      </c>
      <c r="F179" s="184">
        <f>CUHK!F20</f>
        <v>32</v>
      </c>
      <c r="G179" s="184">
        <f>CUHK!G20</f>
        <v>30.5</v>
      </c>
      <c r="H179" s="184">
        <f>CUHK!H20</f>
        <v>29</v>
      </c>
      <c r="I179" s="209">
        <f>計分版!D183</f>
        <v>3.3500000000000002E-9</v>
      </c>
      <c r="J179" s="180">
        <f>CUHK!L20</f>
        <v>36</v>
      </c>
      <c r="K179" s="180">
        <f>CUHK!V20</f>
        <v>45</v>
      </c>
      <c r="L179" s="483">
        <f>IFERROR(CUHK!AD20/CUHK!W20,"新科目")</f>
        <v>2.3111111111111109</v>
      </c>
      <c r="M179" s="16">
        <f>入學要求!S165</f>
        <v>0</v>
      </c>
      <c r="O179" s="16"/>
      <c r="P179" s="16"/>
    </row>
    <row r="180" spans="1:18">
      <c r="A180" s="180" t="str">
        <f>CUHK!A21</f>
        <v>JS4240</v>
      </c>
      <c r="B180" s="70" t="s">
        <v>193</v>
      </c>
      <c r="C180" s="180" t="str">
        <f>CUHK!C21</f>
        <v>專業會計學</v>
      </c>
      <c r="D180" s="180" t="str">
        <f>CUHK!D21</f>
        <v xml:space="preserve">	PROF ACCOUNTANCY</v>
      </c>
      <c r="E180" s="180" t="str">
        <f>CUHK!E21</f>
        <v>Best 5</v>
      </c>
      <c r="F180" s="184">
        <f>CUHK!F21</f>
        <v>30.5</v>
      </c>
      <c r="G180" s="184">
        <f>CUHK!G21</f>
        <v>27.5</v>
      </c>
      <c r="H180" s="184">
        <f>CUHK!H21</f>
        <v>26</v>
      </c>
      <c r="I180" s="209">
        <f>計分版!D184</f>
        <v>3.9500000000000006E-9</v>
      </c>
      <c r="J180" s="180">
        <f>CUHK!L21</f>
        <v>126</v>
      </c>
      <c r="K180" s="180">
        <f>CUHK!V21</f>
        <v>122</v>
      </c>
      <c r="L180" s="483">
        <f>IFERROR(CUHK!AD21/CUHK!W21,"新科目")</f>
        <v>2.778688524590164</v>
      </c>
      <c r="M180" s="16">
        <f>入學要求!S166</f>
        <v>0</v>
      </c>
      <c r="O180" s="16"/>
      <c r="P180" s="16"/>
    </row>
    <row r="181" spans="1:18">
      <c r="A181" s="180" t="str">
        <f>CUHK!A22</f>
        <v>JS4252</v>
      </c>
      <c r="B181" s="70" t="s">
        <v>193</v>
      </c>
      <c r="C181" s="180" t="str">
        <f>CUHK!C22</f>
        <v>計量金融學</v>
      </c>
      <c r="D181" s="180" t="str">
        <f>CUHK!D22</f>
        <v xml:space="preserve">	QFIN</v>
      </c>
      <c r="E181" s="180" t="str">
        <f>CUHK!E22</f>
        <v>Best 5</v>
      </c>
      <c r="F181" s="184">
        <f>CUHK!F22</f>
        <v>53.25</v>
      </c>
      <c r="G181" s="184">
        <f>CUHK!G22</f>
        <v>50.25</v>
      </c>
      <c r="H181" s="184">
        <f>CUHK!H22</f>
        <v>49</v>
      </c>
      <c r="I181" s="209">
        <f>計分版!D185</f>
        <v>4.1000000000000003E-9</v>
      </c>
      <c r="J181" s="180">
        <f>CUHK!L22</f>
        <v>37</v>
      </c>
      <c r="K181" s="180">
        <f>CUHK!V22</f>
        <v>33</v>
      </c>
      <c r="L181" s="483">
        <f>IFERROR(CUHK!AD22/CUHK!W22,"新科目")</f>
        <v>3.9393939393939394</v>
      </c>
      <c r="M181" s="16">
        <f>入學要求!S167</f>
        <v>0</v>
      </c>
      <c r="O181" s="16"/>
      <c r="P181" s="16"/>
    </row>
    <row r="182" spans="1:18">
      <c r="A182" s="180" t="str">
        <f>CUHK!A23</f>
        <v>JS4254</v>
      </c>
      <c r="B182" s="70" t="s">
        <v>193</v>
      </c>
      <c r="C182" s="180" t="str">
        <f>CUHK!C23</f>
        <v>環球經濟與金融跨學科主修課程</v>
      </c>
      <c r="D182" s="180" t="str">
        <f>CUHK!D23</f>
        <v>GLEF</v>
      </c>
      <c r="E182" s="180" t="str">
        <f>CUHK!E23</f>
        <v>4C2X</v>
      </c>
      <c r="F182" s="184">
        <f>CUHK!F23</f>
        <v>39</v>
      </c>
      <c r="G182" s="184">
        <f>CUHK!G23</f>
        <v>36</v>
      </c>
      <c r="H182" s="184">
        <f>CUHK!H23</f>
        <v>34.5</v>
      </c>
      <c r="I182" s="209">
        <f>計分版!D186</f>
        <v>2.8499999999999999E-9</v>
      </c>
      <c r="J182" s="180">
        <f>CUHK!L23</f>
        <v>24</v>
      </c>
      <c r="K182" s="180">
        <f>CUHK!V23</f>
        <v>21</v>
      </c>
      <c r="L182" s="483">
        <f>IFERROR(CUHK!AD23/CUHK!W23,"新科目")</f>
        <v>2.6190476190476191</v>
      </c>
      <c r="M182" s="16">
        <f>入學要求!S168</f>
        <v>0</v>
      </c>
      <c r="O182" s="16"/>
      <c r="P182" s="16"/>
    </row>
    <row r="183" spans="1:18">
      <c r="A183" s="180" t="str">
        <f>CUHK!A24</f>
        <v>JS4264</v>
      </c>
      <c r="B183" s="70" t="s">
        <v>193</v>
      </c>
      <c r="C183" s="180" t="str">
        <f>CUHK!C24</f>
        <v>工商管理學士（工商管理學士綜合課程）及法律博士</v>
      </c>
      <c r="D183" s="180" t="str">
        <f>CUHK!D24</f>
        <v xml:space="preserve">	BBA-JD</v>
      </c>
      <c r="E183" s="180" t="str">
        <f>CUHK!E24</f>
        <v>4C2X</v>
      </c>
      <c r="F183" s="184">
        <f>CUHK!F24</f>
        <v>52</v>
      </c>
      <c r="G183" s="184">
        <f>CUHK!G24</f>
        <v>51.25</v>
      </c>
      <c r="H183" s="184">
        <f>CUHK!H24</f>
        <v>49</v>
      </c>
      <c r="I183" s="209">
        <f>計分版!D187</f>
        <v>3.4999999999999999E-9</v>
      </c>
      <c r="J183" s="180">
        <f>CUHK!L24</f>
        <v>25</v>
      </c>
      <c r="K183" s="180">
        <f>CUHK!V24</f>
        <v>20</v>
      </c>
      <c r="L183" s="483">
        <f>IFERROR(CUHK!AD24/CUHK!W24,"新科目")</f>
        <v>3.65</v>
      </c>
      <c r="M183" s="16">
        <f>入學要求!S169</f>
        <v>0</v>
      </c>
      <c r="O183" s="16"/>
      <c r="P183" s="16"/>
    </row>
    <row r="184" spans="1:18">
      <c r="A184" s="180" t="str">
        <f>CUHK!A25</f>
        <v>JS4276</v>
      </c>
      <c r="B184" s="70" t="s">
        <v>193</v>
      </c>
      <c r="C184" s="180" t="str">
        <f>CUHK!C25</f>
        <v>計量金融學及風險管理科學</v>
      </c>
      <c r="D184" s="180" t="str">
        <f>CUHK!D25</f>
        <v xml:space="preserve">	QFRM</v>
      </c>
      <c r="E184" s="180" t="str">
        <f>CUHK!E25</f>
        <v>Best 5</v>
      </c>
      <c r="F184" s="184">
        <f>CUHK!F25</f>
        <v>60.5</v>
      </c>
      <c r="G184" s="184">
        <f>CUHK!G25</f>
        <v>57.5</v>
      </c>
      <c r="H184" s="184">
        <f>CUHK!H25</f>
        <v>54.5</v>
      </c>
      <c r="I184" s="209">
        <f>計分版!D188</f>
        <v>4.3500000000000001E-9</v>
      </c>
      <c r="J184" s="180">
        <f>CUHK!L25</f>
        <v>20</v>
      </c>
      <c r="K184" s="180">
        <f>CUHK!V25</f>
        <v>16</v>
      </c>
      <c r="L184" s="483">
        <f>IFERROR(CUHK!AD25/CUHK!W25,"新科目")</f>
        <v>2.875</v>
      </c>
      <c r="M184" s="16">
        <f>入學要求!S170</f>
        <v>0</v>
      </c>
    </row>
    <row r="185" spans="1:18">
      <c r="A185" s="180" t="str">
        <f>CUHK!A26</f>
        <v>JS4329</v>
      </c>
      <c r="B185" s="70" t="s">
        <v>193</v>
      </c>
      <c r="C185" s="180" t="str">
        <f>CUHK!C26</f>
        <v>健康與體育運動科學</v>
      </c>
      <c r="D185" s="180" t="str">
        <f>CUHK!D26</f>
        <v xml:space="preserve">	PHY ED, EX SCI &amp; HEALTH</v>
      </c>
      <c r="E185" s="180" t="str">
        <f>CUHK!E26</f>
        <v>Best 5</v>
      </c>
      <c r="F185" s="184">
        <f>CUHK!F26</f>
        <v>29</v>
      </c>
      <c r="G185" s="184">
        <f>CUHK!G26</f>
        <v>29</v>
      </c>
      <c r="H185" s="184">
        <f>CUHK!H26</f>
        <v>26</v>
      </c>
      <c r="I185" s="209">
        <f>計分版!D189</f>
        <v>3.9500000000000006E-9</v>
      </c>
      <c r="J185" s="180">
        <f>CUHK!L26</f>
        <v>24</v>
      </c>
      <c r="K185" s="180">
        <f>CUHK!V26</f>
        <v>21</v>
      </c>
      <c r="L185" s="483">
        <f>IFERROR(CUHK!AD26/CUHK!W26,"新科目")</f>
        <v>25.19047619047619</v>
      </c>
      <c r="M185" s="16">
        <f>入學要求!S171</f>
        <v>0</v>
      </c>
      <c r="O185" s="16"/>
      <c r="P185" s="16"/>
    </row>
    <row r="186" spans="1:18">
      <c r="A186" s="180" t="str">
        <f>CUHK!A27</f>
        <v>JS4331</v>
      </c>
      <c r="B186" s="70" t="s">
        <v>193</v>
      </c>
      <c r="C186" s="180" t="str">
        <f>CUHK!C27</f>
        <v>文學士及教育學士 (中國語文教育) 同期結業雙學位課程</v>
      </c>
      <c r="D186" s="180" t="str">
        <f>CUHK!D27</f>
        <v xml:space="preserve">	BA (CHI) BEd (CHI EDU)</v>
      </c>
      <c r="E186" s="180" t="str">
        <f>CUHK!E27</f>
        <v>Best 5</v>
      </c>
      <c r="F186" s="184">
        <f>CUHK!F27</f>
        <v>33.25</v>
      </c>
      <c r="G186" s="184">
        <f>CUHK!G27</f>
        <v>33.25</v>
      </c>
      <c r="H186" s="184">
        <f>CUHK!H27</f>
        <v>31.75</v>
      </c>
      <c r="I186" s="209">
        <f>計分版!D190</f>
        <v>3.4999999999999999E-9</v>
      </c>
      <c r="J186" s="180">
        <f>CUHK!L27</f>
        <v>20</v>
      </c>
      <c r="K186" s="180">
        <f>CUHK!V27</f>
        <v>19</v>
      </c>
      <c r="L186" s="483">
        <f>IFERROR(CUHK!AD27/CUHK!W27,"新科目")</f>
        <v>12.105263157894736</v>
      </c>
      <c r="M186" s="16">
        <f>入學要求!S172</f>
        <v>0</v>
      </c>
      <c r="P186" s="16"/>
    </row>
    <row r="187" spans="1:18">
      <c r="A187" s="180" t="str">
        <f>CUHK!A28</f>
        <v>JS4343</v>
      </c>
      <c r="B187" s="70" t="s">
        <v>193</v>
      </c>
      <c r="C187" s="180" t="str">
        <f>CUHK!C28</f>
        <v>文學士(英國語文研究)及教育學士(英國語文教育)</v>
      </c>
      <c r="D187" s="180" t="str">
        <f>CUHK!D28</f>
        <v xml:space="preserve">	BA (ENG) BEd (ENG EDU)</v>
      </c>
      <c r="E187" s="180" t="str">
        <f>CUHK!E28</f>
        <v>Best 5</v>
      </c>
      <c r="F187" s="184">
        <f>CUHK!F28</f>
        <v>34</v>
      </c>
      <c r="G187" s="184">
        <f>CUHK!G28</f>
        <v>32.5</v>
      </c>
      <c r="H187" s="184">
        <f>CUHK!H28</f>
        <v>30.25</v>
      </c>
      <c r="I187" s="209">
        <f>計分版!D191</f>
        <v>3.6500000000000004E-9</v>
      </c>
      <c r="J187" s="180">
        <f>CUHK!L28</f>
        <v>14</v>
      </c>
      <c r="K187" s="180">
        <f>CUHK!V28</f>
        <v>12</v>
      </c>
      <c r="L187" s="483">
        <f>IFERROR(CUHK!AD28/CUHK!W28,"新科目")</f>
        <v>5.166666666666667</v>
      </c>
      <c r="M187" s="16">
        <f>入學要求!S173</f>
        <v>0</v>
      </c>
      <c r="P187" s="16"/>
    </row>
    <row r="188" spans="1:18">
      <c r="A188" s="180" t="str">
        <f>CUHK!A29</f>
        <v>JS4361</v>
      </c>
      <c r="B188" s="70" t="s">
        <v>193</v>
      </c>
      <c r="C188" s="180" t="str">
        <f>CUHK!C29</f>
        <v>教育學士(數學及數學教育)</v>
      </c>
      <c r="D188" s="180" t="str">
        <f>CUHK!D29</f>
        <v>MATHS EDUCATION</v>
      </c>
      <c r="E188" s="180" t="str">
        <f>CUHK!E29</f>
        <v>Best 5</v>
      </c>
      <c r="F188" s="184">
        <f>CUHK!F29</f>
        <v>45.25</v>
      </c>
      <c r="G188" s="184">
        <f>CUHK!G29</f>
        <v>40</v>
      </c>
      <c r="H188" s="184">
        <f>CUHK!H29</f>
        <v>39.5</v>
      </c>
      <c r="I188" s="209">
        <f>計分版!D192</f>
        <v>3.8499999999999997E-9</v>
      </c>
      <c r="J188" s="180">
        <f>CUHK!L29</f>
        <v>18</v>
      </c>
      <c r="K188" s="180">
        <f>CUHK!V29</f>
        <v>18</v>
      </c>
      <c r="L188" s="483">
        <f>IFERROR(CUHK!AD29/CUHK!W29,"新科目")</f>
        <v>8.6111111111111107</v>
      </c>
      <c r="M188" s="16">
        <f>入學要求!S174</f>
        <v>0</v>
      </c>
      <c r="P188" s="16"/>
    </row>
    <row r="189" spans="1:18">
      <c r="A189" s="180" t="str">
        <f>CUHK!A30</f>
        <v>JS4372</v>
      </c>
      <c r="B189" s="70" t="s">
        <v>193</v>
      </c>
      <c r="C189" s="180" t="str">
        <f>CUHK!C30</f>
        <v>教育學士(幼兒教育)</v>
      </c>
      <c r="D189" s="180" t="str">
        <f>CUHK!D30</f>
        <v xml:space="preserve">	BEd (ECE)</v>
      </c>
      <c r="E189" s="180" t="str">
        <f>CUHK!E30</f>
        <v>Best 5</v>
      </c>
      <c r="F189" s="184">
        <f>CUHK!F30</f>
        <v>26</v>
      </c>
      <c r="G189" s="184">
        <f>CUHK!G30</f>
        <v>26</v>
      </c>
      <c r="H189" s="184">
        <f>CUHK!H30</f>
        <v>24.5</v>
      </c>
      <c r="I189" s="209">
        <f>計分版!D193</f>
        <v>3.9500000000000006E-9</v>
      </c>
      <c r="J189" s="180">
        <f>CUHK!L30</f>
        <v>21</v>
      </c>
      <c r="K189" s="180">
        <f>CUHK!V30</f>
        <v>20</v>
      </c>
      <c r="L189" s="483">
        <f>IFERROR(CUHK!AD30/CUHK!W30,"新科目")</f>
        <v>26.05</v>
      </c>
      <c r="M189" s="16">
        <f>入學要求!S175</f>
        <v>0</v>
      </c>
      <c r="P189" s="16"/>
    </row>
    <row r="190" spans="1:18">
      <c r="A190" s="180" t="str">
        <f>CUHK!A31</f>
        <v>JS4401</v>
      </c>
      <c r="B190" s="70" t="s">
        <v>193</v>
      </c>
      <c r="C190" s="180" t="str">
        <f>CUHK!C31</f>
        <v>工程學 (大類收生)</v>
      </c>
      <c r="D190" s="180" t="str">
        <f>CUHK!D31</f>
        <v xml:space="preserve">	ENGINEERING</v>
      </c>
      <c r="E190" s="180" t="str">
        <f>CUHK!E31</f>
        <v>Best 5</v>
      </c>
      <c r="F190" s="184">
        <f>CUHK!F31</f>
        <v>34.75</v>
      </c>
      <c r="G190" s="184">
        <f>CUHK!G31</f>
        <v>30.25</v>
      </c>
      <c r="H190" s="184">
        <f>CUHK!H31</f>
        <v>28</v>
      </c>
      <c r="I190" s="209">
        <f>計分版!D194</f>
        <v>4.2249999999999998E-9</v>
      </c>
      <c r="J190" s="180">
        <f>CUHK!L31</f>
        <v>304</v>
      </c>
      <c r="K190" s="180">
        <f>CUHK!V31</f>
        <v>254</v>
      </c>
      <c r="L190" s="483">
        <f>IFERROR(CUHK!AD31/CUHK!W31,"新科目")</f>
        <v>6.5418326693227096</v>
      </c>
      <c r="M190" s="16">
        <f>入學要求!S176</f>
        <v>0</v>
      </c>
      <c r="P190" s="16"/>
      <c r="R190" s="43"/>
    </row>
    <row r="191" spans="1:18">
      <c r="A191" s="180" t="str">
        <f>CUHK!A32</f>
        <v>JS4428</v>
      </c>
      <c r="B191" s="70" t="s">
        <v>193</v>
      </c>
      <c r="C191" s="180" t="str">
        <f>CUHK!C32</f>
        <v>金融科技學</v>
      </c>
      <c r="D191" s="180" t="str">
        <f>CUHK!D32</f>
        <v xml:space="preserve">	BENG FINTECH</v>
      </c>
      <c r="E191" s="180" t="str">
        <f>CUHK!E32</f>
        <v>Best 5</v>
      </c>
      <c r="F191" s="184">
        <f>CUHK!F32</f>
        <v>49</v>
      </c>
      <c r="G191" s="184">
        <f>CUHK!G32</f>
        <v>47.875</v>
      </c>
      <c r="H191" s="184">
        <f>CUHK!H32</f>
        <v>41.25</v>
      </c>
      <c r="I191" s="209">
        <f>計分版!D195</f>
        <v>4.2249999999999998E-9</v>
      </c>
      <c r="J191" s="180">
        <f>CUHK!L32</f>
        <v>30</v>
      </c>
      <c r="K191" s="180">
        <f>CUHK!V32</f>
        <v>27</v>
      </c>
      <c r="L191" s="483">
        <f>IFERROR(CUHK!AD32/CUHK!W32,"新科目")</f>
        <v>5.4230769230769234</v>
      </c>
      <c r="M191" s="16">
        <f>入學要求!S177</f>
        <v>0</v>
      </c>
      <c r="P191" s="16"/>
      <c r="R191" s="43"/>
    </row>
    <row r="192" spans="1:18">
      <c r="A192" s="180" t="str">
        <f>CUHK!A33</f>
        <v>JS4434</v>
      </c>
      <c r="B192" s="70" t="s">
        <v>193</v>
      </c>
      <c r="C192" s="180" t="str">
        <f>CUHK!C33</f>
        <v>電子工程學</v>
      </c>
      <c r="D192" s="180" t="str">
        <f>CUHK!D33</f>
        <v>ELEG</v>
      </c>
      <c r="E192" s="180" t="str">
        <f>CUHK!E33</f>
        <v>Best 5</v>
      </c>
      <c r="F192" s="184">
        <f>CUHK!F33</f>
        <v>34.25</v>
      </c>
      <c r="G192" s="184">
        <f>CUHK!G33</f>
        <v>29</v>
      </c>
      <c r="H192" s="184">
        <f>CUHK!H33</f>
        <v>27.5</v>
      </c>
      <c r="I192" s="209">
        <f>計分版!D196</f>
        <v>4.1000000000000003E-9</v>
      </c>
      <c r="J192" s="180">
        <f>CUHK!L33</f>
        <v>57</v>
      </c>
      <c r="K192" s="180">
        <f>CUHK!V33</f>
        <v>33</v>
      </c>
      <c r="L192" s="483">
        <f>IFERROR(CUHK!AD33/CUHK!W33,"新科目")</f>
        <v>11.515151515151516</v>
      </c>
      <c r="M192" s="16">
        <f>入學要求!S178</f>
        <v>0</v>
      </c>
      <c r="P192" s="16"/>
      <c r="R192" s="43"/>
    </row>
    <row r="193" spans="1:18">
      <c r="A193" s="180" t="str">
        <f>CUHK!A34</f>
        <v>JS4460</v>
      </c>
      <c r="B193" s="70" t="s">
        <v>193</v>
      </c>
      <c r="C193" s="180" t="str">
        <f>CUHK!C34</f>
        <v>生物醫學工程學</v>
      </c>
      <c r="D193" s="180" t="str">
        <f>CUHK!D34</f>
        <v xml:space="preserve">	BMEG</v>
      </c>
      <c r="E193" s="180" t="str">
        <f>CUHK!E34</f>
        <v>Best 5</v>
      </c>
      <c r="F193" s="184">
        <f>CUHK!F34</f>
        <v>40.75</v>
      </c>
      <c r="G193" s="184">
        <f>CUHK!G34</f>
        <v>39</v>
      </c>
      <c r="H193" s="184">
        <f>CUHK!H34</f>
        <v>38.5</v>
      </c>
      <c r="I193" s="209">
        <f>計分版!D197</f>
        <v>4.1000000000000003E-9</v>
      </c>
      <c r="J193" s="180">
        <f>CUHK!L34</f>
        <v>49</v>
      </c>
      <c r="K193" s="180">
        <f>CUHK!V34</f>
        <v>28</v>
      </c>
      <c r="L193" s="483">
        <f>IFERROR(CUHK!AD34/CUHK!W34,"新科目")</f>
        <v>5.2142857142857144</v>
      </c>
      <c r="M193" s="16">
        <f>入學要求!S179</f>
        <v>0</v>
      </c>
      <c r="P193" s="16"/>
    </row>
    <row r="194" spans="1:18">
      <c r="A194" s="180" t="str">
        <f>CUHK!A35</f>
        <v>JS4462</v>
      </c>
      <c r="B194" s="70" t="s">
        <v>193</v>
      </c>
      <c r="C194" s="180" t="str">
        <f>CUHK!C35</f>
        <v>能源與環境工程學</v>
      </c>
      <c r="D194" s="180" t="str">
        <f>CUHK!D35</f>
        <v>EEEN</v>
      </c>
      <c r="E194" s="180" t="str">
        <f>CUHK!E35</f>
        <v>Best 5</v>
      </c>
      <c r="F194" s="184">
        <f>CUHK!F35</f>
        <v>31.75</v>
      </c>
      <c r="G194" s="184">
        <f>CUHK!G35</f>
        <v>29.5</v>
      </c>
      <c r="H194" s="184">
        <f>CUHK!H35</f>
        <v>28</v>
      </c>
      <c r="I194" s="209">
        <f>計分版!D198</f>
        <v>4.1000000000000003E-9</v>
      </c>
      <c r="J194" s="180">
        <f>CUHK!L35</f>
        <v>35</v>
      </c>
      <c r="K194" s="180">
        <f>CUHK!V35</f>
        <v>33</v>
      </c>
      <c r="L194" s="483">
        <f>IFERROR(CUHK!AD35/CUHK!W35,"新科目")</f>
        <v>5.935483870967742</v>
      </c>
      <c r="M194" s="16">
        <f>入學要求!S180</f>
        <v>0</v>
      </c>
      <c r="P194" s="16"/>
    </row>
    <row r="195" spans="1:18">
      <c r="A195" s="180" t="str">
        <f>CUHK!A36</f>
        <v>JS4468</v>
      </c>
      <c r="B195" s="70" t="s">
        <v>193</v>
      </c>
      <c r="C195" s="180" t="str">
        <f>CUHK!C36</f>
        <v>人工智能：系統與科技 (工程學士)</v>
      </c>
      <c r="D195" s="180" t="str">
        <f>CUHK!D36</f>
        <v xml:space="preserve">	AIST</v>
      </c>
      <c r="E195" s="180" t="str">
        <f>CUHK!E36</f>
        <v>Best 5</v>
      </c>
      <c r="F195" s="184">
        <f>CUHK!F36</f>
        <v>56.75</v>
      </c>
      <c r="G195" s="184">
        <f>CUHK!G36</f>
        <v>51.75</v>
      </c>
      <c r="H195" s="184">
        <f>CUHK!H36</f>
        <v>48.625</v>
      </c>
      <c r="I195" s="209">
        <f>計分版!D199</f>
        <v>4.2249999999999998E-9</v>
      </c>
      <c r="J195" s="180">
        <f>CUHK!L36</f>
        <v>30</v>
      </c>
      <c r="K195" s="180">
        <f>CUHK!V36</f>
        <v>35</v>
      </c>
      <c r="L195" s="483">
        <f>IFERROR(CUHK!AD36/CUHK!W36,"新科目")</f>
        <v>6.6857142857142859</v>
      </c>
      <c r="M195" s="16">
        <f>入學要求!S181</f>
        <v>0</v>
      </c>
      <c r="P195" s="16"/>
    </row>
    <row r="196" spans="1:18">
      <c r="A196" s="180" t="str">
        <f>CUHK!A37</f>
        <v>JS4501</v>
      </c>
      <c r="B196" s="70" t="s">
        <v>193</v>
      </c>
      <c r="C196" s="180" t="str">
        <f>CUHK!C37</f>
        <v>內外全科醫學士課程</v>
      </c>
      <c r="D196" s="180" t="str">
        <f>CUHK!D37</f>
        <v>MBChB</v>
      </c>
      <c r="E196" s="180" t="str">
        <f>CUHK!E37</f>
        <v>4C3X</v>
      </c>
      <c r="F196" s="184">
        <f>CUHK!F37</f>
        <v>43</v>
      </c>
      <c r="G196" s="184">
        <f>CUHK!G37</f>
        <v>42</v>
      </c>
      <c r="H196" s="184">
        <f>CUHK!H37</f>
        <v>41</v>
      </c>
      <c r="I196" s="209">
        <f>計分版!D200</f>
        <v>3.8499999999999997E-9</v>
      </c>
      <c r="J196" s="180" t="str">
        <f>CUHK!L37</f>
        <v>265*</v>
      </c>
      <c r="K196" s="180">
        <f>CUHK!V37</f>
        <v>150</v>
      </c>
      <c r="L196" s="483">
        <f>IFERROR(CUHK!AD37/CUHK!W37,"新科目")</f>
        <v>3.3066666666666666</v>
      </c>
      <c r="M196" s="16">
        <f>入學要求!S182</f>
        <v>0</v>
      </c>
      <c r="P196" s="16"/>
    </row>
    <row r="197" spans="1:18">
      <c r="A197" s="180" t="str">
        <f>CUHK!A38</f>
        <v>JS4502</v>
      </c>
      <c r="B197" s="70" t="s">
        <v>193</v>
      </c>
      <c r="C197" s="180" t="str">
        <f>CUHK!C38</f>
        <v>內外全科醫學士課程環球醫學領袖培訓專修組別</v>
      </c>
      <c r="D197" s="180" t="str">
        <f>CUHK!D38</f>
        <v>MBChB-GPS</v>
      </c>
      <c r="E197" s="180" t="str">
        <f>CUHK!E38</f>
        <v>4C3X</v>
      </c>
      <c r="F197" s="184">
        <f>CUHK!F38</f>
        <v>48</v>
      </c>
      <c r="G197" s="184">
        <f>CUHK!G38</f>
        <v>47</v>
      </c>
      <c r="H197" s="184">
        <f>CUHK!H38</f>
        <v>46</v>
      </c>
      <c r="I197" s="209">
        <f>計分版!D201</f>
        <v>3.8499999999999997E-9</v>
      </c>
      <c r="J197" s="180">
        <f>CUHK!L38</f>
        <v>30</v>
      </c>
      <c r="K197" s="180">
        <f>CUHK!V38</f>
        <v>36</v>
      </c>
      <c r="L197" s="483">
        <f>IFERROR(CUHK!AD38/CUHK!W38,"新科目")</f>
        <v>1.9444444444444444</v>
      </c>
      <c r="M197" s="16">
        <f>入學要求!S183</f>
        <v>0</v>
      </c>
      <c r="P197" s="16"/>
      <c r="R197" s="43"/>
    </row>
    <row r="198" spans="1:18">
      <c r="A198" s="180" t="str">
        <f>CUHK!A39</f>
        <v>JS4513</v>
      </c>
      <c r="B198" s="70" t="s">
        <v>193</v>
      </c>
      <c r="C198" s="180" t="str">
        <f>CUHK!C39</f>
        <v>護理學</v>
      </c>
      <c r="D198" s="180" t="str">
        <f>CUHK!D39</f>
        <v xml:space="preserve">	NURSING</v>
      </c>
      <c r="E198" s="180" t="str">
        <f>CUHK!E39</f>
        <v>4C2X</v>
      </c>
      <c r="F198" s="184">
        <f>CUHK!F39</f>
        <v>40</v>
      </c>
      <c r="G198" s="184">
        <f>CUHK!G39</f>
        <v>37.75</v>
      </c>
      <c r="H198" s="184">
        <f>CUHK!H39</f>
        <v>36</v>
      </c>
      <c r="I198" s="209">
        <f>計分版!D202</f>
        <v>2.8499999999999999E-9</v>
      </c>
      <c r="J198" s="180">
        <f>CUHK!L39</f>
        <v>217</v>
      </c>
      <c r="K198" s="180">
        <f>CUHK!V39</f>
        <v>204</v>
      </c>
      <c r="L198" s="483">
        <f>IFERROR(CUHK!AD39/CUHK!W39,"新科目")</f>
        <v>3.9460784313725492</v>
      </c>
      <c r="M198" s="16">
        <f>入學要求!S184</f>
        <v>0</v>
      </c>
      <c r="P198" s="16"/>
    </row>
    <row r="199" spans="1:18">
      <c r="A199" s="180" t="str">
        <f>CUHK!A40</f>
        <v>JS4525</v>
      </c>
      <c r="B199" s="70" t="s">
        <v>193</v>
      </c>
      <c r="C199" s="180" t="str">
        <f>CUHK!C40</f>
        <v>藥劑學</v>
      </c>
      <c r="D199" s="180" t="str">
        <f>CUHK!D40</f>
        <v>PHARMACY</v>
      </c>
      <c r="E199" s="180" t="str">
        <f>CUHK!E40</f>
        <v>4C2X</v>
      </c>
      <c r="F199" s="184">
        <f>CUHK!F40</f>
        <v>37.5</v>
      </c>
      <c r="G199" s="184">
        <f>CUHK!G40</f>
        <v>36</v>
      </c>
      <c r="H199" s="184">
        <f>CUHK!H40</f>
        <v>34.5</v>
      </c>
      <c r="I199" s="209">
        <f>計分版!D203</f>
        <v>2.8499999999999999E-9</v>
      </c>
      <c r="J199" s="180">
        <f>CUHK!L40</f>
        <v>61</v>
      </c>
      <c r="K199" s="180">
        <f>CUHK!V40</f>
        <v>49</v>
      </c>
      <c r="L199" s="483">
        <f>IFERROR(CUHK!AD40/CUHK!W40,"新科目")</f>
        <v>2.6122448979591835</v>
      </c>
      <c r="M199" s="16">
        <f>入學要求!S185</f>
        <v>0</v>
      </c>
      <c r="P199" s="16"/>
    </row>
    <row r="200" spans="1:18">
      <c r="A200" s="180" t="str">
        <f>CUHK!A41</f>
        <v>JS4537</v>
      </c>
      <c r="B200" s="70" t="s">
        <v>193</v>
      </c>
      <c r="C200" s="180" t="str">
        <f>CUHK!C41</f>
        <v>公共衞生</v>
      </c>
      <c r="D200" s="180" t="str">
        <f>CUHK!D41</f>
        <v xml:space="preserve">	PUBLIC HEALTH</v>
      </c>
      <c r="E200" s="180" t="str">
        <f>CUHK!E41</f>
        <v>Best 5</v>
      </c>
      <c r="F200" s="184">
        <f>CUHK!F41</f>
        <v>26</v>
      </c>
      <c r="G200" s="184">
        <f>CUHK!G41</f>
        <v>23</v>
      </c>
      <c r="H200" s="184">
        <f>CUHK!H41</f>
        <v>23</v>
      </c>
      <c r="I200" s="209">
        <f>計分版!D204</f>
        <v>3.9500000000000006E-9</v>
      </c>
      <c r="J200" s="180">
        <f>CUHK!L41</f>
        <v>32</v>
      </c>
      <c r="K200" s="180">
        <f>CUHK!V41</f>
        <v>30</v>
      </c>
      <c r="L200" s="483">
        <f>IFERROR(CUHK!AD41/CUHK!W41,"新科目")</f>
        <v>10.9</v>
      </c>
      <c r="M200" s="16">
        <f>入學要求!S186</f>
        <v>0</v>
      </c>
      <c r="P200" s="16"/>
    </row>
    <row r="201" spans="1:18">
      <c r="A201" s="180" t="str">
        <f>CUHK!A42</f>
        <v>JS4542</v>
      </c>
      <c r="B201" s="70" t="s">
        <v>193</v>
      </c>
      <c r="C201" s="180" t="str">
        <f>CUHK!C42</f>
        <v>中醫學</v>
      </c>
      <c r="D201" s="180" t="str">
        <f>CUHK!D42</f>
        <v>CHIN MEDICINE</v>
      </c>
      <c r="E201" s="180" t="str">
        <f>CUHK!E42</f>
        <v>4C2X</v>
      </c>
      <c r="F201" s="184">
        <f>CUHK!F42</f>
        <v>36</v>
      </c>
      <c r="G201" s="184">
        <f>CUHK!G42</f>
        <v>33</v>
      </c>
      <c r="H201" s="184">
        <f>CUHK!H42</f>
        <v>32</v>
      </c>
      <c r="I201" s="209">
        <f>計分版!D205</f>
        <v>2.8499999999999999E-9</v>
      </c>
      <c r="J201" s="180">
        <f>CUHK!L42</f>
        <v>25</v>
      </c>
      <c r="K201" s="180">
        <f>CUHK!V42</f>
        <v>22</v>
      </c>
      <c r="L201" s="483">
        <f>IFERROR(CUHK!AD42/CUHK!W42,"新科目")</f>
        <v>5.4545454545454541</v>
      </c>
      <c r="M201" s="16">
        <f>入學要求!S187</f>
        <v>0</v>
      </c>
      <c r="P201" s="16"/>
    </row>
    <row r="202" spans="1:18">
      <c r="A202" s="180" t="str">
        <f>CUHK!A43</f>
        <v>JS4550</v>
      </c>
      <c r="B202" s="70" t="s">
        <v>193</v>
      </c>
      <c r="C202" s="180" t="str">
        <f>CUHK!C43</f>
        <v>生物醫學</v>
      </c>
      <c r="D202" s="180" t="str">
        <f>CUHK!D43</f>
        <v xml:space="preserve">	BIOMEDICAL SCIENCES</v>
      </c>
      <c r="E202" s="180" t="str">
        <f>CUHK!E43</f>
        <v>4C2X</v>
      </c>
      <c r="F202" s="184">
        <f>CUHK!F43</f>
        <v>37.5</v>
      </c>
      <c r="G202" s="184">
        <f>CUHK!G43</f>
        <v>36</v>
      </c>
      <c r="H202" s="184">
        <f>CUHK!H43</f>
        <v>34.5</v>
      </c>
      <c r="I202" s="209">
        <f>計分版!D206</f>
        <v>2.8499999999999999E-9</v>
      </c>
      <c r="J202" s="180">
        <f>CUHK!L43</f>
        <v>20</v>
      </c>
      <c r="K202" s="180">
        <f>CUHK!V43</f>
        <v>21</v>
      </c>
      <c r="L202" s="483">
        <f>IFERROR(CUHK!AD43/CUHK!W43,"新科目")</f>
        <v>5.5238095238095237</v>
      </c>
      <c r="M202" s="16">
        <f>入學要求!S188</f>
        <v>0</v>
      </c>
      <c r="P202" s="16"/>
    </row>
    <row r="203" spans="1:18">
      <c r="A203" s="180" t="str">
        <f>CUHK!A44</f>
        <v>JS4601</v>
      </c>
      <c r="B203" s="70" t="s">
        <v>193</v>
      </c>
      <c r="C203" s="180" t="str">
        <f>CUHK!C44</f>
        <v>理學</v>
      </c>
      <c r="D203" s="180" t="str">
        <f>CUHK!D44</f>
        <v xml:space="preserve">	SCIENCE</v>
      </c>
      <c r="E203" s="180" t="str">
        <f>CUHK!E44</f>
        <v>Best 5</v>
      </c>
      <c r="F203" s="184">
        <f>CUHK!F44</f>
        <v>44</v>
      </c>
      <c r="G203" s="184">
        <f>CUHK!G44</f>
        <v>38</v>
      </c>
      <c r="H203" s="184">
        <f>CUHK!H44</f>
        <v>38</v>
      </c>
      <c r="I203" s="209">
        <f>計分版!D207</f>
        <v>4.3500000000000001E-9</v>
      </c>
      <c r="J203" s="180">
        <f>CUHK!L44</f>
        <v>374</v>
      </c>
      <c r="K203" s="180">
        <f>CUHK!V44</f>
        <v>390</v>
      </c>
      <c r="L203" s="483">
        <f>IFERROR(CUHK!AD44/CUHK!W44,"新科目")</f>
        <v>3.9128205128205127</v>
      </c>
      <c r="M203" s="16">
        <f>入學要求!S189</f>
        <v>0</v>
      </c>
      <c r="P203" s="16"/>
      <c r="R203" s="43"/>
    </row>
    <row r="204" spans="1:18">
      <c r="A204" s="180" t="str">
        <f>CUHK!A45</f>
        <v>JS4633</v>
      </c>
      <c r="B204" s="70" t="s">
        <v>193</v>
      </c>
      <c r="C204" s="180" t="str">
        <f>CUHK!C45</f>
        <v>地球系統科學 (大氣科學 / 地球物理)</v>
      </c>
      <c r="D204" s="180" t="str">
        <f>CUHK!D45</f>
        <v xml:space="preserve">	ESSC (AS / GEO)</v>
      </c>
      <c r="E204" s="180" t="str">
        <f>CUHK!E45</f>
        <v>Best 5</v>
      </c>
      <c r="F204" s="184">
        <f>CUHK!F45</f>
        <v>49.75</v>
      </c>
      <c r="G204" s="184">
        <f>CUHK!G45</f>
        <v>42.25</v>
      </c>
      <c r="H204" s="184">
        <f>CUHK!H45</f>
        <v>40.75</v>
      </c>
      <c r="I204" s="209">
        <f>計分版!D208</f>
        <v>4.1000000000000003E-9</v>
      </c>
      <c r="J204" s="180">
        <f>CUHK!L45</f>
        <v>20</v>
      </c>
      <c r="K204" s="180">
        <f>CUHK!V45</f>
        <v>22</v>
      </c>
      <c r="L204" s="483">
        <f>IFERROR(CUHK!AD45/CUHK!W45,"新科目")</f>
        <v>2.6818181818181817</v>
      </c>
      <c r="M204" s="16">
        <f>入學要求!S190</f>
        <v>0</v>
      </c>
      <c r="P204" s="16"/>
    </row>
    <row r="205" spans="1:18">
      <c r="A205" s="180" t="str">
        <f>CUHK!A46</f>
        <v>JS4682</v>
      </c>
      <c r="B205" s="70" t="s">
        <v>193</v>
      </c>
      <c r="C205" s="180" t="str">
        <f>CUHK!C46</f>
        <v>數學精研</v>
      </c>
      <c r="D205" s="180" t="str">
        <f>CUHK!D46</f>
        <v xml:space="preserve">	ENRICHMENT MATHEMATICS</v>
      </c>
      <c r="E205" s="180" t="str">
        <f>CUHK!E46</f>
        <v>Best 5</v>
      </c>
      <c r="F205" s="184">
        <f>CUHK!F46</f>
        <v>40.75</v>
      </c>
      <c r="G205" s="184">
        <f>CUHK!G46</f>
        <v>38.5</v>
      </c>
      <c r="H205" s="184">
        <f>CUHK!H46</f>
        <v>37</v>
      </c>
      <c r="I205" s="209">
        <f>計分版!D209</f>
        <v>4.3500000000000001E-9</v>
      </c>
      <c r="J205" s="180">
        <f>CUHK!L46</f>
        <v>27</v>
      </c>
      <c r="K205" s="180">
        <f>CUHK!V46</f>
        <v>30</v>
      </c>
      <c r="L205" s="483">
        <f>IFERROR(CUHK!AD46/CUHK!W46,"新科目")</f>
        <v>4.5666666666666664</v>
      </c>
      <c r="M205" s="16">
        <f>入學要求!S191</f>
        <v>0</v>
      </c>
      <c r="P205" s="16"/>
    </row>
    <row r="206" spans="1:18">
      <c r="A206" s="180" t="str">
        <f>CUHK!A47</f>
        <v>JS4690</v>
      </c>
      <c r="B206" s="70" t="s">
        <v>193</v>
      </c>
      <c r="C206" s="180" t="str">
        <f>CUHK!C47</f>
        <v>理論物理精研</v>
      </c>
      <c r="D206" s="180" t="str">
        <f>CUHK!D47</f>
        <v xml:space="preserve">	THEORETICAL PHYSICS</v>
      </c>
      <c r="E206" s="180" t="str">
        <f>CUHK!E47</f>
        <v>Best 5</v>
      </c>
      <c r="F206" s="184">
        <f>CUHK!F47</f>
        <v>45.5</v>
      </c>
      <c r="G206" s="184">
        <f>CUHK!G47</f>
        <v>43.25</v>
      </c>
      <c r="H206" s="184">
        <f>CUHK!H47</f>
        <v>39.5</v>
      </c>
      <c r="I206" s="209">
        <f>計分版!D210</f>
        <v>4.1000000000000003E-9</v>
      </c>
      <c r="J206" s="180">
        <f>CUHK!L47</f>
        <v>20</v>
      </c>
      <c r="K206" s="180">
        <f>CUHK!V47</f>
        <v>23</v>
      </c>
      <c r="L206" s="483">
        <f>IFERROR(CUHK!AD47/CUHK!W47,"新科目")</f>
        <v>3.2608695652173911</v>
      </c>
      <c r="M206" s="16">
        <f>入學要求!S192</f>
        <v>0</v>
      </c>
      <c r="P206" s="16"/>
    </row>
    <row r="207" spans="1:18">
      <c r="A207" s="180" t="str">
        <f>CUHK!A48</f>
        <v>JS4719</v>
      </c>
      <c r="B207" s="70" t="s">
        <v>193</v>
      </c>
      <c r="C207" s="180" t="str">
        <f>CUHK!C48</f>
        <v>風險管理科學</v>
      </c>
      <c r="D207" s="180" t="str">
        <f>CUHK!D48</f>
        <v xml:space="preserve">	RISK MGT SCI</v>
      </c>
      <c r="E207" s="180" t="str">
        <f>CUHK!E48</f>
        <v>Best 5</v>
      </c>
      <c r="F207" s="184">
        <f>CUHK!F48</f>
        <v>44.5</v>
      </c>
      <c r="G207" s="184">
        <f>CUHK!G48</f>
        <v>41.5</v>
      </c>
      <c r="H207" s="184">
        <f>CUHK!H48</f>
        <v>41.5</v>
      </c>
      <c r="I207" s="209">
        <f>計分版!D211</f>
        <v>4.3500000000000001E-9</v>
      </c>
      <c r="J207" s="180">
        <f>CUHK!L48</f>
        <v>26</v>
      </c>
      <c r="K207" s="180">
        <f>CUHK!V48</f>
        <v>26</v>
      </c>
      <c r="L207" s="483">
        <f>IFERROR(CUHK!AD48/CUHK!W48,"新科目")</f>
        <v>3.3846153846153846</v>
      </c>
      <c r="M207" s="16">
        <f>入學要求!S193</f>
        <v>0</v>
      </c>
      <c r="P207" s="16"/>
    </row>
    <row r="208" spans="1:18">
      <c r="A208" s="180" t="str">
        <f>CUHK!A49</f>
        <v>JS4801</v>
      </c>
      <c r="B208" s="70" t="s">
        <v>193</v>
      </c>
      <c r="C208" s="180" t="str">
        <f>CUHK!C49</f>
        <v>社會科學</v>
      </c>
      <c r="D208" s="180" t="str">
        <f>CUHK!D49</f>
        <v>SOCIAL SCIENCE</v>
      </c>
      <c r="E208" s="180" t="str">
        <f>CUHK!E49</f>
        <v>Best 5</v>
      </c>
      <c r="F208" s="184">
        <f>CUHK!F49</f>
        <v>31.1</v>
      </c>
      <c r="G208" s="184">
        <f>CUHK!G49</f>
        <v>29.15</v>
      </c>
      <c r="H208" s="184">
        <f>CUHK!H49</f>
        <v>28.7</v>
      </c>
      <c r="I208" s="209">
        <f>計分版!D212</f>
        <v>3.9500000000000006E-9</v>
      </c>
      <c r="J208" s="180">
        <f>CUHK!L49</f>
        <v>65</v>
      </c>
      <c r="K208" s="180">
        <f>CUHK!V49</f>
        <v>63</v>
      </c>
      <c r="L208" s="483">
        <f>IFERROR(CUHK!AD49/CUHK!W49,"新科目")</f>
        <v>6.5079365079365079</v>
      </c>
      <c r="M208" s="16">
        <f>入學要求!S194</f>
        <v>0</v>
      </c>
      <c r="P208" s="16"/>
    </row>
    <row r="209" spans="1:16">
      <c r="A209" s="180" t="str">
        <f>CUHK!A50</f>
        <v>JS4812</v>
      </c>
      <c r="B209" s="70" t="s">
        <v>193</v>
      </c>
      <c r="C209" s="180" t="str">
        <f>CUHK!C50</f>
        <v>建築學</v>
      </c>
      <c r="D209" s="180" t="str">
        <f>CUHK!D50</f>
        <v xml:space="preserve">	ARCHITECTURE</v>
      </c>
      <c r="E209" s="180" t="str">
        <f>CUHK!E50</f>
        <v>Best 5</v>
      </c>
      <c r="F209" s="184">
        <f>CUHK!F50</f>
        <v>38.25</v>
      </c>
      <c r="G209" s="184">
        <f>CUHK!G50</f>
        <v>33</v>
      </c>
      <c r="H209" s="184">
        <f>CUHK!H50</f>
        <v>33.75</v>
      </c>
      <c r="I209" s="209">
        <f>計分版!D213</f>
        <v>3.9500000000000006E-9</v>
      </c>
      <c r="J209" s="180">
        <f>CUHK!L50</f>
        <v>32</v>
      </c>
      <c r="K209" s="180">
        <f>CUHK!V50</f>
        <v>21</v>
      </c>
      <c r="L209" s="483">
        <f>IFERROR(CUHK!AD50/CUHK!W50,"新科目")</f>
        <v>8.5238095238095237</v>
      </c>
      <c r="M209" s="16">
        <f>入學要求!S195</f>
        <v>0</v>
      </c>
      <c r="P209" s="16"/>
    </row>
    <row r="210" spans="1:16" s="180" customFormat="1">
      <c r="A210" s="180" t="str">
        <f>CUHK!A51</f>
        <v>JS4824</v>
      </c>
      <c r="B210" s="70" t="s">
        <v>193</v>
      </c>
      <c r="C210" s="180" t="str">
        <f>CUHK!C51</f>
        <v>經濟學</v>
      </c>
      <c r="D210" s="180" t="str">
        <f>CUHK!D51</f>
        <v xml:space="preserve">	ECONOMICS</v>
      </c>
      <c r="E210" s="180" t="str">
        <f>CUHK!E51</f>
        <v>Best 5</v>
      </c>
      <c r="F210" s="184">
        <f>CUHK!F51</f>
        <v>32.25</v>
      </c>
      <c r="G210" s="184">
        <f>CUHK!G51</f>
        <v>30.5</v>
      </c>
      <c r="H210" s="184">
        <f>CUHK!H51</f>
        <v>29.25</v>
      </c>
      <c r="I210" s="209">
        <f>計分版!D214</f>
        <v>4.1000000000000003E-9</v>
      </c>
      <c r="J210" s="180">
        <f>CUHK!L51</f>
        <v>67</v>
      </c>
      <c r="K210" s="180">
        <f>CUHK!V51</f>
        <v>60</v>
      </c>
      <c r="L210" s="483">
        <f>IFERROR(CUHK!AD51/CUHK!W51,"新科目")</f>
        <v>8.0333333333333332</v>
      </c>
      <c r="M210" s="16">
        <f>入學要求!S196</f>
        <v>0</v>
      </c>
    </row>
    <row r="211" spans="1:16" s="180" customFormat="1">
      <c r="A211" s="180" t="str">
        <f>CUHK!A52</f>
        <v>JS4836</v>
      </c>
      <c r="B211" s="70" t="s">
        <v>193</v>
      </c>
      <c r="C211" s="180" t="str">
        <f>CUHK!C52</f>
        <v>地理與資源管理學</v>
      </c>
      <c r="D211" s="180" t="str">
        <f>CUHK!D52</f>
        <v>GEO &amp; RES MGT</v>
      </c>
      <c r="E211" s="180" t="str">
        <f>CUHK!E52</f>
        <v>Best 5</v>
      </c>
      <c r="F211" s="184">
        <f>CUHK!F52</f>
        <v>31</v>
      </c>
      <c r="G211" s="184">
        <f>CUHK!G52</f>
        <v>28.75</v>
      </c>
      <c r="H211" s="184">
        <f>CUHK!H52</f>
        <v>26.5</v>
      </c>
      <c r="I211" s="209">
        <f>計分版!D215</f>
        <v>3.9500000000000006E-9</v>
      </c>
      <c r="J211" s="180">
        <f>CUHK!L52</f>
        <v>40</v>
      </c>
      <c r="K211" s="180">
        <f>CUHK!V52</f>
        <v>40</v>
      </c>
      <c r="L211" s="483">
        <f>IFERROR(CUHK!AD52/CUHK!W52,"新科目")</f>
        <v>5.2</v>
      </c>
      <c r="M211" s="16">
        <f>入學要求!S197</f>
        <v>0</v>
      </c>
    </row>
    <row r="212" spans="1:16">
      <c r="A212" s="180" t="str">
        <f>CUHK!A53</f>
        <v>JS4838</v>
      </c>
      <c r="B212" s="70" t="s">
        <v>193</v>
      </c>
      <c r="C212" s="180" t="str">
        <f>CUHK!C53</f>
        <v>城市研究</v>
      </c>
      <c r="D212" s="180" t="str">
        <f>CUHK!D53</f>
        <v xml:space="preserve">	URBAN STUDIES</v>
      </c>
      <c r="E212" s="180" t="str">
        <f>CUHK!E53</f>
        <v>Best 5</v>
      </c>
      <c r="F212" s="184">
        <f>CUHK!F53</f>
        <v>29</v>
      </c>
      <c r="G212" s="184">
        <f>CUHK!G53</f>
        <v>25</v>
      </c>
      <c r="H212" s="184">
        <f>CUHK!H53</f>
        <v>24.5</v>
      </c>
      <c r="I212" s="209">
        <f>計分版!D216</f>
        <v>3.9500000000000006E-9</v>
      </c>
      <c r="J212" s="180">
        <f>CUHK!L53</f>
        <v>20</v>
      </c>
      <c r="K212" s="180">
        <f>CUHK!V53</f>
        <v>22</v>
      </c>
      <c r="L212" s="483">
        <f>IFERROR(CUHK!AD53/CUHK!W53,"新科目")</f>
        <v>7.5</v>
      </c>
      <c r="M212" s="16">
        <f>入學要求!S198</f>
        <v>0</v>
      </c>
      <c r="O212" s="16"/>
      <c r="P212" s="16"/>
    </row>
    <row r="213" spans="1:16">
      <c r="A213" s="180" t="str">
        <f>CUHK!A54</f>
        <v>JS4848</v>
      </c>
      <c r="B213" s="70" t="s">
        <v>193</v>
      </c>
      <c r="C213" s="180" t="str">
        <f>CUHK!C54</f>
        <v>政治與行政學</v>
      </c>
      <c r="D213" s="180" t="str">
        <f>CUHK!D54</f>
        <v xml:space="preserve">	GOV'T &amp; PUBLIC ADMIN</v>
      </c>
      <c r="E213" s="180" t="str">
        <f>CUHK!E54</f>
        <v>4C2X</v>
      </c>
      <c r="F213" s="184">
        <f>CUHK!F54</f>
        <v>37.75</v>
      </c>
      <c r="G213" s="184">
        <f>CUHK!G54</f>
        <v>35.5</v>
      </c>
      <c r="H213" s="184">
        <f>CUHK!H54</f>
        <v>33.625</v>
      </c>
      <c r="I213" s="209">
        <f>計分版!D217</f>
        <v>3.0750000000000002E-9</v>
      </c>
      <c r="J213" s="180">
        <f>CUHK!L54</f>
        <v>38</v>
      </c>
      <c r="K213" s="180">
        <f>CUHK!V54</f>
        <v>37</v>
      </c>
      <c r="L213" s="483">
        <f>IFERROR(CUHK!AD54/CUHK!W54,"新科目")</f>
        <v>3.3783783783783785</v>
      </c>
      <c r="M213" s="16">
        <f>入學要求!S199</f>
        <v>0</v>
      </c>
      <c r="O213" s="16"/>
      <c r="P213" s="16"/>
    </row>
    <row r="214" spans="1:16">
      <c r="A214" s="180" t="str">
        <f>CUHK!A55</f>
        <v>JS4850</v>
      </c>
      <c r="B214" s="70" t="s">
        <v>193</v>
      </c>
      <c r="C214" s="180" t="str">
        <f>CUHK!C55</f>
        <v>新聞與傳播學</v>
      </c>
      <c r="D214" s="180" t="str">
        <f>CUHK!D55</f>
        <v>JOURNALISM &amp; COMMUN</v>
      </c>
      <c r="E214" s="180" t="str">
        <f>CUHK!E55</f>
        <v>Best 5</v>
      </c>
      <c r="F214" s="184">
        <f>CUHK!F55</f>
        <v>36.35</v>
      </c>
      <c r="G214" s="184">
        <f>CUHK!G55</f>
        <v>34.700000000000003</v>
      </c>
      <c r="H214" s="184">
        <f>CUHK!H55</f>
        <v>33.200000000000003</v>
      </c>
      <c r="I214" s="209">
        <f>計分版!D218</f>
        <v>3.9500000000000006E-9</v>
      </c>
      <c r="J214" s="180">
        <f>CUHK!L55</f>
        <v>43</v>
      </c>
      <c r="K214" s="180">
        <f>CUHK!V55</f>
        <v>41</v>
      </c>
      <c r="L214" s="483">
        <f>IFERROR(CUHK!AD55/CUHK!W55,"新科目")</f>
        <v>3.6585365853658538</v>
      </c>
      <c r="M214" s="16">
        <f>入學要求!S200</f>
        <v>0</v>
      </c>
      <c r="O214" s="16"/>
      <c r="P214" s="16"/>
    </row>
    <row r="215" spans="1:16">
      <c r="A215" s="180" t="str">
        <f>CUHK!A56</f>
        <v>JS4858</v>
      </c>
      <c r="B215" s="70" t="s">
        <v>193</v>
      </c>
      <c r="C215" s="180" t="str">
        <f>CUHK!C56</f>
        <v>全球傳播</v>
      </c>
      <c r="D215" s="180" t="str">
        <f>CUHK!D56</f>
        <v xml:space="preserve">	GLOBAL COMM</v>
      </c>
      <c r="E215" s="180" t="str">
        <f>CUHK!E56</f>
        <v>Best 5</v>
      </c>
      <c r="F215" s="184">
        <f>CUHK!F56</f>
        <v>34.549999999999997</v>
      </c>
      <c r="G215" s="184">
        <f>CUHK!G56</f>
        <v>32.6</v>
      </c>
      <c r="H215" s="184">
        <f>CUHK!H56</f>
        <v>30.05</v>
      </c>
      <c r="I215" s="209">
        <f>計分版!D219</f>
        <v>3.9500000000000006E-9</v>
      </c>
      <c r="J215" s="180">
        <f>CUHK!L56</f>
        <v>10</v>
      </c>
      <c r="K215" s="180">
        <f>CUHK!V56</f>
        <v>12</v>
      </c>
      <c r="L215" s="483">
        <f>IFERROR(CUHK!AD56/CUHK!W56,"新科目")</f>
        <v>4.25</v>
      </c>
      <c r="M215" s="16">
        <f>入學要求!S201</f>
        <v>0</v>
      </c>
      <c r="O215" s="16"/>
      <c r="P215" s="16"/>
    </row>
    <row r="216" spans="1:16">
      <c r="A216" s="180" t="str">
        <f>CUHK!A57</f>
        <v>JS4862</v>
      </c>
      <c r="B216" s="70" t="s">
        <v>193</v>
      </c>
      <c r="C216" s="180" t="str">
        <f>CUHK!C57</f>
        <v>心理學</v>
      </c>
      <c r="D216" s="180" t="str">
        <f>CUHK!D57</f>
        <v>PSYCHOLOGY</v>
      </c>
      <c r="E216" s="180" t="str">
        <f>CUHK!E57</f>
        <v>Best 5</v>
      </c>
      <c r="F216" s="184">
        <f>CUHK!F57</f>
        <v>37.5</v>
      </c>
      <c r="G216" s="184">
        <f>CUHK!G57</f>
        <v>35.25</v>
      </c>
      <c r="H216" s="184">
        <f>CUHK!H57</f>
        <v>33</v>
      </c>
      <c r="I216" s="209">
        <f>計分版!D220</f>
        <v>3.9500000000000006E-9</v>
      </c>
      <c r="J216" s="180">
        <f>CUHK!L57</f>
        <v>54</v>
      </c>
      <c r="K216" s="180">
        <f>CUHK!V57</f>
        <v>57</v>
      </c>
      <c r="L216" s="483">
        <f>IFERROR(CUHK!AD57/CUHK!W57,"新科目")</f>
        <v>6.709090909090909</v>
      </c>
      <c r="M216" s="16">
        <f>入學要求!S202</f>
        <v>0</v>
      </c>
      <c r="O216" s="16"/>
      <c r="P216" s="16"/>
    </row>
    <row r="217" spans="1:16">
      <c r="A217" s="180" t="str">
        <f>CUHK!A58</f>
        <v>JS4874</v>
      </c>
      <c r="B217" s="70" t="s">
        <v>193</v>
      </c>
      <c r="C217" s="180" t="str">
        <f>CUHK!C58</f>
        <v>社會工作學</v>
      </c>
      <c r="D217" s="180" t="str">
        <f>CUHK!D58</f>
        <v xml:space="preserve">	SOCIAL WORK</v>
      </c>
      <c r="E217" s="180" t="str">
        <f>CUHK!E58</f>
        <v>Best 5</v>
      </c>
      <c r="F217" s="184">
        <f>CUHK!F58</f>
        <v>32</v>
      </c>
      <c r="G217" s="184">
        <f>CUHK!G58</f>
        <v>30.5</v>
      </c>
      <c r="H217" s="184">
        <f>CUHK!H58</f>
        <v>29</v>
      </c>
      <c r="I217" s="209">
        <f>計分版!D221</f>
        <v>3.9500000000000006E-9</v>
      </c>
      <c r="J217" s="180">
        <f>CUHK!L58</f>
        <v>46</v>
      </c>
      <c r="K217" s="180">
        <f>CUHK!V58</f>
        <v>39</v>
      </c>
      <c r="L217" s="483">
        <f>IFERROR(CUHK!AD58/CUHK!W58,"新科目")</f>
        <v>9.4871794871794872</v>
      </c>
      <c r="M217" s="16">
        <f>入學要求!S203</f>
        <v>0</v>
      </c>
      <c r="O217" s="16"/>
      <c r="P217" s="16"/>
    </row>
    <row r="218" spans="1:16">
      <c r="A218" s="180" t="str">
        <f>CUHK!A59</f>
        <v>JS4886</v>
      </c>
      <c r="B218" s="70" t="s">
        <v>193</v>
      </c>
      <c r="C218" s="180" t="str">
        <f>CUHK!C59</f>
        <v>社會學</v>
      </c>
      <c r="D218" s="180" t="str">
        <f>CUHK!D59</f>
        <v xml:space="preserve">	SOCIOLOGY</v>
      </c>
      <c r="E218" s="180" t="str">
        <f>CUHK!E59</f>
        <v>Best 5</v>
      </c>
      <c r="F218" s="184">
        <f>CUHK!F59</f>
        <v>31.5</v>
      </c>
      <c r="G218" s="184">
        <f>CUHK!G59</f>
        <v>30</v>
      </c>
      <c r="H218" s="184">
        <f>CUHK!H59</f>
        <v>30</v>
      </c>
      <c r="I218" s="209">
        <f>計分版!D222</f>
        <v>3.9500000000000006E-9</v>
      </c>
      <c r="J218" s="180">
        <f>CUHK!L59</f>
        <v>39</v>
      </c>
      <c r="K218" s="180">
        <f>CUHK!V59</f>
        <v>33</v>
      </c>
      <c r="L218" s="483">
        <f>IFERROR(CUHK!AD59/CUHK!W59,"新科目")</f>
        <v>8</v>
      </c>
      <c r="M218" s="16">
        <f>入學要求!S204</f>
        <v>0</v>
      </c>
      <c r="O218" s="16"/>
      <c r="P218" s="16"/>
    </row>
    <row r="219" spans="1:16">
      <c r="A219" s="180" t="str">
        <f>CUHK!A60</f>
        <v>JS4892</v>
      </c>
      <c r="B219" s="70" t="s">
        <v>193</v>
      </c>
      <c r="C219" s="180" t="str">
        <f>CUHK!C60</f>
        <v>全球研究</v>
      </c>
      <c r="D219" s="180" t="str">
        <f>CUHK!D60</f>
        <v>GLOBAL STUDIES</v>
      </c>
      <c r="E219" s="180" t="str">
        <f>CUHK!E60</f>
        <v>Best 5</v>
      </c>
      <c r="F219" s="184">
        <f>CUHK!F60</f>
        <v>32.5</v>
      </c>
      <c r="G219" s="184">
        <f>CUHK!G60</f>
        <v>31</v>
      </c>
      <c r="H219" s="184">
        <f>CUHK!H60</f>
        <v>28.75</v>
      </c>
      <c r="I219" s="209">
        <f>計分版!D223</f>
        <v>3.9500000000000006E-9</v>
      </c>
      <c r="J219" s="180">
        <f>CUHK!L60</f>
        <v>20</v>
      </c>
      <c r="K219" s="180">
        <f>CUHK!V60</f>
        <v>18</v>
      </c>
      <c r="L219" s="483">
        <f>IFERROR(CUHK!AD60/CUHK!W60,"新科目")</f>
        <v>4.8888888888888893</v>
      </c>
      <c r="M219" s="16">
        <f>入學要求!S205</f>
        <v>0</v>
      </c>
      <c r="O219" s="16"/>
      <c r="P219" s="16"/>
    </row>
    <row r="220" spans="1:16">
      <c r="A220" s="180" t="str">
        <f>CUHK!A61</f>
        <v>JS4893</v>
      </c>
      <c r="B220" s="70" t="s">
        <v>193</v>
      </c>
      <c r="C220" s="180" t="str">
        <f>CUHK!C61</f>
        <v>數據科學與政策研究</v>
      </c>
      <c r="D220" s="180" t="str">
        <f>CUHK!D61</f>
        <v xml:space="preserve">	DSPS</v>
      </c>
      <c r="E220" s="180" t="str">
        <f>CUHK!E61</f>
        <v>Best 5</v>
      </c>
      <c r="F220" s="184">
        <f>CUHK!F61</f>
        <v>27.5</v>
      </c>
      <c r="G220" s="184">
        <f>CUHK!G61</f>
        <v>26.5</v>
      </c>
      <c r="H220" s="184">
        <f>CUHK!H61</f>
        <v>26</v>
      </c>
      <c r="I220" s="209">
        <f>計分版!D224</f>
        <v>3.9500000000000006E-9</v>
      </c>
      <c r="J220" s="180">
        <f>CUHK!L61</f>
        <v>20</v>
      </c>
      <c r="K220" s="180">
        <f>CUHK!V61</f>
        <v>19</v>
      </c>
      <c r="L220" s="483">
        <f>IFERROR(CUHK!AD61/CUHK!W61,"新科目")</f>
        <v>4.2105263157894735</v>
      </c>
      <c r="M220" s="16">
        <f>入學要求!S206</f>
        <v>0</v>
      </c>
      <c r="O220" s="16"/>
      <c r="P220" s="16"/>
    </row>
    <row r="221" spans="1:16">
      <c r="A221" s="180" t="str">
        <f>CUHK!A62</f>
        <v>JS4903</v>
      </c>
      <c r="B221" s="70" t="s">
        <v>193</v>
      </c>
      <c r="C221" s="180" t="str">
        <f>CUHK!C62</f>
        <v>法學士</v>
      </c>
      <c r="D221" s="180" t="str">
        <f>CUHK!D62</f>
        <v xml:space="preserve">	LLB</v>
      </c>
      <c r="E221" s="180" t="str">
        <f>CUHK!E62</f>
        <v>4C2X</v>
      </c>
      <c r="F221" s="184">
        <f>CUHK!F62</f>
        <v>52</v>
      </c>
      <c r="G221" s="184">
        <f>CUHK!G62</f>
        <v>47.5</v>
      </c>
      <c r="H221" s="184">
        <f>CUHK!H62</f>
        <v>46.75</v>
      </c>
      <c r="I221" s="209">
        <f>計分版!D225</f>
        <v>3.4999999999999999E-9</v>
      </c>
      <c r="J221" s="180">
        <f>CUHK!L62</f>
        <v>76</v>
      </c>
      <c r="K221" s="180">
        <f>CUHK!V62</f>
        <v>60</v>
      </c>
      <c r="L221" s="483">
        <f>IFERROR(CUHK!AD62/CUHK!W62,"新科目")</f>
        <v>3.0333333333333332</v>
      </c>
      <c r="M221" s="16">
        <f>入學要求!S207</f>
        <v>0</v>
      </c>
      <c r="O221" s="16"/>
      <c r="P221" s="16"/>
    </row>
    <row r="222" spans="1:16">
      <c r="D222" s="16"/>
      <c r="E222" s="56"/>
      <c r="I222" s="209"/>
      <c r="O222" s="16"/>
      <c r="P222" s="16"/>
    </row>
    <row r="223" spans="1:16">
      <c r="B223" s="20"/>
      <c r="C223" s="20"/>
      <c r="D223" s="16"/>
      <c r="E223" s="65"/>
      <c r="F223" s="184" t="s">
        <v>368</v>
      </c>
      <c r="G223" s="184" t="s">
        <v>994</v>
      </c>
      <c r="H223" s="184" t="s">
        <v>995</v>
      </c>
      <c r="I223" s="209" t="str">
        <f>計分版!D227</f>
        <v>總分</v>
      </c>
      <c r="O223" s="16"/>
      <c r="P223" s="16"/>
    </row>
    <row r="224" spans="1:16">
      <c r="A224" s="16" t="str">
        <f>UST!A2</f>
        <v>JS5101</v>
      </c>
      <c r="B224" s="20" t="s">
        <v>624</v>
      </c>
      <c r="C224" s="180" t="str">
        <f>UST!C2</f>
        <v>國際科研</v>
      </c>
      <c r="D224" s="180" t="str">
        <f>UST!D2</f>
        <v>IRE</v>
      </c>
      <c r="E224" s="180" t="str">
        <f>UST!E2</f>
        <v>英數Best3</v>
      </c>
      <c r="F224" s="184" t="s">
        <v>360</v>
      </c>
      <c r="G224" s="184">
        <f>UST!F2</f>
        <v>30</v>
      </c>
      <c r="H224" s="184">
        <f>UST!G2</f>
        <v>29</v>
      </c>
      <c r="I224" s="209">
        <f>計分版!D228</f>
        <v>1.9500000000000001E-9</v>
      </c>
      <c r="J224" s="16">
        <f>UST!K2</f>
        <v>21</v>
      </c>
      <c r="K224" s="180">
        <f>UST!U2</f>
        <v>23</v>
      </c>
      <c r="L224" s="483">
        <f>IFERROR(UST!AC2/UST!V2,"新科目")</f>
        <v>3.9565217391304346</v>
      </c>
      <c r="M224" s="16">
        <f>入學要求!S211</f>
        <v>0</v>
      </c>
      <c r="O224" s="16"/>
      <c r="P224" s="16"/>
    </row>
    <row r="225" spans="1:16">
      <c r="A225" s="180" t="str">
        <f>UST!A3</f>
        <v>JS5102</v>
      </c>
      <c r="B225" s="20" t="s">
        <v>624</v>
      </c>
      <c r="C225" s="180" t="str">
        <f>UST!C3</f>
        <v>理學Ａ組</v>
      </c>
      <c r="D225" s="180" t="str">
        <f>UST!D3</f>
        <v>SSCI-A</v>
      </c>
      <c r="E225" s="180" t="str">
        <f>UST!E3</f>
        <v>英數Best3</v>
      </c>
      <c r="F225" s="184" t="s">
        <v>360</v>
      </c>
      <c r="G225" s="184">
        <f>UST!F3</f>
        <v>27.5</v>
      </c>
      <c r="H225" s="184">
        <f>UST!G3</f>
        <v>26</v>
      </c>
      <c r="I225" s="209">
        <f>計分版!D229</f>
        <v>3.3000000000000002E-9</v>
      </c>
      <c r="J225" s="180" t="str">
        <f>UST!K3</f>
        <v>424*</v>
      </c>
      <c r="K225" s="180">
        <f>UST!U3</f>
        <v>191</v>
      </c>
      <c r="L225" s="483">
        <f>IFERROR(UST!AC3/UST!V3,"新科目")</f>
        <v>3.6368715083798882</v>
      </c>
      <c r="M225" s="180">
        <f>入學要求!S212</f>
        <v>0</v>
      </c>
      <c r="O225" s="16"/>
      <c r="P225" s="16"/>
    </row>
    <row r="226" spans="1:16">
      <c r="A226" s="180" t="str">
        <f>UST!A4</f>
        <v>JS5103</v>
      </c>
      <c r="B226" s="20" t="s">
        <v>624</v>
      </c>
      <c r="C226" s="180" t="str">
        <f>UST!C4</f>
        <v>理學Ｂ組</v>
      </c>
      <c r="D226" s="180" t="str">
        <f>UST!D4</f>
        <v>SSCI-B</v>
      </c>
      <c r="E226" s="180" t="str">
        <f>UST!E4</f>
        <v>英數Best3</v>
      </c>
      <c r="F226" s="184" t="s">
        <v>360</v>
      </c>
      <c r="G226" s="184">
        <f>UST!F4</f>
        <v>30</v>
      </c>
      <c r="H226" s="184">
        <f>UST!G4</f>
        <v>28.5</v>
      </c>
      <c r="I226" s="209">
        <f>計分版!D230</f>
        <v>3.05E-9</v>
      </c>
      <c r="J226" s="180" t="str">
        <f>UST!K3</f>
        <v>424*</v>
      </c>
      <c r="K226" s="180">
        <f>UST!U4</f>
        <v>273</v>
      </c>
      <c r="L226" s="483">
        <f>IFERROR(UST!AC4/UST!V4,"新科目")</f>
        <v>4.2366412213740459</v>
      </c>
      <c r="M226" s="180">
        <f>入學要求!S213</f>
        <v>0</v>
      </c>
      <c r="O226" s="16"/>
      <c r="P226" s="16"/>
    </row>
    <row r="227" spans="1:16">
      <c r="A227" s="180" t="str">
        <f>UST!A5</f>
        <v>JS5181</v>
      </c>
      <c r="B227" s="20" t="s">
        <v>624</v>
      </c>
      <c r="C227" s="180" t="str">
        <f>UST!C5</f>
        <v>理學Ａ組– 延伸主修人工智能</v>
      </c>
      <c r="D227" s="180" t="str">
        <f>UST!D5</f>
        <v>SSCI-A (AI)</v>
      </c>
      <c r="E227" s="180" t="str">
        <f>UST!E5</f>
        <v>英數Best3</v>
      </c>
      <c r="F227" s="184" t="s">
        <v>360</v>
      </c>
      <c r="G227" s="184" t="str">
        <f>UST!F5</f>
        <v>/</v>
      </c>
      <c r="H227" s="184" t="str">
        <f>UST!G5</f>
        <v>/</v>
      </c>
      <c r="I227" s="209">
        <f>計分版!D231</f>
        <v>3.3000000000000002E-9</v>
      </c>
      <c r="J227" s="180">
        <f>UST!K5</f>
        <v>40</v>
      </c>
      <c r="K227" s="180" t="str">
        <f>UST!U5</f>
        <v>/</v>
      </c>
      <c r="L227" s="483" t="str">
        <f>IFERROR(UST!AC5/UST!V5,"新科目")</f>
        <v>新科目</v>
      </c>
      <c r="M227" s="180">
        <f>入學要求!S214</f>
        <v>0</v>
      </c>
      <c r="O227" s="16"/>
      <c r="P227" s="16"/>
    </row>
    <row r="228" spans="1:16">
      <c r="A228" s="180" t="str">
        <f>UST!A6</f>
        <v>JS5200</v>
      </c>
      <c r="B228" s="20" t="s">
        <v>624</v>
      </c>
      <c r="C228" s="180" t="str">
        <f>UST!C6</f>
        <v>工程學</v>
      </c>
      <c r="D228" s="180" t="str">
        <f>UST!D6</f>
        <v>ENGG</v>
      </c>
      <c r="E228" s="180" t="str">
        <f>UST!E6</f>
        <v>英數Best3</v>
      </c>
      <c r="F228" s="184" t="s">
        <v>360</v>
      </c>
      <c r="G228" s="184">
        <f>UST!F6</f>
        <v>37</v>
      </c>
      <c r="H228" s="184">
        <f>UST!G6</f>
        <v>34.5</v>
      </c>
      <c r="I228" s="209">
        <f>計分版!D232</f>
        <v>2.8499999999999999E-9</v>
      </c>
      <c r="J228" s="180">
        <f>UST!K6</f>
        <v>524</v>
      </c>
      <c r="K228" s="180">
        <f>UST!U6</f>
        <v>488</v>
      </c>
      <c r="L228" s="483">
        <f>IFERROR(UST!AC6/UST!V6,"新科目")</f>
        <v>3.1195876288659794</v>
      </c>
      <c r="M228" s="180">
        <f>入學要求!S215</f>
        <v>0</v>
      </c>
      <c r="O228" s="16"/>
      <c r="P228" s="16"/>
    </row>
    <row r="229" spans="1:16">
      <c r="A229" s="180" t="str">
        <f>UST!A7</f>
        <v>JS5211</v>
      </c>
      <c r="B229" s="20" t="s">
        <v>624</v>
      </c>
      <c r="C229" s="180" t="str">
        <f>UST!C7</f>
        <v>理學士（綜合系統與設計）</v>
      </c>
      <c r="D229" s="180" t="str">
        <f>UST!D7</f>
        <v>ISDN</v>
      </c>
      <c r="E229" s="180" t="str">
        <f>UST!E7</f>
        <v>英數Best3</v>
      </c>
      <c r="F229" s="184" t="s">
        <v>360</v>
      </c>
      <c r="G229" s="184">
        <f>UST!F7</f>
        <v>39</v>
      </c>
      <c r="H229" s="184">
        <f>UST!G7</f>
        <v>37</v>
      </c>
      <c r="I229" s="209">
        <f>計分版!D233</f>
        <v>2.6999999999999998E-9</v>
      </c>
      <c r="J229" s="180">
        <f>UST!K7</f>
        <v>25</v>
      </c>
      <c r="K229" s="180">
        <f>UST!U7</f>
        <v>10</v>
      </c>
      <c r="L229" s="483">
        <f>IFERROR(UST!AC7/UST!V7,"新科目")</f>
        <v>3.1</v>
      </c>
      <c r="M229" s="180">
        <f>入學要求!S216</f>
        <v>0</v>
      </c>
      <c r="O229" s="16"/>
      <c r="P229" s="16"/>
    </row>
    <row r="230" spans="1:16">
      <c r="A230" s="180" t="str">
        <f>UST!A8</f>
        <v>JS5282</v>
      </c>
      <c r="B230" s="20" t="s">
        <v>624</v>
      </c>
      <c r="C230" s="180" t="str">
        <f>UST!C8</f>
        <v>工程學– 延伸主修人工智能</v>
      </c>
      <c r="D230" s="180" t="str">
        <f>UST!D8</f>
        <v>ENGG+AI</v>
      </c>
      <c r="E230" s="180" t="str">
        <f>UST!E8</f>
        <v>英數Best3</v>
      </c>
      <c r="F230" s="184" t="s">
        <v>360</v>
      </c>
      <c r="G230" s="184" t="str">
        <f>UST!F8</f>
        <v>/</v>
      </c>
      <c r="H230" s="184" t="str">
        <f>UST!G8</f>
        <v>/</v>
      </c>
      <c r="I230" s="209">
        <f>計分版!D234</f>
        <v>2.8499999999999999E-9</v>
      </c>
      <c r="J230" s="180">
        <f>UST!K8</f>
        <v>150</v>
      </c>
      <c r="K230" s="180" t="str">
        <f>UST!U8</f>
        <v>/</v>
      </c>
      <c r="L230" s="483" t="str">
        <f>IFERROR(UST!AC8/UST!V8,"新科目")</f>
        <v>新科目</v>
      </c>
      <c r="M230" s="180">
        <f>入學要求!S217</f>
        <v>0</v>
      </c>
      <c r="O230" s="16"/>
      <c r="P230" s="16"/>
    </row>
    <row r="231" spans="1:16">
      <c r="A231" s="180" t="str">
        <f>UST!A9</f>
        <v>JS5300</v>
      </c>
      <c r="B231" s="20" t="s">
        <v>624</v>
      </c>
      <c r="C231" s="180" t="str">
        <f>UST!C9</f>
        <v>工商管理</v>
      </c>
      <c r="D231" s="180" t="str">
        <f>UST!D9</f>
        <v>B&amp;M</v>
      </c>
      <c r="E231" s="180" t="str">
        <f>UST!E9</f>
        <v>英數Best4</v>
      </c>
      <c r="F231" s="184" t="s">
        <v>360</v>
      </c>
      <c r="G231" s="184">
        <f>UST!F9</f>
        <v>35</v>
      </c>
      <c r="H231" s="184">
        <f>UST!G9</f>
        <v>34</v>
      </c>
      <c r="I231" s="209">
        <f>計分版!D235</f>
        <v>4.0000000000000002E-9</v>
      </c>
      <c r="J231" s="180">
        <f>UST!K9</f>
        <v>385</v>
      </c>
      <c r="K231" s="180">
        <f>UST!U9</f>
        <v>295</v>
      </c>
      <c r="L231" s="483">
        <f>IFERROR(UST!AC9/UST!V9,"新科目")</f>
        <v>3.5186440677966102</v>
      </c>
      <c r="M231" s="180">
        <f>入學要求!S218</f>
        <v>0</v>
      </c>
      <c r="O231" s="16"/>
      <c r="P231" s="16"/>
    </row>
    <row r="232" spans="1:16">
      <c r="A232" s="180" t="str">
        <f>UST!A10</f>
        <v>JS5311</v>
      </c>
      <c r="B232" s="20" t="s">
        <v>624</v>
      </c>
      <c r="C232" s="180" t="str">
        <f>UST!C10</f>
        <v>工商管理學士（經濟學）</v>
      </c>
      <c r="D232" s="180" t="str">
        <f>UST!D10</f>
        <v>ECON</v>
      </c>
      <c r="E232" s="180" t="str">
        <f>UST!E10</f>
        <v>英數Best4</v>
      </c>
      <c r="F232" s="184" t="s">
        <v>360</v>
      </c>
      <c r="G232" s="184">
        <f>UST!F10</f>
        <v>37</v>
      </c>
      <c r="H232" s="184">
        <f>UST!G10</f>
        <v>35</v>
      </c>
      <c r="I232" s="209">
        <f>計分版!D236</f>
        <v>4.0000000000000002E-9</v>
      </c>
      <c r="J232" s="180">
        <f>UST!K10</f>
        <v>125</v>
      </c>
      <c r="K232" s="180">
        <f>UST!U10</f>
        <v>15</v>
      </c>
      <c r="L232" s="483">
        <f>IFERROR(UST!AC10/UST!V10,"新科目")</f>
        <v>4.333333333333333</v>
      </c>
      <c r="M232" s="180">
        <f>入學要求!S219</f>
        <v>0</v>
      </c>
      <c r="O232" s="16"/>
      <c r="P232" s="16"/>
    </row>
    <row r="233" spans="1:16">
      <c r="A233" s="180" t="str">
        <f>UST!A11</f>
        <v>JS5312</v>
      </c>
      <c r="B233" s="20" t="s">
        <v>624</v>
      </c>
      <c r="C233" s="180" t="str">
        <f>UST!C11</f>
        <v>工商管理學士（金融學）</v>
      </c>
      <c r="D233" s="180" t="str">
        <f>UST!D11</f>
        <v>FINA</v>
      </c>
      <c r="E233" s="180" t="str">
        <f>UST!E11</f>
        <v>英數Best4</v>
      </c>
      <c r="F233" s="184" t="s">
        <v>360</v>
      </c>
      <c r="G233" s="184">
        <f>UST!F11</f>
        <v>44</v>
      </c>
      <c r="H233" s="184">
        <f>UST!G11</f>
        <v>43</v>
      </c>
      <c r="I233" s="209">
        <f>計分版!D237</f>
        <v>4.1499999999999999E-9</v>
      </c>
      <c r="J233" s="180">
        <f>UST!K11</f>
        <v>30</v>
      </c>
      <c r="K233" s="180">
        <f>UST!U11</f>
        <v>45</v>
      </c>
      <c r="L233" s="483">
        <f>IFERROR(UST!AC11/UST!V11,"新科目")</f>
        <v>2.5555555555555554</v>
      </c>
      <c r="M233" s="180">
        <f>入學要求!S220</f>
        <v>0</v>
      </c>
      <c r="O233" s="16"/>
      <c r="P233" s="16"/>
    </row>
    <row r="234" spans="1:16">
      <c r="A234" s="180" t="str">
        <f>UST!A12</f>
        <v>JS5313</v>
      </c>
      <c r="B234" s="20" t="s">
        <v>624</v>
      </c>
      <c r="C234" s="180" t="str">
        <f>UST!C12</f>
        <v>工商管理學士（環球商業管理）</v>
      </c>
      <c r="D234" s="180" t="str">
        <f>UST!D12</f>
        <v>GBUS</v>
      </c>
      <c r="E234" s="180" t="str">
        <f>UST!E12</f>
        <v>英數Best4</v>
      </c>
      <c r="F234" s="184" t="s">
        <v>360</v>
      </c>
      <c r="G234" s="184">
        <f>UST!F12</f>
        <v>49</v>
      </c>
      <c r="H234" s="184">
        <f>UST!G12</f>
        <v>47</v>
      </c>
      <c r="I234" s="209">
        <f>計分版!D238</f>
        <v>4.0000000000000002E-9</v>
      </c>
      <c r="J234" s="180">
        <f>UST!K12</f>
        <v>26</v>
      </c>
      <c r="K234" s="180">
        <f>UST!U12</f>
        <v>20</v>
      </c>
      <c r="L234" s="483">
        <f>IFERROR(UST!AC12/UST!V12,"新科目")</f>
        <v>3.65</v>
      </c>
      <c r="M234" s="180">
        <f>入學要求!S221</f>
        <v>0</v>
      </c>
      <c r="O234" s="16"/>
      <c r="P234" s="16"/>
    </row>
    <row r="235" spans="1:16">
      <c r="A235" s="180" t="str">
        <f>UST!A13</f>
        <v>JS5314</v>
      </c>
      <c r="B235" s="20" t="s">
        <v>624</v>
      </c>
      <c r="C235" s="180" t="str">
        <f>UST!C13</f>
        <v>工商管理學士（資訊系統學）</v>
      </c>
      <c r="D235" s="180" t="str">
        <f>UST!D13</f>
        <v>IS</v>
      </c>
      <c r="E235" s="180" t="str">
        <f>UST!E13</f>
        <v>英數Best4</v>
      </c>
      <c r="F235" s="184" t="s">
        <v>360</v>
      </c>
      <c r="G235" s="184">
        <f>UST!F13</f>
        <v>39</v>
      </c>
      <c r="H235" s="184">
        <f>UST!G13</f>
        <v>36</v>
      </c>
      <c r="I235" s="209">
        <f>計分版!D239</f>
        <v>4.0000000000000002E-9</v>
      </c>
      <c r="J235" s="180" t="str">
        <f>UST!K13</f>
        <v>125*</v>
      </c>
      <c r="K235" s="180">
        <f>UST!U13</f>
        <v>32</v>
      </c>
      <c r="L235" s="483">
        <f>IFERROR(UST!AC13/UST!V13,"新科目")</f>
        <v>3.3125</v>
      </c>
      <c r="M235" s="180">
        <f>入學要求!S222</f>
        <v>0</v>
      </c>
      <c r="O235" s="16"/>
      <c r="P235" s="16"/>
    </row>
    <row r="236" spans="1:16">
      <c r="A236" s="180" t="str">
        <f>UST!A14</f>
        <v>JS5315</v>
      </c>
      <c r="B236" s="20" t="s">
        <v>624</v>
      </c>
      <c r="C236" s="180" t="str">
        <f>UST!C14</f>
        <v>工商管理學士（管理學）</v>
      </c>
      <c r="D236" s="180" t="str">
        <f>UST!D14</f>
        <v>MGMT</v>
      </c>
      <c r="E236" s="180" t="str">
        <f>UST!E14</f>
        <v>英數Best4</v>
      </c>
      <c r="F236" s="184" t="s">
        <v>360</v>
      </c>
      <c r="G236" s="184">
        <f>UST!F14</f>
        <v>37</v>
      </c>
      <c r="H236" s="184">
        <f>UST!G14</f>
        <v>35</v>
      </c>
      <c r="I236" s="209">
        <f>計分版!D240</f>
        <v>4.0000000000000002E-9</v>
      </c>
      <c r="J236" s="180" t="str">
        <f>UST!K13</f>
        <v>125*</v>
      </c>
      <c r="K236" s="180">
        <f>UST!U14</f>
        <v>10</v>
      </c>
      <c r="L236" s="483">
        <f>IFERROR(UST!AC14/UST!V14,"新科目")</f>
        <v>8.1999999999999993</v>
      </c>
      <c r="M236" s="180">
        <f>入學要求!S223</f>
        <v>0</v>
      </c>
      <c r="O236" s="16"/>
      <c r="P236" s="16"/>
    </row>
    <row r="237" spans="1:16">
      <c r="A237" s="180" t="str">
        <f>UST!A15</f>
        <v>JS5316</v>
      </c>
      <c r="B237" s="20" t="s">
        <v>624</v>
      </c>
      <c r="C237" s="180" t="str">
        <f>UST!C15</f>
        <v>工商管理學士（市場學）</v>
      </c>
      <c r="D237" s="180" t="str">
        <f>UST!D15</f>
        <v>MARK</v>
      </c>
      <c r="E237" s="180" t="str">
        <f>UST!E15</f>
        <v>英數Best4</v>
      </c>
      <c r="F237" s="184" t="s">
        <v>360</v>
      </c>
      <c r="G237" s="184">
        <f>UST!F15</f>
        <v>36</v>
      </c>
      <c r="H237" s="184">
        <f>UST!G15</f>
        <v>35</v>
      </c>
      <c r="I237" s="209">
        <f>計分版!D241</f>
        <v>4.0000000000000002E-9</v>
      </c>
      <c r="J237" s="180" t="str">
        <f>UST!K13</f>
        <v>125*</v>
      </c>
      <c r="K237" s="180">
        <f>UST!U15</f>
        <v>17</v>
      </c>
      <c r="L237" s="483">
        <f>IFERROR(UST!AC15/UST!V15,"新科目")</f>
        <v>7.882352941176471</v>
      </c>
      <c r="M237" s="180">
        <f>入學要求!S224</f>
        <v>0</v>
      </c>
      <c r="O237" s="16"/>
      <c r="P237" s="16"/>
    </row>
    <row r="238" spans="1:16">
      <c r="A238" s="180" t="str">
        <f>UST!A16</f>
        <v>JS5317</v>
      </c>
      <c r="B238" s="20" t="s">
        <v>624</v>
      </c>
      <c r="C238" s="180" t="str">
        <f>UST!C16</f>
        <v>工商管理學士（營運管理學）</v>
      </c>
      <c r="D238" s="180" t="str">
        <f>UST!D16</f>
        <v>OM</v>
      </c>
      <c r="E238" s="180" t="str">
        <f>UST!E16</f>
        <v>英數Best4</v>
      </c>
      <c r="F238" s="184" t="s">
        <v>360</v>
      </c>
      <c r="G238" s="184" t="str">
        <f>UST!F16</f>
        <v>/</v>
      </c>
      <c r="H238" s="184" t="str">
        <f>UST!G16</f>
        <v>/</v>
      </c>
      <c r="I238" s="209">
        <f>計分版!D242</f>
        <v>4.0000000000000002E-9</v>
      </c>
      <c r="J238" s="180" t="str">
        <f>UST!K13</f>
        <v>125*</v>
      </c>
      <c r="K238" s="180">
        <f>UST!U16</f>
        <v>3</v>
      </c>
      <c r="L238" s="483">
        <f>IFERROR(UST!AC16/UST!V16,"新科目")</f>
        <v>15</v>
      </c>
      <c r="M238" s="180">
        <f>入學要求!S225</f>
        <v>0</v>
      </c>
      <c r="O238" s="16"/>
      <c r="P238" s="16"/>
    </row>
    <row r="239" spans="1:16">
      <c r="A239" s="180" t="str">
        <f>UST!A17</f>
        <v>JS5318</v>
      </c>
      <c r="B239" s="20" t="s">
        <v>624</v>
      </c>
      <c r="C239" s="180" t="str">
        <f>UST!C17</f>
        <v>工商管理學士（專業會計學）</v>
      </c>
      <c r="D239" s="180" t="str">
        <f>UST!D17</f>
        <v>ACCT</v>
      </c>
      <c r="E239" s="180" t="str">
        <f>UST!E17</f>
        <v>英數Best4</v>
      </c>
      <c r="F239" s="184" t="s">
        <v>360</v>
      </c>
      <c r="G239" s="184">
        <f>UST!F17</f>
        <v>37</v>
      </c>
      <c r="H239" s="184">
        <f>UST!G17</f>
        <v>36</v>
      </c>
      <c r="I239" s="209">
        <f>計分版!D243</f>
        <v>4.0000000000000002E-9</v>
      </c>
      <c r="J239" s="180">
        <f>UST!K17</f>
        <v>60</v>
      </c>
      <c r="K239" s="180">
        <f>UST!U17</f>
        <v>55</v>
      </c>
      <c r="L239" s="483">
        <f>IFERROR(UST!AC17/UST!V17,"新科目")</f>
        <v>4.163636363636364</v>
      </c>
      <c r="M239" s="180">
        <f>入學要求!S226</f>
        <v>0</v>
      </c>
      <c r="O239" s="16"/>
      <c r="P239" s="16"/>
    </row>
    <row r="240" spans="1:16">
      <c r="A240" s="180" t="str">
        <f>UST!A18</f>
        <v>JS5331</v>
      </c>
      <c r="B240" s="20" t="s">
        <v>624</v>
      </c>
      <c r="C240" s="180" t="str">
        <f>UST!C18</f>
        <v>理學士（經濟及金融學）</v>
      </c>
      <c r="D240" s="180" t="str">
        <f>UST!D18</f>
        <v>ECOF</v>
      </c>
      <c r="E240" s="180" t="str">
        <f>UST!E18</f>
        <v>英數Best4</v>
      </c>
      <c r="F240" s="184" t="s">
        <v>360</v>
      </c>
      <c r="G240" s="184">
        <f>UST!F18</f>
        <v>46</v>
      </c>
      <c r="H240" s="184">
        <f>UST!G18</f>
        <v>45</v>
      </c>
      <c r="I240" s="209">
        <f>計分版!D244</f>
        <v>4.1499999999999999E-9</v>
      </c>
      <c r="J240" s="180">
        <f>UST!K18</f>
        <v>26</v>
      </c>
      <c r="K240" s="180">
        <f>UST!U18</f>
        <v>27</v>
      </c>
      <c r="L240" s="483">
        <f>IFERROR(UST!AC18/UST!V18,"新科目")</f>
        <v>2.6666666666666665</v>
      </c>
      <c r="M240" s="180">
        <f>入學要求!S227</f>
        <v>0</v>
      </c>
      <c r="O240" s="16"/>
      <c r="P240" s="16"/>
    </row>
    <row r="241" spans="1:16">
      <c r="A241" s="180" t="str">
        <f>UST!A19</f>
        <v>JS5332</v>
      </c>
      <c r="B241" s="20" t="s">
        <v>624</v>
      </c>
      <c r="C241" s="180" t="str">
        <f>UST!C19</f>
        <v>理學士（量化金融學）</v>
      </c>
      <c r="D241" s="180" t="str">
        <f>UST!D19</f>
        <v>QFIN</v>
      </c>
      <c r="E241" s="180" t="str">
        <f>UST!E19</f>
        <v>英數Best4</v>
      </c>
      <c r="F241" s="184" t="s">
        <v>360</v>
      </c>
      <c r="G241" s="184">
        <f>UST!F19</f>
        <v>52</v>
      </c>
      <c r="H241" s="184">
        <f>UST!G19</f>
        <v>51</v>
      </c>
      <c r="I241" s="209">
        <f>計分版!D245</f>
        <v>4.1499999999999999E-9</v>
      </c>
      <c r="J241" s="180">
        <f>UST!K19</f>
        <v>20</v>
      </c>
      <c r="K241" s="180">
        <f>UST!U19</f>
        <v>20</v>
      </c>
      <c r="L241" s="483">
        <f>IFERROR(UST!AC19/UST!V19,"新科目")</f>
        <v>3.4</v>
      </c>
      <c r="M241" s="180">
        <f>入學要求!S228</f>
        <v>0</v>
      </c>
      <c r="O241" s="16"/>
      <c r="P241" s="16"/>
    </row>
    <row r="242" spans="1:16">
      <c r="A242" s="180" t="str">
        <f>UST!A20</f>
        <v>JS5411</v>
      </c>
      <c r="B242" s="20" t="s">
        <v>624</v>
      </c>
      <c r="C242" s="180" t="str">
        <f>UST!C20</f>
        <v>理學士（環球中國研究）</v>
      </c>
      <c r="D242" s="180" t="str">
        <f>UST!D20</f>
        <v>GCS</v>
      </c>
      <c r="E242" s="180" t="str">
        <f>UST!E20</f>
        <v>中英Best4</v>
      </c>
      <c r="F242" s="184" t="s">
        <v>360</v>
      </c>
      <c r="G242" s="184">
        <f>UST!F20</f>
        <v>31</v>
      </c>
      <c r="H242" s="184">
        <f>UST!G20</f>
        <v>30</v>
      </c>
      <c r="I242" s="209">
        <f>計分版!D246</f>
        <v>3.5499999999999999E-9</v>
      </c>
      <c r="J242" s="180">
        <f>UST!K20</f>
        <v>50</v>
      </c>
      <c r="K242" s="180">
        <f>UST!U20</f>
        <v>42</v>
      </c>
      <c r="L242" s="483">
        <f>IFERROR(UST!AC20/UST!V20,"新科目")</f>
        <v>2.6097560975609757</v>
      </c>
      <c r="M242" s="180">
        <f>入學要求!S229</f>
        <v>0</v>
      </c>
      <c r="O242" s="16"/>
      <c r="P242" s="16"/>
    </row>
    <row r="243" spans="1:16">
      <c r="A243" s="180" t="str">
        <f>UST!A21</f>
        <v>JS5412</v>
      </c>
      <c r="B243" s="20" t="s">
        <v>624</v>
      </c>
      <c r="C243" s="180" t="str">
        <f>UST!C21</f>
        <v>理學士（定量社會數據分析）</v>
      </c>
      <c r="D243" s="180" t="str">
        <f>UST!D21</f>
        <v>QSA</v>
      </c>
      <c r="E243" s="180" t="str">
        <f>UST!E21</f>
        <v>英數Best4</v>
      </c>
      <c r="F243" s="184" t="s">
        <v>360</v>
      </c>
      <c r="G243" s="184">
        <f>UST!F21</f>
        <v>35</v>
      </c>
      <c r="H243" s="184">
        <f>UST!G21</f>
        <v>34</v>
      </c>
      <c r="I243" s="209">
        <f>計分版!D247</f>
        <v>4.1499999999999999E-9</v>
      </c>
      <c r="J243" s="180">
        <f>UST!K21</f>
        <v>28</v>
      </c>
      <c r="K243" s="180">
        <f>UST!U21</f>
        <v>18</v>
      </c>
      <c r="L243" s="483">
        <f>IFERROR(UST!AC21/UST!V21,"新科目")</f>
        <v>3.2352941176470589</v>
      </c>
      <c r="M243" s="180">
        <f>入學要求!S230</f>
        <v>0</v>
      </c>
      <c r="O243" s="16"/>
      <c r="P243" s="16"/>
    </row>
    <row r="244" spans="1:16">
      <c r="A244" s="180" t="str">
        <f>UST!A22</f>
        <v>JS5811</v>
      </c>
      <c r="B244" s="20" t="s">
        <v>624</v>
      </c>
      <c r="C244" s="180" t="str">
        <f>UST!C22</f>
        <v>理學士（生物科技及商學）</v>
      </c>
      <c r="D244" s="180" t="str">
        <f>UST!D22</f>
        <v>BIBU</v>
      </c>
      <c r="E244" s="180" t="str">
        <f>UST!E22</f>
        <v>英數Best4</v>
      </c>
      <c r="F244" s="184" t="s">
        <v>360</v>
      </c>
      <c r="G244" s="184">
        <f>UST!F22</f>
        <v>42.5</v>
      </c>
      <c r="H244" s="184">
        <f>UST!G22</f>
        <v>41.5</v>
      </c>
      <c r="I244" s="209">
        <f>計分版!D248</f>
        <v>3.4000000000000003E-9</v>
      </c>
      <c r="J244" s="180">
        <f>UST!K22</f>
        <v>26</v>
      </c>
      <c r="K244" s="180">
        <f>UST!U22</f>
        <v>19</v>
      </c>
      <c r="L244" s="483">
        <f>IFERROR(UST!AC22/UST!V22,"新科目")</f>
        <v>3.3684210526315788</v>
      </c>
      <c r="M244" s="180">
        <f>入學要求!S231</f>
        <v>0</v>
      </c>
      <c r="O244" s="16"/>
      <c r="P244" s="16"/>
    </row>
    <row r="245" spans="1:16">
      <c r="A245" s="180" t="str">
        <f>UST!A23</f>
        <v>JS5812</v>
      </c>
      <c r="B245" s="20" t="s">
        <v>624</v>
      </c>
      <c r="C245" s="180" t="str">
        <f>UST!C23</f>
        <v>理學士（環境管理及科技）</v>
      </c>
      <c r="D245" s="180" t="str">
        <f>UST!D23</f>
        <v>EVMT</v>
      </c>
      <c r="E245" s="180" t="str">
        <f>UST!E23</f>
        <v>英數Best4</v>
      </c>
      <c r="F245" s="184" t="s">
        <v>360</v>
      </c>
      <c r="G245" s="184">
        <f>UST!F23</f>
        <v>36</v>
      </c>
      <c r="H245" s="184">
        <f>UST!G23</f>
        <v>35</v>
      </c>
      <c r="I245" s="209">
        <f>計分版!D249</f>
        <v>4.0000000000000002E-9</v>
      </c>
      <c r="J245" s="180">
        <f>UST!K23</f>
        <v>15</v>
      </c>
      <c r="K245" s="180">
        <f>UST!U23</f>
        <v>13</v>
      </c>
      <c r="L245" s="483">
        <f>IFERROR(UST!AC23/UST!V23,"新科目")</f>
        <v>3.6153846153846154</v>
      </c>
      <c r="M245" s="180">
        <f>入學要求!S232</f>
        <v>0</v>
      </c>
      <c r="O245" s="16"/>
      <c r="P245" s="16"/>
    </row>
    <row r="246" spans="1:16">
      <c r="A246" s="180" t="str">
        <f>UST!A24</f>
        <v>JS5813</v>
      </c>
      <c r="B246" s="20" t="s">
        <v>624</v>
      </c>
      <c r="C246" s="180" t="str">
        <f>UST!C24</f>
        <v>理學士（數學與經濟學）</v>
      </c>
      <c r="D246" s="180" t="str">
        <f>UST!D24</f>
        <v>MAEC</v>
      </c>
      <c r="E246" s="180" t="str">
        <f>UST!E24</f>
        <v>英數Best4</v>
      </c>
      <c r="F246" s="184" t="s">
        <v>360</v>
      </c>
      <c r="G246" s="184">
        <f>UST!F24</f>
        <v>45</v>
      </c>
      <c r="H246" s="184">
        <f>UST!G24</f>
        <v>44</v>
      </c>
      <c r="I246" s="209">
        <f>計分版!D250</f>
        <v>4.4000000000000005E-9</v>
      </c>
      <c r="J246" s="180">
        <f>UST!K24</f>
        <v>15</v>
      </c>
      <c r="K246" s="180">
        <f>UST!U24</f>
        <v>15</v>
      </c>
      <c r="L246" s="483">
        <f>IFERROR(UST!AC24/UST!V24,"新科目")</f>
        <v>4.1333333333333337</v>
      </c>
      <c r="M246" s="180">
        <f>入學要求!S233</f>
        <v>0</v>
      </c>
      <c r="O246" s="16"/>
      <c r="P246" s="16"/>
    </row>
    <row r="247" spans="1:16">
      <c r="A247" s="180" t="str">
        <f>UST!A25</f>
        <v>JS5814</v>
      </c>
      <c r="B247" s="183" t="s">
        <v>624</v>
      </c>
      <c r="C247" s="180" t="str">
        <f>UST!C25</f>
        <v>理學士（風險管理及商業智能學）</v>
      </c>
      <c r="D247" s="180" t="str">
        <f>UST!D25</f>
        <v>RMBI</v>
      </c>
      <c r="E247" s="180" t="str">
        <f>UST!E25</f>
        <v>英數Best4</v>
      </c>
      <c r="F247" s="184" t="s">
        <v>360</v>
      </c>
      <c r="G247" s="184">
        <f>UST!F25</f>
        <v>45</v>
      </c>
      <c r="H247" s="184">
        <f>UST!G25</f>
        <v>44</v>
      </c>
      <c r="I247" s="209">
        <f>計分版!D251</f>
        <v>4.1499999999999999E-9</v>
      </c>
      <c r="J247" s="180">
        <f>UST!K25</f>
        <v>23</v>
      </c>
      <c r="K247" s="180">
        <f>UST!U25</f>
        <v>22</v>
      </c>
      <c r="L247" s="483">
        <f>IFERROR(UST!AC25/UST!V25,"新科目")</f>
        <v>2.8636363636363638</v>
      </c>
      <c r="M247" s="180">
        <f>入學要求!S234</f>
        <v>0</v>
      </c>
      <c r="O247" s="16"/>
      <c r="P247" s="16"/>
    </row>
    <row r="248" spans="1:16">
      <c r="A248" s="180" t="str">
        <f>UST!A26</f>
        <v>JS5901</v>
      </c>
      <c r="B248" s="183" t="s">
        <v>624</v>
      </c>
      <c r="C248" s="180" t="str">
        <f>UST!C26</f>
        <v>科技及管理學雙學位課程</v>
      </c>
      <c r="D248" s="180" t="str">
        <f>UST!D26</f>
        <v>T&amp;M-DDP</v>
      </c>
      <c r="E248" s="180" t="str">
        <f>UST!E26</f>
        <v>英數Best4</v>
      </c>
      <c r="F248" s="184" t="s">
        <v>360</v>
      </c>
      <c r="G248" s="184">
        <f>UST!F26</f>
        <v>57</v>
      </c>
      <c r="H248" s="184">
        <f>UST!G26</f>
        <v>54.5</v>
      </c>
      <c r="I248" s="209">
        <f>計分版!D252</f>
        <v>3.4499999999999999E-9</v>
      </c>
      <c r="J248" s="180">
        <f>UST!K26</f>
        <v>21</v>
      </c>
      <c r="K248" s="180">
        <f>UST!U26</f>
        <v>20</v>
      </c>
      <c r="L248" s="483">
        <f>IFERROR(UST!AC26/UST!V26,"新科目")</f>
        <v>3.2</v>
      </c>
      <c r="M248" s="180">
        <f>入學要求!S235</f>
        <v>0</v>
      </c>
      <c r="O248" s="16"/>
      <c r="P248" s="16"/>
    </row>
    <row r="249" spans="1:16">
      <c r="A249" s="180"/>
      <c r="B249" s="180"/>
      <c r="C249" s="180"/>
      <c r="D249" s="180"/>
      <c r="E249" s="65"/>
      <c r="I249" s="209"/>
      <c r="J249" s="180"/>
      <c r="M249" s="180"/>
      <c r="O249" s="16"/>
      <c r="P249" s="16"/>
    </row>
    <row r="250" spans="1:16">
      <c r="D250" s="16" t="s">
        <v>1349</v>
      </c>
      <c r="E250" s="56"/>
      <c r="F250" s="330" t="s">
        <v>368</v>
      </c>
      <c r="G250" s="330" t="s">
        <v>994</v>
      </c>
      <c r="H250" s="184" t="s">
        <v>995</v>
      </c>
      <c r="I250" s="184" t="s">
        <v>194</v>
      </c>
      <c r="O250" s="16"/>
      <c r="P250" s="16"/>
    </row>
    <row r="251" spans="1:16">
      <c r="A251" s="20" t="str">
        <f>HKU!A2</f>
        <v>JS6004</v>
      </c>
      <c r="B251" s="16" t="s">
        <v>389</v>
      </c>
      <c r="C251" s="20" t="str">
        <f>HKU!C2</f>
        <v>建築學文學士</v>
      </c>
      <c r="D251" s="16" t="str">
        <f>HKU!D2</f>
        <v>BA(AS)</v>
      </c>
      <c r="E251" s="180" t="str">
        <f>HKU!E2</f>
        <v>Best 6</v>
      </c>
      <c r="F251" s="184">
        <f>HKU!F2</f>
        <v>36</v>
      </c>
      <c r="G251" s="184">
        <f>HKU!G2</f>
        <v>35</v>
      </c>
      <c r="H251" s="184">
        <f>HKU!H2</f>
        <v>33</v>
      </c>
      <c r="I251" s="209">
        <f>計分版!D256</f>
        <v>4.450000000000001E-9</v>
      </c>
      <c r="J251" s="16">
        <f>HKU!L2</f>
        <v>53</v>
      </c>
      <c r="K251" s="180">
        <f>HKU!V2</f>
        <v>41</v>
      </c>
      <c r="L251" s="483">
        <f>IFERROR(HKU!AD2/HKU!W2,"新科目")</f>
        <v>2.6829268292682928</v>
      </c>
      <c r="M251" s="16">
        <f>入學要求!S239</f>
        <v>0</v>
      </c>
      <c r="O251" s="16"/>
      <c r="P251" s="16"/>
    </row>
    <row r="252" spans="1:16">
      <c r="A252" s="183" t="str">
        <f>HKU!A3</f>
        <v>JS6016</v>
      </c>
      <c r="B252" s="16" t="s">
        <v>389</v>
      </c>
      <c r="C252" s="183" t="str">
        <f>HKU!C3</f>
        <v>理學士(測量學)</v>
      </c>
      <c r="D252" s="180" t="str">
        <f>HKU!D3</f>
        <v xml:space="preserve">	BSC(SURV)</v>
      </c>
      <c r="E252" s="180" t="str">
        <f>HKU!E3</f>
        <v>Best 5</v>
      </c>
      <c r="F252" s="184">
        <f>HKU!F3</f>
        <v>32</v>
      </c>
      <c r="G252" s="184">
        <f>HKU!G3</f>
        <v>31</v>
      </c>
      <c r="H252" s="184">
        <f>HKU!H3</f>
        <v>29</v>
      </c>
      <c r="I252" s="209">
        <f>計分版!D257</f>
        <v>3.9500000000000006E-9</v>
      </c>
      <c r="J252" s="180">
        <f>HKU!L3</f>
        <v>43</v>
      </c>
      <c r="K252" s="180">
        <f>HKU!V3</f>
        <v>47</v>
      </c>
      <c r="L252" s="483">
        <f>IFERROR(HKU!AD3/HKU!W3,"新科目")</f>
        <v>1.8297872340425532</v>
      </c>
      <c r="M252" s="16">
        <f>入學要求!S240</f>
        <v>0</v>
      </c>
      <c r="O252" s="16"/>
      <c r="P252" s="16"/>
    </row>
    <row r="253" spans="1:16">
      <c r="A253" s="183" t="str">
        <f>HKU!A4</f>
        <v>JS6028</v>
      </c>
      <c r="B253" s="16" t="s">
        <v>389</v>
      </c>
      <c r="C253" s="183" t="str">
        <f>HKU!C4</f>
        <v>園境學文學士</v>
      </c>
      <c r="D253" s="180" t="str">
        <f>HKU!D4</f>
        <v xml:space="preserve">	BA(LS)</v>
      </c>
      <c r="E253" s="180" t="str">
        <f>HKU!E4</f>
        <v>Best 5</v>
      </c>
      <c r="F253" s="184">
        <f>HKU!F4</f>
        <v>28</v>
      </c>
      <c r="G253" s="184">
        <f>HKU!G4</f>
        <v>28</v>
      </c>
      <c r="H253" s="184">
        <f>HKU!H4</f>
        <v>28</v>
      </c>
      <c r="I253" s="209">
        <f>計分版!D258</f>
        <v>3.9500000000000006E-9</v>
      </c>
      <c r="J253" s="180">
        <f>HKU!L4</f>
        <v>12</v>
      </c>
      <c r="K253" s="180">
        <f>HKU!V4</f>
        <v>7</v>
      </c>
      <c r="L253" s="483">
        <f>IFERROR(HKU!AD4/HKU!W4,"新科目")</f>
        <v>6.4285714285714288</v>
      </c>
      <c r="M253" s="16">
        <f>入學要求!S241</f>
        <v>0</v>
      </c>
      <c r="O253" s="16"/>
      <c r="P253" s="16"/>
    </row>
    <row r="254" spans="1:16">
      <c r="A254" s="183" t="str">
        <f>HKU!A5</f>
        <v>JS6042</v>
      </c>
      <c r="B254" s="16" t="s">
        <v>389</v>
      </c>
      <c r="C254" s="183" t="str">
        <f>HKU!C5</f>
        <v>文學士(城市研究)</v>
      </c>
      <c r="D254" s="180" t="str">
        <f>HKU!D5</f>
        <v xml:space="preserve">	BA(US)</v>
      </c>
      <c r="E254" s="180" t="str">
        <f>HKU!E5</f>
        <v>Best 5</v>
      </c>
      <c r="F254" s="184">
        <f>HKU!F5</f>
        <v>31</v>
      </c>
      <c r="G254" s="184">
        <f>HKU!G5</f>
        <v>29</v>
      </c>
      <c r="H254" s="184">
        <f>HKU!H5</f>
        <v>28</v>
      </c>
      <c r="I254" s="209">
        <f>計分版!D259</f>
        <v>3.9500000000000006E-9</v>
      </c>
      <c r="J254" s="180">
        <f>HKU!L5</f>
        <v>17</v>
      </c>
      <c r="K254" s="180">
        <f>HKU!V5</f>
        <v>22</v>
      </c>
      <c r="L254" s="483">
        <f>IFERROR(HKU!AD5/HKU!W5,"新科目")</f>
        <v>3.7727272727272729</v>
      </c>
      <c r="M254" s="16">
        <f>入學要求!S242</f>
        <v>0</v>
      </c>
      <c r="O254" s="16"/>
      <c r="P254" s="16"/>
    </row>
    <row r="255" spans="1:16">
      <c r="A255" s="183" t="str">
        <f>HKU!A6</f>
        <v>JS6054</v>
      </c>
      <c r="B255" s="16" t="s">
        <v>389</v>
      </c>
      <c r="C255" s="183" t="str">
        <f>HKU!C6</f>
        <v>文學士</v>
      </c>
      <c r="D255" s="180" t="str">
        <f>HKU!D6</f>
        <v xml:space="preserve">	BA</v>
      </c>
      <c r="E255" s="180" t="str">
        <f>HKU!E6</f>
        <v>Best 5</v>
      </c>
      <c r="F255" s="184">
        <f>HKU!F6</f>
        <v>26</v>
      </c>
      <c r="G255" s="184">
        <f>HKU!G6</f>
        <v>25</v>
      </c>
      <c r="H255" s="184">
        <f>HKU!H6</f>
        <v>24</v>
      </c>
      <c r="I255" s="209">
        <f>計分版!D260</f>
        <v>3.5500000000000004E-9</v>
      </c>
      <c r="J255" s="180">
        <f>HKU!L6</f>
        <v>347</v>
      </c>
      <c r="K255" s="180">
        <f>HKU!V6</f>
        <v>311</v>
      </c>
      <c r="L255" s="483">
        <f>IFERROR(HKU!AD6/HKU!W6,"新科目")</f>
        <v>3.508038585209003</v>
      </c>
      <c r="M255" s="16">
        <f>入學要求!S243</f>
        <v>0</v>
      </c>
      <c r="O255" s="16"/>
      <c r="P255" s="16"/>
    </row>
    <row r="256" spans="1:16">
      <c r="A256" s="183" t="str">
        <f>HKU!A7</f>
        <v>JS6767</v>
      </c>
      <c r="B256" s="16" t="s">
        <v>389</v>
      </c>
      <c r="C256" s="183" t="str">
        <f>HKU!C7</f>
        <v>經濟學學士 / 經濟金融學學士</v>
      </c>
      <c r="D256" s="180" t="str">
        <f>HKU!D7</f>
        <v xml:space="preserve">	BEcon/BEcon&amp;Fin</v>
      </c>
      <c r="E256" s="180" t="str">
        <f>HKU!E7</f>
        <v>Best 6</v>
      </c>
      <c r="F256" s="184">
        <f>HKU!F7</f>
        <v>37</v>
      </c>
      <c r="G256" s="184">
        <f>HKU!G7</f>
        <v>36</v>
      </c>
      <c r="H256" s="184">
        <f>HKU!H7</f>
        <v>34</v>
      </c>
      <c r="I256" s="209">
        <f>計分版!D261</f>
        <v>3.7500000000000005E-9</v>
      </c>
      <c r="J256" s="180" t="str">
        <f>HKU!L7</f>
        <v>282*</v>
      </c>
      <c r="K256" s="180">
        <f>HKU!V7</f>
        <v>121</v>
      </c>
      <c r="L256" s="483">
        <f>IFERROR(HKU!AD7/HKU!W7,"新科目")</f>
        <v>2.9834710743801653</v>
      </c>
      <c r="M256" s="16">
        <f>入學要求!S244</f>
        <v>0</v>
      </c>
      <c r="O256" s="16"/>
      <c r="P256" s="16"/>
    </row>
    <row r="257" spans="1:19">
      <c r="A257" s="183" t="str">
        <f>HKU!A8</f>
        <v>JS6781</v>
      </c>
      <c r="B257" s="16" t="s">
        <v>389</v>
      </c>
      <c r="C257" s="183" t="str">
        <f>HKU!C8</f>
        <v>工商管理學學士 / 工商管理學學士(會計及財務)</v>
      </c>
      <c r="D257" s="180" t="str">
        <f>HKU!D8</f>
        <v xml:space="preserve">	BBA/BBA(Acc&amp;Fin)</v>
      </c>
      <c r="E257" s="180" t="str">
        <f>HKU!E8</f>
        <v>Best 6</v>
      </c>
      <c r="F257" s="184">
        <f>HKU!F8</f>
        <v>39</v>
      </c>
      <c r="G257" s="184">
        <f>HKU!G8</f>
        <v>36</v>
      </c>
      <c r="H257" s="184">
        <f>HKU!H8</f>
        <v>35</v>
      </c>
      <c r="I257" s="209">
        <f>計分版!D262</f>
        <v>4.0499999999999999E-9</v>
      </c>
      <c r="J257" s="180" t="str">
        <f>HKU!L7</f>
        <v>282*</v>
      </c>
      <c r="K257" s="180">
        <f>HKU!V8</f>
        <v>157</v>
      </c>
      <c r="L257" s="483">
        <f>IFERROR(HKU!AD8/HKU!W8,"新科目")</f>
        <v>2.7707006369426752</v>
      </c>
      <c r="M257" s="16">
        <f>入學要求!S245</f>
        <v>0</v>
      </c>
      <c r="O257" s="16"/>
      <c r="P257" s="16"/>
    </row>
    <row r="258" spans="1:19">
      <c r="A258" s="183" t="str">
        <f>HKU!A9</f>
        <v>JS6860</v>
      </c>
      <c r="B258" s="16" t="s">
        <v>389</v>
      </c>
      <c r="C258" s="183" t="str">
        <f>HKU!C9</f>
        <v>金融學學士(資產管理及私人銀行)</v>
      </c>
      <c r="D258" s="180" t="str">
        <f>HKU!D9</f>
        <v xml:space="preserve">	BFin(AMPB)</v>
      </c>
      <c r="E258" s="180" t="str">
        <f>HKU!E9</f>
        <v>Best 6</v>
      </c>
      <c r="F258" s="184">
        <f>HKU!F9</f>
        <v>45</v>
      </c>
      <c r="G258" s="184">
        <f>HKU!G9</f>
        <v>44</v>
      </c>
      <c r="H258" s="184">
        <f>HKU!H9</f>
        <v>43</v>
      </c>
      <c r="I258" s="209">
        <f>計分版!D263</f>
        <v>4.0499999999999999E-9</v>
      </c>
      <c r="J258" s="180" t="str">
        <f>HKU!L7</f>
        <v>282*</v>
      </c>
      <c r="K258" s="180">
        <f>HKU!V9</f>
        <v>24</v>
      </c>
      <c r="L258" s="483">
        <f>IFERROR(HKU!AD9/HKU!W9,"新科目")</f>
        <v>4.041666666666667</v>
      </c>
      <c r="M258" s="16">
        <f>入學要求!S246</f>
        <v>0</v>
      </c>
      <c r="O258" s="16"/>
      <c r="P258" s="16"/>
    </row>
    <row r="259" spans="1:19">
      <c r="A259" s="183" t="str">
        <f>HKU!A10</f>
        <v>JS6793</v>
      </c>
      <c r="B259" s="16" t="s">
        <v>389</v>
      </c>
      <c r="C259" s="183" t="str">
        <f>HKU!C10</f>
        <v>工商管理學學士(資訊系統)</v>
      </c>
      <c r="D259" s="180" t="str">
        <f>HKU!D10</f>
        <v xml:space="preserve">	BBA(IS)</v>
      </c>
      <c r="E259" s="180" t="str">
        <f>HKU!E10</f>
        <v>Best 6</v>
      </c>
      <c r="F259" s="184">
        <f>HKU!F10</f>
        <v>39</v>
      </c>
      <c r="G259" s="184">
        <f>HKU!G10</f>
        <v>36</v>
      </c>
      <c r="H259" s="184">
        <f>HKU!H10</f>
        <v>34</v>
      </c>
      <c r="I259" s="209">
        <f>計分版!D264</f>
        <v>3.7500000000000005E-9</v>
      </c>
      <c r="J259" s="180">
        <f>HKU!L10</f>
        <v>15</v>
      </c>
      <c r="K259" s="180">
        <f>HKU!V10</f>
        <v>22</v>
      </c>
      <c r="L259" s="483">
        <f>IFERROR(HKU!AD10/HKU!W10,"新科目")</f>
        <v>2.9090909090909092</v>
      </c>
      <c r="M259" s="16">
        <f>入學要求!S247</f>
        <v>0</v>
      </c>
      <c r="O259" s="16"/>
      <c r="P259" s="16"/>
    </row>
    <row r="260" spans="1:19">
      <c r="A260" s="183" t="str">
        <f>HKU!A11</f>
        <v>JS6808</v>
      </c>
      <c r="B260" s="16" t="s">
        <v>389</v>
      </c>
      <c r="C260" s="183" t="str">
        <f>HKU!C11</f>
        <v>工商管理學學士(法學)及法學士 (雙學位課程)</v>
      </c>
      <c r="D260" s="180" t="str">
        <f>HKU!D11</f>
        <v xml:space="preserve">	BBA(Law)&amp;LLB</v>
      </c>
      <c r="E260" s="180" t="str">
        <f>HKU!E11</f>
        <v>Best 6</v>
      </c>
      <c r="F260" s="184">
        <f>HKU!F11</f>
        <v>51</v>
      </c>
      <c r="G260" s="184">
        <f>HKU!G11</f>
        <v>47</v>
      </c>
      <c r="H260" s="184">
        <f>HKU!H11</f>
        <v>45</v>
      </c>
      <c r="I260" s="209">
        <f>計分版!D265</f>
        <v>4.0499999999999999E-9</v>
      </c>
      <c r="J260" s="180">
        <f>HKU!L11</f>
        <v>70</v>
      </c>
      <c r="K260" s="180">
        <f>HKU!V11</f>
        <v>67</v>
      </c>
      <c r="L260" s="483">
        <f>IFERROR(HKU!AD11/HKU!W11,"新科目")</f>
        <v>1.8805970149253732</v>
      </c>
      <c r="M260" s="16">
        <f>入學要求!S248</f>
        <v>0</v>
      </c>
      <c r="O260" s="16"/>
      <c r="P260" s="16"/>
      <c r="S260" s="14"/>
    </row>
    <row r="261" spans="1:19">
      <c r="A261" s="183" t="str">
        <f>HKU!A12</f>
        <v>JS6884</v>
      </c>
      <c r="B261" s="16" t="s">
        <v>389</v>
      </c>
      <c r="C261" s="183" t="str">
        <f>HKU!C12</f>
        <v>理學士(計量金融)</v>
      </c>
      <c r="D261" s="180" t="str">
        <f>HKU!D12</f>
        <v xml:space="preserve">	BSc(QFin)</v>
      </c>
      <c r="E261" s="180" t="str">
        <f>HKU!E12</f>
        <v>Best 6</v>
      </c>
      <c r="F261" s="184">
        <f>HKU!F12</f>
        <v>48</v>
      </c>
      <c r="G261" s="184">
        <f>HKU!G12</f>
        <v>46</v>
      </c>
      <c r="H261" s="184">
        <f>HKU!H12</f>
        <v>44</v>
      </c>
      <c r="I261" s="209">
        <f>計分版!D266</f>
        <v>3.7E-9</v>
      </c>
      <c r="J261" s="180">
        <f>HKU!L12</f>
        <v>25</v>
      </c>
      <c r="K261" s="180">
        <f>HKU!V12</f>
        <v>20</v>
      </c>
      <c r="L261" s="483">
        <f>IFERROR(HKU!AD12/HKU!W12,"新科目")</f>
        <v>3.25</v>
      </c>
      <c r="M261" s="16">
        <f>入學要求!S249</f>
        <v>0</v>
      </c>
      <c r="O261" s="16"/>
      <c r="P261" s="16"/>
      <c r="S261" s="14"/>
    </row>
    <row r="262" spans="1:19">
      <c r="A262" s="183" t="str">
        <f>HKU!A13</f>
        <v>JS6896</v>
      </c>
      <c r="B262" s="16" t="s">
        <v>389</v>
      </c>
      <c r="C262" s="183" t="str">
        <f>HKU!C13</f>
        <v>工商管理學學士(國際商業及環球管理)</v>
      </c>
      <c r="D262" s="180" t="str">
        <f>HKU!D13</f>
        <v>BBA(IBGM)</v>
      </c>
      <c r="E262" s="180" t="str">
        <f>HKU!E13</f>
        <v>Best 6</v>
      </c>
      <c r="F262" s="184">
        <f>HKU!F13</f>
        <v>54</v>
      </c>
      <c r="G262" s="184">
        <f>HKU!G13</f>
        <v>52</v>
      </c>
      <c r="H262" s="184">
        <f>HKU!H13</f>
        <v>51</v>
      </c>
      <c r="I262" s="209">
        <f>計分版!D267</f>
        <v>4.0499999999999999E-9</v>
      </c>
      <c r="J262" s="180">
        <f>HKU!L13</f>
        <v>31</v>
      </c>
      <c r="K262" s="180">
        <f>HKU!V13</f>
        <v>6</v>
      </c>
      <c r="L262" s="483">
        <f>IFERROR(HKU!AD13/HKU!W13,"新科目")</f>
        <v>7.833333333333333</v>
      </c>
      <c r="M262" s="16">
        <f>入學要求!S250</f>
        <v>0</v>
      </c>
      <c r="S262" s="14"/>
    </row>
    <row r="263" spans="1:19">
      <c r="A263" s="183" t="str">
        <f>HKU!A14</f>
        <v>JS6107</v>
      </c>
      <c r="B263" s="16" t="s">
        <v>389</v>
      </c>
      <c r="C263" s="183" t="str">
        <f>HKU!C14</f>
        <v>牙醫學士</v>
      </c>
      <c r="D263" s="180" t="str">
        <f>HKU!D14</f>
        <v>BDS</v>
      </c>
      <c r="E263" s="180" t="str">
        <f>HKU!E14</f>
        <v>Best 6</v>
      </c>
      <c r="F263" s="184">
        <f>HKU!F14</f>
        <v>49</v>
      </c>
      <c r="G263" s="184">
        <f>HKU!G14</f>
        <v>46</v>
      </c>
      <c r="H263" s="184">
        <f>HKU!H14</f>
        <v>45</v>
      </c>
      <c r="I263" s="209">
        <f>計分版!D268</f>
        <v>3.0999999999999996E-9</v>
      </c>
      <c r="J263" s="180">
        <f>HKU!L14</f>
        <v>80</v>
      </c>
      <c r="K263" s="180">
        <f>HKU!V14</f>
        <v>56</v>
      </c>
      <c r="L263" s="483">
        <f>IFERROR(HKU!AD14/HKU!W14,"新科目")</f>
        <v>3.7142857142857144</v>
      </c>
      <c r="M263" s="16">
        <f>入學要求!S251</f>
        <v>0</v>
      </c>
      <c r="O263" s="16"/>
      <c r="P263" s="16"/>
    </row>
    <row r="264" spans="1:19">
      <c r="A264" s="183" t="str">
        <f>HKU!A15</f>
        <v>JS6066</v>
      </c>
      <c r="B264" s="16" t="s">
        <v>389</v>
      </c>
      <c r="C264" s="183" t="str">
        <f>HKU!C15</f>
        <v>文學士及教育學士(語文教育) - 英文教育 (雙學位課程)</v>
      </c>
      <c r="D264" s="180" t="str">
        <f>HKU!D15</f>
        <v>BA&amp;BED(LangEd)-Eng</v>
      </c>
      <c r="E264" s="180" t="str">
        <f>HKU!E15</f>
        <v>Best 5</v>
      </c>
      <c r="F264" s="184">
        <f>HKU!F15</f>
        <v>33</v>
      </c>
      <c r="G264" s="184">
        <f>HKU!G15</f>
        <v>30</v>
      </c>
      <c r="H264" s="184">
        <f>HKU!H15</f>
        <v>28</v>
      </c>
      <c r="I264" s="209">
        <f>計分版!D269</f>
        <v>3.1800000000000002E-9</v>
      </c>
      <c r="J264" s="180">
        <f>HKU!L15</f>
        <v>26</v>
      </c>
      <c r="K264" s="180">
        <f>HKU!V15</f>
        <v>26</v>
      </c>
      <c r="L264" s="483">
        <f>IFERROR(HKU!AD15/HKU!W15,"新科目")</f>
        <v>9.384615384615385</v>
      </c>
      <c r="M264" s="16">
        <f>入學要求!S252</f>
        <v>0</v>
      </c>
    </row>
    <row r="265" spans="1:19">
      <c r="A265" s="183" t="str">
        <f>HKU!A16</f>
        <v>JS6080</v>
      </c>
      <c r="B265" s="16" t="s">
        <v>389</v>
      </c>
      <c r="C265" s="183" t="str">
        <f>HKU!C16</f>
        <v>文學士及教育學士(語文教育) - 中文教育 (雙學位課程)</v>
      </c>
      <c r="D265" s="180" t="str">
        <f>HKU!D16</f>
        <v xml:space="preserve">	BA&amp;BED(LangEd)-Chin</v>
      </c>
      <c r="E265" s="180" t="str">
        <f>HKU!E16</f>
        <v>Best 5</v>
      </c>
      <c r="F265" s="184">
        <f>HKU!F16</f>
        <v>33</v>
      </c>
      <c r="G265" s="184">
        <f>HKU!G16</f>
        <v>31</v>
      </c>
      <c r="H265" s="184">
        <f>HKU!H16</f>
        <v>31</v>
      </c>
      <c r="I265" s="209">
        <f>計分版!D270</f>
        <v>3.0300000000000001E-9</v>
      </c>
      <c r="J265" s="180">
        <f>HKU!L16</f>
        <v>23</v>
      </c>
      <c r="K265" s="180">
        <f>HKU!V16</f>
        <v>21</v>
      </c>
      <c r="L265" s="483">
        <f>IFERROR(HKU!AD16/HKU!W16,"新科目")</f>
        <v>5.6190476190476186</v>
      </c>
      <c r="M265" s="16">
        <f>入學要求!S253</f>
        <v>0</v>
      </c>
    </row>
    <row r="266" spans="1:19">
      <c r="A266" s="183" t="str">
        <f>HKU!A17</f>
        <v>JS6092</v>
      </c>
      <c r="B266" s="16" t="s">
        <v>389</v>
      </c>
      <c r="C266" s="183" t="str">
        <f>HKU!C17</f>
        <v>教育學士(幼兒教育及特殊教育)</v>
      </c>
      <c r="D266" s="180" t="str">
        <f>HKU!D17</f>
        <v xml:space="preserve">	BED(ECE&amp;SE)</v>
      </c>
      <c r="E266" s="180" t="str">
        <f>HKU!E17</f>
        <v>Best 5</v>
      </c>
      <c r="F266" s="184">
        <f>HKU!F17</f>
        <v>28</v>
      </c>
      <c r="G266" s="184">
        <f>HKU!G17</f>
        <v>27</v>
      </c>
      <c r="H266" s="184">
        <f>HKU!H17</f>
        <v>26</v>
      </c>
      <c r="I266" s="209">
        <f>計分版!D271</f>
        <v>2.8200000000000002E-9</v>
      </c>
      <c r="J266" s="180">
        <f>HKU!L17</f>
        <v>18</v>
      </c>
      <c r="K266" s="180">
        <f>HKU!V17</f>
        <v>19</v>
      </c>
      <c r="L266" s="483">
        <f>IFERROR(HKU!AD17/HKU!W17,"新科目")</f>
        <v>15.157894736842104</v>
      </c>
      <c r="M266" s="16">
        <f>入學要求!S254</f>
        <v>0</v>
      </c>
    </row>
    <row r="267" spans="1:19">
      <c r="A267" s="183" t="str">
        <f>HKU!A18</f>
        <v>JS6119</v>
      </c>
      <c r="B267" s="16" t="s">
        <v>389</v>
      </c>
      <c r="C267" s="183" t="str">
        <f>HKU!C18</f>
        <v>教育學士及理學士 (雙學位課程)</v>
      </c>
      <c r="D267" s="180" t="str">
        <f>HKU!D18</f>
        <v xml:space="preserve">	BED&amp;BSC</v>
      </c>
      <c r="E267" s="180" t="str">
        <f>HKU!E18</f>
        <v>Best 5</v>
      </c>
      <c r="F267" s="184">
        <f>HKU!F18</f>
        <v>56</v>
      </c>
      <c r="G267" s="184">
        <f>HKU!G18</f>
        <v>53</v>
      </c>
      <c r="H267" s="184">
        <f>HKU!H18</f>
        <v>52</v>
      </c>
      <c r="I267" s="209">
        <f>計分版!D272</f>
        <v>3.0249999999999998E-9</v>
      </c>
      <c r="J267" s="180">
        <f>HKU!L18</f>
        <v>16</v>
      </c>
      <c r="K267" s="180">
        <f>HKU!V18</f>
        <v>18</v>
      </c>
      <c r="L267" s="483">
        <f>IFERROR(HKU!AD18/HKU!W18,"新科目")</f>
        <v>5.6111111111111107</v>
      </c>
      <c r="M267" s="16">
        <f>入學要求!S255</f>
        <v>0</v>
      </c>
    </row>
    <row r="268" spans="1:19">
      <c r="A268" s="183" t="str">
        <f>HKU!A19</f>
        <v>JS6157</v>
      </c>
      <c r="B268" s="16" t="s">
        <v>389</v>
      </c>
      <c r="C268" s="183" t="str">
        <f>HKU!C19</f>
        <v>理學士(言語及聽覺科學)</v>
      </c>
      <c r="D268" s="180" t="str">
        <f>HKU!D19</f>
        <v xml:space="preserve">	BSC(SPEECH)</v>
      </c>
      <c r="E268" s="180" t="str">
        <f>HKU!E19</f>
        <v>Best 6</v>
      </c>
      <c r="F268" s="184">
        <f>HKU!F19</f>
        <v>39</v>
      </c>
      <c r="G268" s="184">
        <f>HKU!G19</f>
        <v>38</v>
      </c>
      <c r="H268" s="184">
        <f>HKU!H19</f>
        <v>36</v>
      </c>
      <c r="I268" s="209">
        <f>計分版!D273</f>
        <v>3.7E-9</v>
      </c>
      <c r="J268" s="180">
        <f>HKU!L19</f>
        <v>48</v>
      </c>
      <c r="K268" s="180">
        <f>HKU!V19</f>
        <v>50</v>
      </c>
      <c r="L268" s="483">
        <f>IFERROR(HKU!AD19/HKU!W19,"新科目")</f>
        <v>4.3600000000000003</v>
      </c>
      <c r="M268" s="16">
        <f>入學要求!S256</f>
        <v>0</v>
      </c>
    </row>
    <row r="269" spans="1:19">
      <c r="A269" s="183" t="str">
        <f>HKU!A20</f>
        <v>JS6195</v>
      </c>
      <c r="B269" s="16" t="s">
        <v>389</v>
      </c>
      <c r="C269" s="183" t="str">
        <f>HKU!C20</f>
        <v>教育學士及社會科學學士 (雙學位課程)</v>
      </c>
      <c r="D269" s="180" t="str">
        <f>HKU!D20</f>
        <v>BED&amp;BSS</v>
      </c>
      <c r="E269" s="180" t="str">
        <f>HKU!E20</f>
        <v>Best 5</v>
      </c>
      <c r="F269" s="184">
        <f>HKU!F20</f>
        <v>32</v>
      </c>
      <c r="G269" s="184">
        <f>HKU!G20</f>
        <v>31</v>
      </c>
      <c r="H269" s="184">
        <f>HKU!H20</f>
        <v>31</v>
      </c>
      <c r="I269" s="209">
        <f>計分版!D274</f>
        <v>3.9500000000000006E-9</v>
      </c>
      <c r="J269" s="180">
        <f>HKU!L20</f>
        <v>6</v>
      </c>
      <c r="K269" s="180">
        <f>HKU!V20</f>
        <v>8</v>
      </c>
      <c r="L269" s="483">
        <f>IFERROR(HKU!AD20/HKU!W20,"新科目")</f>
        <v>4.5</v>
      </c>
      <c r="M269" s="16">
        <f>入學要求!S257</f>
        <v>0</v>
      </c>
    </row>
    <row r="270" spans="1:19">
      <c r="A270" s="183" t="str">
        <f>HKU!A21</f>
        <v>JS6925</v>
      </c>
      <c r="B270" s="16" t="s">
        <v>389</v>
      </c>
      <c r="C270" s="183" t="str">
        <f>HKU!C21</f>
        <v>工學學士(生物醫學工程)</v>
      </c>
      <c r="D270" s="180" t="str">
        <f>HKU!D21</f>
        <v xml:space="preserve">	BENG(BME)</v>
      </c>
      <c r="E270" s="180" t="str">
        <f>HKU!E21</f>
        <v>Best 5</v>
      </c>
      <c r="F270" s="184">
        <f>HKU!F21</f>
        <v>31</v>
      </c>
      <c r="G270" s="184">
        <f>HKU!G21</f>
        <v>29</v>
      </c>
      <c r="H270" s="184">
        <f>HKU!H21</f>
        <v>28</v>
      </c>
      <c r="I270" s="209">
        <f>計分版!D275</f>
        <v>3.1500000000000005E-9</v>
      </c>
      <c r="J270" s="180">
        <f>HKU!L21</f>
        <v>23</v>
      </c>
      <c r="K270" s="180">
        <f>HKU!V21</f>
        <v>21</v>
      </c>
      <c r="L270" s="483">
        <f>IFERROR(HKU!AD21/HKU!W21,"新科目")</f>
        <v>3.6666666666666665</v>
      </c>
      <c r="M270" s="16">
        <f>入學要求!S258</f>
        <v>0</v>
      </c>
    </row>
    <row r="271" spans="1:19">
      <c r="A271" s="183" t="str">
        <f>HKU!A22</f>
        <v>JS6937</v>
      </c>
      <c r="B271" s="16" t="s">
        <v>389</v>
      </c>
      <c r="C271" s="183" t="str">
        <f>HKU!C22</f>
        <v>環球工程與商業課程</v>
      </c>
      <c r="D271" s="180" t="str">
        <f>HKU!D22</f>
        <v>GEBP</v>
      </c>
      <c r="E271" s="180" t="str">
        <f>HKU!E22</f>
        <v>Best 5</v>
      </c>
      <c r="F271" s="184">
        <f>HKU!F22</f>
        <v>34</v>
      </c>
      <c r="G271" s="184">
        <f>HKU!G22</f>
        <v>32</v>
      </c>
      <c r="H271" s="184">
        <f>HKU!H22</f>
        <v>31</v>
      </c>
      <c r="I271" s="209">
        <f>計分版!D276</f>
        <v>3.1500000000000005E-9</v>
      </c>
      <c r="J271" s="180">
        <f>HKU!L22</f>
        <v>14</v>
      </c>
      <c r="K271" s="180">
        <f>HKU!V22</f>
        <v>16</v>
      </c>
      <c r="L271" s="483">
        <f>IFERROR(HKU!AD22/HKU!W22,"新科目")</f>
        <v>3</v>
      </c>
      <c r="M271" s="16">
        <f>入學要求!S259</f>
        <v>0</v>
      </c>
    </row>
    <row r="272" spans="1:19">
      <c r="A272" s="183" t="str">
        <f>HKU!A23</f>
        <v>JS6951</v>
      </c>
      <c r="B272" s="16" t="s">
        <v>389</v>
      </c>
      <c r="C272" s="183" t="str">
        <f>HKU!C23</f>
        <v>工學學士(工程科學)</v>
      </c>
      <c r="D272" s="180" t="str">
        <f>HKU!D23</f>
        <v xml:space="preserve">	BENG(EngSc)</v>
      </c>
      <c r="E272" s="180" t="str">
        <f>HKU!E23</f>
        <v>Best 5</v>
      </c>
      <c r="F272" s="184">
        <f>HKU!F23</f>
        <v>28</v>
      </c>
      <c r="G272" s="184">
        <f>HKU!G23</f>
        <v>26</v>
      </c>
      <c r="H272" s="184">
        <f>HKU!H23</f>
        <v>25</v>
      </c>
      <c r="I272" s="209">
        <f>計分版!D277</f>
        <v>3.1500000000000005E-9</v>
      </c>
      <c r="J272" s="180">
        <f>HKU!L23</f>
        <v>20</v>
      </c>
      <c r="K272" s="180">
        <f>HKU!V23</f>
        <v>14</v>
      </c>
      <c r="L272" s="483">
        <f>IFERROR(HKU!AD23/HKU!W23,"新科目")</f>
        <v>6.4285714285714288</v>
      </c>
      <c r="M272" s="16">
        <f>入學要求!S260</f>
        <v>0</v>
      </c>
    </row>
    <row r="273" spans="1:16">
      <c r="A273" s="183" t="str">
        <f>HKU!A24</f>
        <v>JS6963</v>
      </c>
      <c r="B273" s="16" t="s">
        <v>389</v>
      </c>
      <c r="C273" s="183" t="str">
        <f>HKU!C24</f>
        <v>工學學士</v>
      </c>
      <c r="D273" s="180" t="str">
        <f>HKU!D24</f>
        <v xml:space="preserve">	BENG</v>
      </c>
      <c r="E273" s="180" t="str">
        <f>HKU!E24</f>
        <v>Best 5</v>
      </c>
      <c r="F273" s="184">
        <f>HKU!F24</f>
        <v>26</v>
      </c>
      <c r="G273" s="184">
        <f>HKU!G24</f>
        <v>25</v>
      </c>
      <c r="H273" s="184">
        <f>HKU!H24</f>
        <v>23</v>
      </c>
      <c r="I273" s="209">
        <f>計分版!D278</f>
        <v>3.1500000000000005E-9</v>
      </c>
      <c r="J273" s="180">
        <f>HKU!L24</f>
        <v>383</v>
      </c>
      <c r="K273" s="180">
        <f>HKU!V24</f>
        <v>325</v>
      </c>
      <c r="L273" s="483">
        <f>IFERROR(HKU!AD24/HKU!W24,"新科目")</f>
        <v>2.8390092879256965</v>
      </c>
      <c r="M273" s="16">
        <f>入學要求!S261</f>
        <v>0</v>
      </c>
    </row>
    <row r="274" spans="1:16">
      <c r="A274" s="183" t="str">
        <f>HKU!A25</f>
        <v>JS6078</v>
      </c>
      <c r="B274" s="16" t="s">
        <v>389</v>
      </c>
      <c r="C274" s="183" t="str">
        <f>HKU!C25</f>
        <v>文學士及法學士 (雙學位課程)</v>
      </c>
      <c r="D274" s="180" t="str">
        <f>HKU!D25</f>
        <v xml:space="preserve">	BA&amp;LLB</v>
      </c>
      <c r="E274" s="180" t="str">
        <f>HKU!E25</f>
        <v>Best 6</v>
      </c>
      <c r="F274" s="184">
        <f>HKU!F25</f>
        <v>44</v>
      </c>
      <c r="G274" s="184">
        <f>HKU!G25</f>
        <v>41</v>
      </c>
      <c r="H274" s="184">
        <f>HKU!H25</f>
        <v>39</v>
      </c>
      <c r="I274" s="209">
        <f>計分版!D279</f>
        <v>3.6E-9</v>
      </c>
      <c r="J274" s="180">
        <f>HKU!L25</f>
        <v>20</v>
      </c>
      <c r="K274" s="180">
        <f>HKU!V25</f>
        <v>18</v>
      </c>
      <c r="L274" s="483">
        <f>IFERROR(HKU!AD25/HKU!W25,"新科目")</f>
        <v>2.0555555555555554</v>
      </c>
      <c r="M274" s="16">
        <f>入學要求!S262</f>
        <v>0</v>
      </c>
    </row>
    <row r="275" spans="1:16">
      <c r="A275" s="183" t="str">
        <f>HKU!A26</f>
        <v>JS6406</v>
      </c>
      <c r="B275" s="16" t="s">
        <v>389</v>
      </c>
      <c r="C275" s="183" t="str">
        <f>HKU!C26</f>
        <v>法學士</v>
      </c>
      <c r="D275" s="180" t="str">
        <f>HKU!D26</f>
        <v xml:space="preserve">	LLB</v>
      </c>
      <c r="E275" s="180" t="str">
        <f>HKU!E26</f>
        <v>Best 6</v>
      </c>
      <c r="F275" s="184">
        <f>HKU!F26</f>
        <v>39</v>
      </c>
      <c r="G275" s="184">
        <f>HKU!G26</f>
        <v>38</v>
      </c>
      <c r="H275" s="184">
        <f>HKU!H26</f>
        <v>36</v>
      </c>
      <c r="I275" s="209">
        <f>計分版!D280</f>
        <v>3.6E-9</v>
      </c>
      <c r="J275" s="180">
        <f>HKU!L26</f>
        <v>98</v>
      </c>
      <c r="K275" s="180">
        <f>HKU!V26</f>
        <v>72</v>
      </c>
      <c r="L275" s="483">
        <f>IFERROR(HKU!AD26/HKU!W26,"新科目")</f>
        <v>3.267605633802817</v>
      </c>
      <c r="M275" s="16">
        <f>入學要求!S263</f>
        <v>0</v>
      </c>
    </row>
    <row r="276" spans="1:16" s="180" customFormat="1">
      <c r="A276" s="183" t="str">
        <f>HKU!A27</f>
        <v>JS6418</v>
      </c>
      <c r="B276" s="180" t="s">
        <v>389</v>
      </c>
      <c r="C276" s="183" t="str">
        <f>HKU!C27</f>
        <v>護理學學士菁英領袖培育專修組別</v>
      </c>
      <c r="D276" s="180" t="str">
        <f>HKU!D27</f>
        <v>BNURS-ALT</v>
      </c>
      <c r="E276" s="180" t="str">
        <f>HKU!E27</f>
        <v>Best 5</v>
      </c>
      <c r="F276" s="184" t="str">
        <f>HKU!F27</f>
        <v>/</v>
      </c>
      <c r="G276" s="184" t="str">
        <f>HKU!G27</f>
        <v>/</v>
      </c>
      <c r="H276" s="184" t="str">
        <f>HKU!H27</f>
        <v>/</v>
      </c>
      <c r="I276" s="209">
        <f>計分版!D281</f>
        <v>3.3999999999999998E-9</v>
      </c>
      <c r="J276" s="180">
        <f>HKU!L27</f>
        <v>15</v>
      </c>
      <c r="K276" s="180" t="str">
        <f>HKU!V27</f>
        <v>/</v>
      </c>
      <c r="L276" s="483" t="str">
        <f>IFERROR(HKU!AD27/HKU!W27,"新科目")</f>
        <v>新科目</v>
      </c>
      <c r="M276" s="180">
        <f>入學要求!S264</f>
        <v>0</v>
      </c>
      <c r="O276" s="21"/>
      <c r="P276" s="21"/>
    </row>
    <row r="277" spans="1:16">
      <c r="A277" s="183" t="str">
        <f>HKU!A28</f>
        <v>JS6456</v>
      </c>
      <c r="B277" s="16" t="s">
        <v>389</v>
      </c>
      <c r="C277" s="183" t="str">
        <f>HKU!C28</f>
        <v>內外全科醫學士</v>
      </c>
      <c r="D277" s="180" t="str">
        <f>HKU!D28</f>
        <v xml:space="preserve">	MBBS</v>
      </c>
      <c r="E277" s="180" t="str">
        <f>HKU!E28</f>
        <v>Best 6</v>
      </c>
      <c r="F277" s="184">
        <f>HKU!F28</f>
        <v>48</v>
      </c>
      <c r="G277" s="184">
        <f>HKU!G28</f>
        <v>45</v>
      </c>
      <c r="H277" s="184">
        <f>HKU!H28</f>
        <v>44</v>
      </c>
      <c r="I277" s="209">
        <f>計分版!D282</f>
        <v>3.7666666666666665E-9</v>
      </c>
      <c r="J277" s="180">
        <f>HKU!L28</f>
        <v>265</v>
      </c>
      <c r="K277" s="180">
        <f>HKU!V28</f>
        <v>150</v>
      </c>
      <c r="L277" s="483">
        <f>IFERROR(HKU!AD28/HKU!W28,"新科目")</f>
        <v>3.1733333333333333</v>
      </c>
      <c r="M277" s="16">
        <f>入學要求!S265</f>
        <v>0</v>
      </c>
    </row>
    <row r="278" spans="1:16">
      <c r="A278" s="183" t="str">
        <f>HKU!A29</f>
        <v>JS6468</v>
      </c>
      <c r="B278" s="16" t="s">
        <v>389</v>
      </c>
      <c r="C278" s="183" t="str">
        <f>HKU!C29</f>
        <v>護理學學士</v>
      </c>
      <c r="D278" s="180" t="str">
        <f>HKU!D29</f>
        <v xml:space="preserve">	BNURS</v>
      </c>
      <c r="E278" s="180" t="str">
        <f>HKU!E29</f>
        <v>Best 5</v>
      </c>
      <c r="F278" s="184">
        <f>HKU!F29</f>
        <v>26</v>
      </c>
      <c r="G278" s="184">
        <f>HKU!G29</f>
        <v>25</v>
      </c>
      <c r="H278" s="184">
        <f>HKU!H29</f>
        <v>25</v>
      </c>
      <c r="I278" s="209">
        <f>計分版!D283</f>
        <v>3.3999999999999998E-9</v>
      </c>
      <c r="J278" s="180">
        <f>HKU!L29</f>
        <v>195</v>
      </c>
      <c r="K278" s="180">
        <f>HKU!V29</f>
        <v>190</v>
      </c>
      <c r="L278" s="483">
        <f>IFERROR(HKU!AD29/HKU!W29,"新科目")</f>
        <v>5.9947368421052634</v>
      </c>
      <c r="M278" s="16">
        <f>入學要求!S266</f>
        <v>0</v>
      </c>
    </row>
    <row r="279" spans="1:16">
      <c r="A279" s="183" t="str">
        <f>HKU!A30</f>
        <v>JS6482</v>
      </c>
      <c r="B279" s="16" t="s">
        <v>389</v>
      </c>
      <c r="C279" s="183" t="str">
        <f>HKU!C30</f>
        <v>中醫全科學士</v>
      </c>
      <c r="D279" s="180" t="str">
        <f>HKU!D30</f>
        <v>BChinMed</v>
      </c>
      <c r="E279" s="180" t="str">
        <f>HKU!E30</f>
        <v>Best 5</v>
      </c>
      <c r="F279" s="184">
        <f>HKU!F30</f>
        <v>29</v>
      </c>
      <c r="G279" s="184">
        <f>HKU!G30</f>
        <v>28</v>
      </c>
      <c r="H279" s="184">
        <f>HKU!H30</f>
        <v>28</v>
      </c>
      <c r="I279" s="209">
        <f>計分版!D284</f>
        <v>3.3999999999999998E-9</v>
      </c>
      <c r="J279" s="180">
        <f>HKU!L30</f>
        <v>24</v>
      </c>
      <c r="K279" s="180">
        <f>HKU!V30</f>
        <v>19</v>
      </c>
      <c r="L279" s="483">
        <f>IFERROR(HKU!AD30/HKU!W30,"新科目")</f>
        <v>5.2352941176470589</v>
      </c>
      <c r="M279" s="16">
        <f>入學要求!S267</f>
        <v>0</v>
      </c>
    </row>
    <row r="280" spans="1:16">
      <c r="A280" s="183" t="str">
        <f>HKU!A31</f>
        <v>JS6494</v>
      </c>
      <c r="B280" s="16" t="s">
        <v>389</v>
      </c>
      <c r="C280" s="183" t="str">
        <f>HKU!C31</f>
        <v>藥劑學學士</v>
      </c>
      <c r="D280" s="180" t="str">
        <f>HKU!D31</f>
        <v>Bpharm</v>
      </c>
      <c r="E280" s="180" t="str">
        <f>HKU!E31</f>
        <v>Best 6</v>
      </c>
      <c r="F280" s="184">
        <f>HKU!F31</f>
        <v>39</v>
      </c>
      <c r="G280" s="184">
        <f>HKU!G31</f>
        <v>38</v>
      </c>
      <c r="H280" s="184">
        <f>HKU!H31</f>
        <v>36</v>
      </c>
      <c r="I280" s="209">
        <f>計分版!D285</f>
        <v>3.7666666666666665E-9</v>
      </c>
      <c r="J280" s="180">
        <f>HKU!L31</f>
        <v>30</v>
      </c>
      <c r="K280" s="180">
        <f>HKU!V31</f>
        <v>32</v>
      </c>
      <c r="L280" s="483">
        <f>IFERROR(HKU!AD31/HKU!W31,"新科目")</f>
        <v>4.59375</v>
      </c>
      <c r="M280" s="16">
        <f>入學要求!S268</f>
        <v>0</v>
      </c>
    </row>
    <row r="281" spans="1:16">
      <c r="A281" s="183" t="str">
        <f>HKU!A32</f>
        <v>JS6949</v>
      </c>
      <c r="B281" s="16" t="s">
        <v>389</v>
      </c>
      <c r="C281" s="183" t="str">
        <f>HKU!C32</f>
        <v>生物醫學學士</v>
      </c>
      <c r="D281" s="180" t="str">
        <f>HKU!D32</f>
        <v xml:space="preserve">	BBiomedSc</v>
      </c>
      <c r="E281" s="180" t="str">
        <f>HKU!E32</f>
        <v>Best 6</v>
      </c>
      <c r="F281" s="184">
        <f>HKU!F32</f>
        <v>41</v>
      </c>
      <c r="G281" s="184">
        <f>HKU!G32</f>
        <v>39</v>
      </c>
      <c r="H281" s="184">
        <f>HKU!H32</f>
        <v>39</v>
      </c>
      <c r="I281" s="209">
        <f>計分版!D286</f>
        <v>3.7666666666666665E-9</v>
      </c>
      <c r="J281" s="180">
        <f>HKU!L32</f>
        <v>35</v>
      </c>
      <c r="K281" s="180">
        <f>HKU!V32</f>
        <v>28</v>
      </c>
      <c r="L281" s="483">
        <f>IFERROR(HKU!AD32/HKU!W32,"新科目")</f>
        <v>5.7142857142857144</v>
      </c>
      <c r="M281" s="16">
        <f>入學要求!S269</f>
        <v>0</v>
      </c>
    </row>
    <row r="282" spans="1:16">
      <c r="A282" s="183" t="str">
        <f>HKU!A33</f>
        <v>JS6688</v>
      </c>
      <c r="B282" s="180" t="s">
        <v>389</v>
      </c>
      <c r="C282" s="183" t="str">
        <f>HKU!C33</f>
        <v>科研專才啟導課程</v>
      </c>
      <c r="D282" s="180" t="str">
        <f>HKU!D33</f>
        <v>SMC</v>
      </c>
      <c r="E282" s="180" t="str">
        <f>HKU!E33</f>
        <v>Best 6</v>
      </c>
      <c r="F282" s="184" t="s">
        <v>360</v>
      </c>
      <c r="G282" s="184" t="s">
        <v>360</v>
      </c>
      <c r="H282" s="184" t="s">
        <v>360</v>
      </c>
      <c r="I282" s="209">
        <f>計分版!D287</f>
        <v>3.1249999999999999E-9</v>
      </c>
      <c r="J282" s="180">
        <f>HKU!L33</f>
        <v>20</v>
      </c>
      <c r="K282" s="180" t="str">
        <f>HKU!V33</f>
        <v>/</v>
      </c>
      <c r="L282" s="483" t="str">
        <f>IFERROR(HKU!AD33/HKU!W33,"新科目")</f>
        <v>新科目</v>
      </c>
      <c r="M282" s="180">
        <f>入學要求!S270</f>
        <v>0</v>
      </c>
    </row>
    <row r="283" spans="1:16">
      <c r="A283" s="183" t="str">
        <f>HKU!A34</f>
        <v>JS6729</v>
      </c>
      <c r="B283" s="16" t="s">
        <v>389</v>
      </c>
      <c r="C283" s="183" t="str">
        <f>HKU!C34</f>
        <v>理學士(精算學)</v>
      </c>
      <c r="D283" s="180" t="str">
        <f>HKU!D34</f>
        <v xml:space="preserve">	BSC(AC)</v>
      </c>
      <c r="E283" s="180" t="str">
        <f>HKU!E34</f>
        <v>Best 6</v>
      </c>
      <c r="F283" s="184">
        <f>HKU!F34</f>
        <v>55</v>
      </c>
      <c r="G283" s="184">
        <f>HKU!G34</f>
        <v>51</v>
      </c>
      <c r="H283" s="184">
        <f>HKU!H34</f>
        <v>48</v>
      </c>
      <c r="I283" s="209">
        <f>計分版!D288</f>
        <v>4.4000000000000005E-9</v>
      </c>
      <c r="J283" s="180">
        <f>HKU!L34</f>
        <v>61</v>
      </c>
      <c r="K283" s="180">
        <f>HKU!V34</f>
        <v>62</v>
      </c>
      <c r="L283" s="483">
        <f>IFERROR(HKU!AD34/HKU!W34,"新科目")</f>
        <v>2.564516129032258</v>
      </c>
      <c r="M283" s="16">
        <f>入學要求!S271</f>
        <v>0</v>
      </c>
    </row>
    <row r="284" spans="1:16">
      <c r="A284" s="183" t="str">
        <f>HKU!A35</f>
        <v>JS6901</v>
      </c>
      <c r="B284" s="16" t="s">
        <v>389</v>
      </c>
      <c r="C284" s="183" t="str">
        <f>HKU!C35</f>
        <v>理學士</v>
      </c>
      <c r="D284" s="180" t="str">
        <f>HKU!D35</f>
        <v xml:space="preserve">	BSC</v>
      </c>
      <c r="E284" s="180" t="str">
        <f>HKU!E35</f>
        <v>Best 5</v>
      </c>
      <c r="F284" s="184">
        <f>HKU!F35</f>
        <v>46</v>
      </c>
      <c r="G284" s="184">
        <f>HKU!G35</f>
        <v>41</v>
      </c>
      <c r="H284" s="184">
        <f>HKU!H35</f>
        <v>37</v>
      </c>
      <c r="I284" s="209">
        <f>計分版!D289</f>
        <v>3.0249999999999998E-9</v>
      </c>
      <c r="J284" s="180">
        <f>HKU!L35</f>
        <v>316</v>
      </c>
      <c r="K284" s="180">
        <f>HKU!V35</f>
        <v>381</v>
      </c>
      <c r="L284" s="483">
        <f>IFERROR(HKU!AD35/HKU!W35,"新科目")</f>
        <v>3.1946666666666665</v>
      </c>
      <c r="M284" s="16">
        <f>入學要求!S272</f>
        <v>0</v>
      </c>
    </row>
    <row r="285" spans="1:16">
      <c r="A285" s="183" t="str">
        <f>HKU!A36</f>
        <v>JS6717</v>
      </c>
      <c r="B285" s="16" t="s">
        <v>389</v>
      </c>
      <c r="C285" s="183" t="str">
        <f>HKU!C36</f>
        <v>社會科學學士</v>
      </c>
      <c r="D285" s="180" t="str">
        <f>HKU!D36</f>
        <v xml:space="preserve">	BSS</v>
      </c>
      <c r="E285" s="180" t="str">
        <f>HKU!E36</f>
        <v>Best 5</v>
      </c>
      <c r="F285" s="184">
        <f>HKU!F36</f>
        <v>29</v>
      </c>
      <c r="G285" s="184">
        <f>HKU!G36</f>
        <v>28</v>
      </c>
      <c r="H285" s="184">
        <f>HKU!H36</f>
        <v>26</v>
      </c>
      <c r="I285" s="209">
        <f>計分版!D290</f>
        <v>3.9500000000000006E-9</v>
      </c>
      <c r="J285" s="180">
        <f>HKU!L36</f>
        <v>179</v>
      </c>
      <c r="K285" s="180">
        <f>HKU!V36</f>
        <v>160</v>
      </c>
      <c r="L285" s="483">
        <f>IFERROR(HKU!AD36/HKU!W36,"新科目")</f>
        <v>3.3374999999999999</v>
      </c>
      <c r="M285" s="16">
        <f>入學要求!S273</f>
        <v>0</v>
      </c>
    </row>
    <row r="286" spans="1:16">
      <c r="A286" s="183" t="str">
        <f>HKU!A37</f>
        <v>JS6731</v>
      </c>
      <c r="B286" s="16" t="s">
        <v>389</v>
      </c>
      <c r="C286" s="183" t="str">
        <f>HKU!C37</f>
        <v>社會工作學學士</v>
      </c>
      <c r="D286" s="180" t="str">
        <f>HKU!D37</f>
        <v>BSW</v>
      </c>
      <c r="E286" s="180" t="str">
        <f>HKU!E37</f>
        <v>Best 5</v>
      </c>
      <c r="F286" s="184">
        <f>HKU!F37</f>
        <v>28</v>
      </c>
      <c r="G286" s="184">
        <f>HKU!G37</f>
        <v>28</v>
      </c>
      <c r="H286" s="184">
        <f>HKU!H37</f>
        <v>26</v>
      </c>
      <c r="I286" s="209">
        <f>計分版!D291</f>
        <v>3.9500000000000006E-9</v>
      </c>
      <c r="J286" s="180">
        <f>HKU!L37</f>
        <v>35</v>
      </c>
      <c r="K286" s="180">
        <f>HKU!V37</f>
        <v>36</v>
      </c>
      <c r="L286" s="483">
        <f>IFERROR(HKU!AD37/HKU!W37,"新科目")</f>
        <v>6.6111111111111107</v>
      </c>
      <c r="M286" s="16">
        <f>入學要求!S274</f>
        <v>0</v>
      </c>
    </row>
    <row r="287" spans="1:16">
      <c r="A287" s="183" t="str">
        <f>HKU!A38</f>
        <v>JS6810</v>
      </c>
      <c r="B287" s="16" t="s">
        <v>389</v>
      </c>
      <c r="C287" s="183" t="str">
        <f>HKU!C38</f>
        <v>社會科學學士(政治學與法學)及法學士 (雙學位課程)</v>
      </c>
      <c r="D287" s="180" t="str">
        <f>HKU!D38</f>
        <v xml:space="preserve">	BSS(GL)&amp;LLB</v>
      </c>
      <c r="E287" s="180" t="str">
        <f>HKU!E38</f>
        <v>Best 6</v>
      </c>
      <c r="F287" s="184">
        <f>HKU!F38</f>
        <v>41</v>
      </c>
      <c r="G287" s="184">
        <f>HKU!G38</f>
        <v>39</v>
      </c>
      <c r="H287" s="184">
        <f>HKU!H38</f>
        <v>38</v>
      </c>
      <c r="I287" s="209">
        <f>計分版!D292</f>
        <v>3.7E-9</v>
      </c>
      <c r="J287" s="180">
        <f>HKU!L38</f>
        <v>50</v>
      </c>
      <c r="K287" s="180">
        <f>HKU!V38</f>
        <v>41</v>
      </c>
      <c r="L287" s="483">
        <f>IFERROR(HKU!AD38/HKU!W38,"新科目")</f>
        <v>2.0975609756097562</v>
      </c>
      <c r="M287" s="16">
        <f>入學要求!S275</f>
        <v>0</v>
      </c>
    </row>
    <row r="288" spans="1:16">
      <c r="A288" s="183" t="str">
        <f>HKU!A39</f>
        <v>JS6822</v>
      </c>
      <c r="B288" s="16" t="s">
        <v>389</v>
      </c>
      <c r="C288" s="183" t="str">
        <f>HKU!C39</f>
        <v>新聞學學士</v>
      </c>
      <c r="D288" s="180" t="str">
        <f>HKU!D39</f>
        <v xml:space="preserve">	BJ</v>
      </c>
      <c r="E288" s="180" t="str">
        <f>HKU!E39</f>
        <v>Best 5</v>
      </c>
      <c r="F288" s="184">
        <f>HKU!F39</f>
        <v>29</v>
      </c>
      <c r="G288" s="184">
        <f>HKU!G39</f>
        <v>28</v>
      </c>
      <c r="H288" s="184">
        <f>HKU!H39</f>
        <v>26</v>
      </c>
      <c r="I288" s="209">
        <f>計分版!D293</f>
        <v>3.9500000000000006E-9</v>
      </c>
      <c r="J288" s="180">
        <f>HKU!L39</f>
        <v>21</v>
      </c>
      <c r="K288" s="180">
        <f>HKU!V39</f>
        <v>20</v>
      </c>
      <c r="L288" s="483">
        <f>IFERROR(HKU!AD39/HKU!W39,"新科目")</f>
        <v>4.05</v>
      </c>
      <c r="M288" s="16">
        <f>入學要求!S276</f>
        <v>0</v>
      </c>
    </row>
    <row r="289" spans="1:17">
      <c r="A289" s="183" t="str">
        <f>HKU!A40</f>
        <v>JS6212</v>
      </c>
      <c r="B289" s="16" t="s">
        <v>389</v>
      </c>
      <c r="C289" s="183" t="str">
        <f>HKU!C40</f>
        <v>文理學士</v>
      </c>
      <c r="D289" s="180" t="str">
        <f>HKU!D40</f>
        <v xml:space="preserve">	BASc</v>
      </c>
      <c r="E289" s="180" t="str">
        <f>HKU!E40</f>
        <v>Best 5</v>
      </c>
      <c r="F289" s="184">
        <f>HKU!F40</f>
        <v>31</v>
      </c>
      <c r="G289" s="184">
        <f>HKU!G40</f>
        <v>31</v>
      </c>
      <c r="H289" s="184">
        <f>HKU!H40</f>
        <v>29</v>
      </c>
      <c r="I289" s="209">
        <f>計分版!D294</f>
        <v>3.9500000000000006E-9</v>
      </c>
      <c r="J289" s="180">
        <f>HKU!L40</f>
        <v>24</v>
      </c>
      <c r="K289" s="180">
        <f>HKU!V40</f>
        <v>12</v>
      </c>
      <c r="L289" s="483">
        <f>IFERROR(HKU!AD40/HKU!W40,"新科目")</f>
        <v>2.75</v>
      </c>
      <c r="M289" s="16">
        <f>入學要求!S277</f>
        <v>0</v>
      </c>
      <c r="O289" s="16"/>
      <c r="P289" s="16"/>
    </row>
    <row r="290" spans="1:17">
      <c r="A290" s="183" t="str">
        <f>HKU!A41</f>
        <v>JS6224</v>
      </c>
      <c r="B290" s="16" t="s">
        <v>389</v>
      </c>
      <c r="C290" s="183" t="str">
        <f>HKU!C41</f>
        <v>文理學士(應用人工智能)</v>
      </c>
      <c r="D290" s="180" t="str">
        <f>HKU!D41</f>
        <v>BASc(AppliedAI)</v>
      </c>
      <c r="E290" s="180" t="str">
        <f>HKU!E41</f>
        <v>Best 6</v>
      </c>
      <c r="F290" s="184">
        <f>HKU!F41</f>
        <v>74</v>
      </c>
      <c r="G290" s="184">
        <f>HKU!G41</f>
        <v>67</v>
      </c>
      <c r="H290" s="184">
        <f>HKU!H41</f>
        <v>64</v>
      </c>
      <c r="I290" s="209">
        <f>計分版!D295</f>
        <v>4.4000000000000005E-9</v>
      </c>
      <c r="J290" s="180">
        <f>HKU!L41</f>
        <v>15</v>
      </c>
      <c r="K290" s="180">
        <f>HKU!V41</f>
        <v>16</v>
      </c>
      <c r="L290" s="483">
        <f>IFERROR(HKU!AD41/HKU!W41,"新科目")</f>
        <v>4.25</v>
      </c>
      <c r="M290" s="16">
        <f>入學要求!S278</f>
        <v>0</v>
      </c>
      <c r="O290" s="16"/>
      <c r="P290" s="16"/>
    </row>
    <row r="291" spans="1:17">
      <c r="A291" s="183" t="str">
        <f>HKU!A42</f>
        <v>JS6236</v>
      </c>
      <c r="B291" s="16" t="s">
        <v>389</v>
      </c>
      <c r="C291" s="183" t="str">
        <f>HKU!C42</f>
        <v>文理學士(設計＋)</v>
      </c>
      <c r="D291" s="180" t="str">
        <f>HKU!D42</f>
        <v xml:space="preserve">	BASc(Design+)</v>
      </c>
      <c r="E291" s="180" t="str">
        <f>HKU!E42</f>
        <v>Best 6</v>
      </c>
      <c r="F291" s="184" t="str">
        <f>HKU!F42</f>
        <v>/</v>
      </c>
      <c r="G291" s="184">
        <f>HKU!G42</f>
        <v>41</v>
      </c>
      <c r="H291" s="184" t="str">
        <f>HKU!H42</f>
        <v>/</v>
      </c>
      <c r="I291" s="209">
        <f>計分版!D296</f>
        <v>4.450000000000001E-9</v>
      </c>
      <c r="J291" s="180">
        <f>HKU!L42</f>
        <v>15</v>
      </c>
      <c r="K291" s="180">
        <f>HKU!V42</f>
        <v>2</v>
      </c>
      <c r="L291" s="483">
        <f>IFERROR(HKU!AD42/HKU!W42,"新科目")</f>
        <v>24</v>
      </c>
      <c r="M291" s="16">
        <f>入學要求!S279</f>
        <v>0</v>
      </c>
      <c r="O291" s="16"/>
      <c r="P291" s="16"/>
    </row>
    <row r="292" spans="1:17">
      <c r="A292" s="183" t="str">
        <f>HKU!A43</f>
        <v>JS6248</v>
      </c>
      <c r="B292" s="16" t="s">
        <v>389</v>
      </c>
      <c r="C292" s="183" t="str">
        <f>HKU!C43</f>
        <v>文理學士(金融科技)</v>
      </c>
      <c r="D292" s="180" t="str">
        <f>HKU!D43</f>
        <v xml:space="preserve">	BASc(FinTech)</v>
      </c>
      <c r="E292" s="180" t="str">
        <f>HKU!E43</f>
        <v>Best 6</v>
      </c>
      <c r="F292" s="184">
        <f>HKU!F43</f>
        <v>39</v>
      </c>
      <c r="G292" s="184">
        <f>HKU!G43</f>
        <v>36</v>
      </c>
      <c r="H292" s="184">
        <f>HKU!H43</f>
        <v>35</v>
      </c>
      <c r="I292" s="209">
        <f>計分版!D297</f>
        <v>3.8500000000000006E-9</v>
      </c>
      <c r="J292" s="180">
        <f>HKU!L43</f>
        <v>24</v>
      </c>
      <c r="K292" s="180">
        <f>HKU!V43</f>
        <v>27</v>
      </c>
      <c r="L292" s="483">
        <f>IFERROR(HKU!AD43/HKU!W43,"新科目")</f>
        <v>2.3703703703703702</v>
      </c>
      <c r="M292" s="16">
        <f>入學要求!S280</f>
        <v>0</v>
      </c>
      <c r="O292" s="16"/>
      <c r="P292" s="16"/>
    </row>
    <row r="293" spans="1:17">
      <c r="A293" s="183" t="str">
        <f>HKU!A44</f>
        <v>JS6250</v>
      </c>
      <c r="B293" s="16" t="s">
        <v>389</v>
      </c>
      <c r="C293" s="183" t="str">
        <f>HKU!C44</f>
        <v>文理學士(環球衞生及發展)</v>
      </c>
      <c r="D293" s="180" t="str">
        <f>HKU!D44</f>
        <v xml:space="preserve">	BASc(GHD)</v>
      </c>
      <c r="E293" s="180" t="str">
        <f>HKU!E44</f>
        <v>Best 5</v>
      </c>
      <c r="F293" s="184">
        <f>HKU!F44</f>
        <v>31</v>
      </c>
      <c r="G293" s="184">
        <f>HKU!G44</f>
        <v>31</v>
      </c>
      <c r="H293" s="184">
        <f>HKU!H44</f>
        <v>29</v>
      </c>
      <c r="I293" s="209">
        <f>計分版!D298</f>
        <v>3.9500000000000006E-9</v>
      </c>
      <c r="J293" s="180">
        <f>HKU!L44</f>
        <v>20</v>
      </c>
      <c r="K293" s="180">
        <f>HKU!V44</f>
        <v>15</v>
      </c>
      <c r="L293" s="483">
        <f>IFERROR(HKU!AD44/HKU!W44,"新科目")</f>
        <v>2.6</v>
      </c>
      <c r="M293" s="16">
        <f>入學要求!S281</f>
        <v>0</v>
      </c>
      <c r="O293" s="16"/>
      <c r="P293" s="16"/>
    </row>
    <row r="294" spans="1:17">
      <c r="D294" s="16"/>
      <c r="E294" s="56"/>
      <c r="I294" s="209"/>
      <c r="O294" s="16"/>
      <c r="P294" s="16"/>
    </row>
    <row r="295" spans="1:17">
      <c r="B295" s="20"/>
      <c r="C295" s="20"/>
      <c r="D295" s="16"/>
      <c r="E295" s="65"/>
      <c r="F295" s="329" t="s">
        <v>368</v>
      </c>
      <c r="G295" s="329" t="s">
        <v>994</v>
      </c>
      <c r="H295" s="329" t="s">
        <v>995</v>
      </c>
      <c r="I295" s="209" t="str">
        <f>計分版!D300</f>
        <v>總分</v>
      </c>
      <c r="O295" s="16"/>
      <c r="P295" s="16"/>
    </row>
    <row r="296" spans="1:17">
      <c r="A296" s="20" t="str">
        <f>LingU!A2</f>
        <v>JS7101</v>
      </c>
      <c r="B296" s="20" t="s">
        <v>891</v>
      </c>
      <c r="C296" s="183" t="str">
        <f>LingU!C2</f>
        <v>中文(榮譽)文學士</v>
      </c>
      <c r="D296" s="183" t="str">
        <f>LingU!D2</f>
        <v>BA (Hons) Chinese</v>
      </c>
      <c r="E296" s="183" t="str">
        <f>LingU!E2</f>
        <v>Best 5</v>
      </c>
      <c r="F296" s="184" t="s">
        <v>360</v>
      </c>
      <c r="G296" s="184">
        <f>LingU!F2</f>
        <v>26.5</v>
      </c>
      <c r="H296" s="184">
        <f>LingU!G2</f>
        <v>26</v>
      </c>
      <c r="I296" s="209">
        <f>計分版!D301</f>
        <v>3.9500000000000006E-9</v>
      </c>
      <c r="J296" s="16">
        <f>LingU!K2</f>
        <v>45</v>
      </c>
      <c r="K296" s="180">
        <f>LingU!T2</f>
        <v>50</v>
      </c>
      <c r="L296" s="483">
        <f>IFERROR(LingU!AB2/LingU!U2,"新科目")</f>
        <v>8.6666666666666661</v>
      </c>
      <c r="M296" s="16">
        <f>入學要求!S285</f>
        <v>0</v>
      </c>
      <c r="O296" s="16"/>
      <c r="P296" s="16"/>
    </row>
    <row r="297" spans="1:17">
      <c r="A297" s="183" t="str">
        <f>LingU!A3</f>
        <v>JS7123</v>
      </c>
      <c r="B297" s="20" t="s">
        <v>891</v>
      </c>
      <c r="C297" s="183" t="str">
        <f>LingU!C3</f>
        <v>環球博雅教育(榮譽)文學士</v>
      </c>
      <c r="D297" s="183" t="str">
        <f>LingU!D3</f>
        <v>BA (Hons) GLA</v>
      </c>
      <c r="E297" s="183" t="str">
        <f>LingU!E3</f>
        <v>Best 5</v>
      </c>
      <c r="F297" s="184" t="s">
        <v>360</v>
      </c>
      <c r="G297" s="184">
        <f>LingU!F3</f>
        <v>25</v>
      </c>
      <c r="H297" s="184">
        <f>LingU!G3</f>
        <v>24</v>
      </c>
      <c r="I297" s="209">
        <f>計分版!D302</f>
        <v>3.9500000000000006E-9</v>
      </c>
      <c r="J297" s="180">
        <f>LingU!K3</f>
        <v>15</v>
      </c>
      <c r="K297" s="180">
        <f>LingU!T3</f>
        <v>18</v>
      </c>
      <c r="L297" s="483">
        <f>IFERROR(LingU!AB3/LingU!U3,"新科目")</f>
        <v>24.166666666666668</v>
      </c>
      <c r="M297" s="16">
        <f>入學要求!S286</f>
        <v>0</v>
      </c>
      <c r="O297" s="16"/>
      <c r="P297" s="16"/>
    </row>
    <row r="298" spans="1:17">
      <c r="A298" s="183" t="str">
        <f>LingU!A4</f>
        <v>JS7200</v>
      </c>
      <c r="B298" s="20" t="s">
        <v>891</v>
      </c>
      <c r="C298" s="183" t="str">
        <f>LingU!C4</f>
        <v>工商管理(榮譽)學士</v>
      </c>
      <c r="D298" s="183" t="str">
        <f>LingU!D4</f>
        <v>BBA (Hons)</v>
      </c>
      <c r="E298" s="183" t="str">
        <f>LingU!E4</f>
        <v>Best 5</v>
      </c>
      <c r="F298" s="184" t="s">
        <v>360</v>
      </c>
      <c r="G298" s="184">
        <f>LingU!F4</f>
        <v>24.5</v>
      </c>
      <c r="H298" s="184">
        <f>LingU!G4</f>
        <v>24</v>
      </c>
      <c r="I298" s="209">
        <f>計分版!D303</f>
        <v>3.9500000000000006E-9</v>
      </c>
      <c r="J298" s="180">
        <f>LingU!K4</f>
        <v>144</v>
      </c>
      <c r="K298" s="180">
        <f>LingU!T4</f>
        <v>189</v>
      </c>
      <c r="L298" s="483">
        <f>IFERROR(LingU!AB4/LingU!U4,"新科目")</f>
        <v>7.052173913043478</v>
      </c>
      <c r="M298" s="16">
        <f>入學要求!S287</f>
        <v>0</v>
      </c>
      <c r="O298" s="16"/>
      <c r="P298" s="16"/>
    </row>
    <row r="299" spans="1:17">
      <c r="A299" s="183" t="str">
        <f>LingU!A5</f>
        <v>JS7204</v>
      </c>
      <c r="B299" s="20" t="s">
        <v>891</v>
      </c>
      <c r="C299" s="183" t="str">
        <f>LingU!C5</f>
        <v>翻譯(榮譽)文學士</v>
      </c>
      <c r="D299" s="183" t="str">
        <f>LingU!D5</f>
        <v>BA (Hons) Translation</v>
      </c>
      <c r="E299" s="183" t="str">
        <f>LingU!E5</f>
        <v>Best 5</v>
      </c>
      <c r="F299" s="184" t="s">
        <v>360</v>
      </c>
      <c r="G299" s="184">
        <f>LingU!F5</f>
        <v>26.5</v>
      </c>
      <c r="H299" s="184">
        <f>LingU!G5</f>
        <v>26</v>
      </c>
      <c r="I299" s="209">
        <f>計分版!D304</f>
        <v>3.9500000000000006E-9</v>
      </c>
      <c r="J299" s="180">
        <f>LingU!K5</f>
        <v>43</v>
      </c>
      <c r="K299" s="180">
        <f>LingU!T5</f>
        <v>37</v>
      </c>
      <c r="L299" s="483">
        <f>IFERROR(LingU!AB5/LingU!U5,"新科目")</f>
        <v>7.7037037037037033</v>
      </c>
      <c r="M299" s="16">
        <f>入學要求!S288</f>
        <v>0</v>
      </c>
      <c r="O299" s="16"/>
      <c r="P299" s="16"/>
    </row>
    <row r="300" spans="1:17">
      <c r="A300" s="183" t="str">
        <f>LingU!A6</f>
        <v>JS7216</v>
      </c>
      <c r="B300" s="20" t="s">
        <v>891</v>
      </c>
      <c r="C300" s="183" t="str">
        <f>LingU!C6</f>
        <v>工商管理(榮譽)學士 - 風險及 保險管理</v>
      </c>
      <c r="D300" s="183" t="str">
        <f>LingU!D6</f>
        <v>BBA (Hons) - RIM</v>
      </c>
      <c r="E300" s="183" t="str">
        <f>LingU!E6</f>
        <v>Best 5</v>
      </c>
      <c r="F300" s="184" t="s">
        <v>360</v>
      </c>
      <c r="G300" s="184">
        <f>LingU!F6</f>
        <v>24</v>
      </c>
      <c r="H300" s="184">
        <f>LingU!G6</f>
        <v>23.5</v>
      </c>
      <c r="I300" s="209">
        <f>計分版!D305</f>
        <v>3.9500000000000006E-9</v>
      </c>
      <c r="J300" s="180">
        <f>LingU!K6</f>
        <v>25</v>
      </c>
      <c r="K300" s="180">
        <f>LingU!T6</f>
        <v>36</v>
      </c>
      <c r="L300" s="483">
        <f>IFERROR(LingU!AB6/LingU!U6,"新科目")</f>
        <v>11.277777777777779</v>
      </c>
      <c r="M300" s="16">
        <f>入學要求!S289</f>
        <v>0</v>
      </c>
      <c r="O300" s="16"/>
      <c r="P300" s="16"/>
    </row>
    <row r="301" spans="1:17">
      <c r="A301" s="183" t="str">
        <f>LingU!A7</f>
        <v>JS7225</v>
      </c>
      <c r="B301" s="20" t="s">
        <v>891</v>
      </c>
      <c r="C301" s="183" t="str">
        <f>LingU!C7</f>
        <v>數據科學(榮譽)理學士</v>
      </c>
      <c r="D301" s="183" t="str">
        <f>LingU!D7</f>
        <v>BSc (Hons) Data Science</v>
      </c>
      <c r="E301" s="183" t="str">
        <f>LingU!E7</f>
        <v>Best 5</v>
      </c>
      <c r="F301" s="184" t="s">
        <v>360</v>
      </c>
      <c r="G301" s="184">
        <f>LingU!F7</f>
        <v>29</v>
      </c>
      <c r="H301" s="184">
        <f>LingU!G7</f>
        <v>28</v>
      </c>
      <c r="I301" s="209">
        <f>計分版!D306</f>
        <v>3.9500000000000006E-9</v>
      </c>
      <c r="J301" s="180">
        <f>LingU!K7</f>
        <v>25</v>
      </c>
      <c r="K301" s="180">
        <f>LingU!T7</f>
        <v>26</v>
      </c>
      <c r="L301" s="483">
        <f>IFERROR(LingU!AB7/LingU!U7,"新科目")</f>
        <v>8.4499999999999993</v>
      </c>
      <c r="M301" s="16">
        <f>入學要求!S290</f>
        <v>0</v>
      </c>
      <c r="O301" s="16"/>
      <c r="P301" s="16"/>
    </row>
    <row r="302" spans="1:17">
      <c r="A302" s="183" t="str">
        <f>LingU!A8</f>
        <v>JS7300</v>
      </c>
      <c r="B302" s="20" t="s">
        <v>891</v>
      </c>
      <c r="C302" s="183" t="str">
        <f>LingU!C8</f>
        <v>社會科學(榮譽)學士</v>
      </c>
      <c r="D302" s="183" t="str">
        <f>LingU!D8</f>
        <v>BSocSc (Hons)</v>
      </c>
      <c r="E302" s="183" t="str">
        <f>LingU!E8</f>
        <v>Best 5</v>
      </c>
      <c r="F302" s="184" t="s">
        <v>360</v>
      </c>
      <c r="G302" s="184">
        <f>LingU!F8</f>
        <v>26.5</v>
      </c>
      <c r="H302" s="184">
        <f>LingU!G8</f>
        <v>25.5</v>
      </c>
      <c r="I302" s="209">
        <f>計分版!D307</f>
        <v>3.9500000000000006E-9</v>
      </c>
      <c r="J302" s="180">
        <f>LingU!K8</f>
        <v>98</v>
      </c>
      <c r="K302" s="180">
        <f>LingU!T8</f>
        <v>132</v>
      </c>
      <c r="L302" s="483">
        <f>IFERROR(LingU!AB8/LingU!U8,"新科目")</f>
        <v>7.64</v>
      </c>
      <c r="M302" s="16">
        <f>入學要求!S291</f>
        <v>0</v>
      </c>
    </row>
    <row r="303" spans="1:17">
      <c r="A303" s="183" t="str">
        <f>LingU!A9</f>
        <v>JS7503</v>
      </c>
      <c r="B303" s="20" t="s">
        <v>891</v>
      </c>
      <c r="C303" s="183" t="str">
        <f>LingU!C9</f>
        <v>當代英語語言文學課程(榮譽) 文學士</v>
      </c>
      <c r="D303" s="183" t="str">
        <f>LingU!D9</f>
        <v>BA (Hons) Contem English</v>
      </c>
      <c r="E303" s="183" t="str">
        <f>LingU!E9</f>
        <v>Best 5</v>
      </c>
      <c r="F303" s="184" t="s">
        <v>360</v>
      </c>
      <c r="G303" s="184">
        <f>LingU!F9</f>
        <v>25.5</v>
      </c>
      <c r="H303" s="184">
        <f>LingU!G9</f>
        <v>25</v>
      </c>
      <c r="I303" s="209">
        <f>計分版!D308</f>
        <v>3.9500000000000006E-9</v>
      </c>
      <c r="J303" s="180">
        <f>LingU!K9</f>
        <v>29</v>
      </c>
      <c r="K303" s="180">
        <f>LingU!T9</f>
        <v>22</v>
      </c>
      <c r="L303" s="483">
        <f>IFERROR(LingU!AB9/LingU!U9,"新科目")</f>
        <v>6.7857142857142856</v>
      </c>
      <c r="M303" s="16">
        <f>入學要求!S292</f>
        <v>0</v>
      </c>
      <c r="O303" s="20"/>
      <c r="P303" s="20"/>
      <c r="Q303" s="20"/>
    </row>
    <row r="304" spans="1:17">
      <c r="A304" s="183" t="str">
        <f>LingU!A10</f>
        <v>JS7606</v>
      </c>
      <c r="B304" s="20" t="s">
        <v>891</v>
      </c>
      <c r="C304" s="183" t="str">
        <f>LingU!C10</f>
        <v>文化研究(榮譽)文學士</v>
      </c>
      <c r="D304" s="183" t="str">
        <f>LingU!D10</f>
        <v>BA (Hons) Cultural Stud</v>
      </c>
      <c r="E304" s="183" t="str">
        <f>LingU!E10</f>
        <v>Best 5</v>
      </c>
      <c r="F304" s="184" t="s">
        <v>360</v>
      </c>
      <c r="G304" s="184">
        <f>LingU!F10</f>
        <v>26</v>
      </c>
      <c r="H304" s="184">
        <f>LingU!G10</f>
        <v>25</v>
      </c>
      <c r="I304" s="209">
        <f>計分版!D309</f>
        <v>3.9500000000000006E-9</v>
      </c>
      <c r="J304" s="180">
        <f>LingU!K10</f>
        <v>25</v>
      </c>
      <c r="K304" s="180">
        <f>LingU!T10</f>
        <v>26</v>
      </c>
      <c r="L304" s="483">
        <f>IFERROR(LingU!AB10/LingU!U10,"新科目")</f>
        <v>14.428571428571429</v>
      </c>
      <c r="M304" s="16">
        <f>入學要求!S293</f>
        <v>0</v>
      </c>
      <c r="O304" s="16"/>
      <c r="P304" s="16"/>
    </row>
    <row r="305" spans="1:16">
      <c r="A305" s="183" t="str">
        <f>LingU!A11</f>
        <v>JS7709</v>
      </c>
      <c r="B305" s="20" t="s">
        <v>891</v>
      </c>
      <c r="C305" s="183" t="str">
        <f>LingU!C11</f>
        <v>歷史(榮譽)文學士</v>
      </c>
      <c r="D305" s="183" t="str">
        <f>LingU!D11</f>
        <v>BA (Hons) History</v>
      </c>
      <c r="E305" s="183" t="str">
        <f>LingU!E11</f>
        <v>Best 5</v>
      </c>
      <c r="F305" s="184" t="s">
        <v>360</v>
      </c>
      <c r="G305" s="184">
        <f>LingU!F11</f>
        <v>26</v>
      </c>
      <c r="H305" s="184">
        <f>LingU!G11</f>
        <v>25.6</v>
      </c>
      <c r="I305" s="209">
        <f>計分版!D310</f>
        <v>3.9500000000000006E-9</v>
      </c>
      <c r="J305" s="180">
        <f>LingU!K11</f>
        <v>30</v>
      </c>
      <c r="K305" s="180">
        <f>LingU!T11</f>
        <v>35</v>
      </c>
      <c r="L305" s="483">
        <f>IFERROR(LingU!AB11/LingU!U11,"新科目")</f>
        <v>11.821428571428571</v>
      </c>
      <c r="M305" s="16">
        <f>入學要求!S294</f>
        <v>0</v>
      </c>
      <c r="O305" s="16"/>
      <c r="P305" s="16"/>
    </row>
    <row r="306" spans="1:16">
      <c r="A306" s="183" t="str">
        <f>LingU!A12</f>
        <v>JS7802</v>
      </c>
      <c r="B306" s="20" t="s">
        <v>891</v>
      </c>
      <c r="C306" s="183" t="str">
        <f>LingU!C12</f>
        <v>哲學(榮譽)文學士</v>
      </c>
      <c r="D306" s="183" t="str">
        <f>LingU!D12</f>
        <v>BA (Hons) Philosophy</v>
      </c>
      <c r="E306" s="183" t="str">
        <f>LingU!E12</f>
        <v>Best 5</v>
      </c>
      <c r="F306" s="184" t="s">
        <v>360</v>
      </c>
      <c r="G306" s="184">
        <f>LingU!F12</f>
        <v>26</v>
      </c>
      <c r="H306" s="184">
        <f>LingU!G12</f>
        <v>26</v>
      </c>
      <c r="I306" s="209">
        <f>計分版!D311</f>
        <v>3.9500000000000006E-9</v>
      </c>
      <c r="J306" s="180">
        <f>LingU!K12</f>
        <v>29</v>
      </c>
      <c r="K306" s="180">
        <f>LingU!T12</f>
        <v>33</v>
      </c>
      <c r="L306" s="483">
        <f>IFERROR(LingU!AB12/LingU!U12,"新科目")</f>
        <v>19.46153846153846</v>
      </c>
      <c r="M306" s="16">
        <f>入學要求!S295</f>
        <v>0</v>
      </c>
      <c r="O306" s="16"/>
      <c r="P306" s="16"/>
    </row>
    <row r="307" spans="1:16">
      <c r="A307" s="183" t="str">
        <f>LingU!A13</f>
        <v>JS7905</v>
      </c>
      <c r="B307" s="20" t="s">
        <v>891</v>
      </c>
      <c r="C307" s="183" t="str">
        <f>LingU!C13</f>
        <v>視覺研究(榮譽)文學士</v>
      </c>
      <c r="D307" s="183" t="str">
        <f>LingU!D13</f>
        <v>BA (Hons) Visual Studies</v>
      </c>
      <c r="E307" s="183" t="str">
        <f>LingU!E13</f>
        <v>Best 5</v>
      </c>
      <c r="F307" s="184" t="s">
        <v>360</v>
      </c>
      <c r="G307" s="184">
        <f>LingU!F13</f>
        <v>24</v>
      </c>
      <c r="H307" s="184">
        <f>LingU!G13</f>
        <v>24</v>
      </c>
      <c r="I307" s="209">
        <f>計分版!D312</f>
        <v>3.9500000000000006E-9</v>
      </c>
      <c r="J307" s="180">
        <f>LingU!K13</f>
        <v>29</v>
      </c>
      <c r="K307" s="180">
        <f>LingU!T13</f>
        <v>28</v>
      </c>
      <c r="L307" s="483">
        <f>IFERROR(LingU!AB13/LingU!U13,"新科目")</f>
        <v>10.384615384615385</v>
      </c>
      <c r="M307" s="16">
        <f>入學要求!S296</f>
        <v>0</v>
      </c>
      <c r="O307" s="16"/>
      <c r="P307" s="16"/>
    </row>
    <row r="308" spans="1:16">
      <c r="D308" s="16"/>
      <c r="E308" s="56"/>
      <c r="O308" s="16"/>
      <c r="P308" s="16"/>
    </row>
    <row r="309" spans="1:16">
      <c r="D309" s="16"/>
      <c r="E309" s="56"/>
      <c r="F309" s="329" t="s">
        <v>368</v>
      </c>
      <c r="G309" s="329" t="s">
        <v>776</v>
      </c>
      <c r="H309" s="329" t="s">
        <v>995</v>
      </c>
      <c r="I309" s="209" t="str">
        <f>計分版!D314</f>
        <v>總分</v>
      </c>
      <c r="O309" s="16"/>
      <c r="P309" s="16"/>
    </row>
    <row r="310" spans="1:16">
      <c r="A310" s="16" t="str">
        <f>EdUHK!A2</f>
        <v>JS8105</v>
      </c>
      <c r="B310" s="16" t="s">
        <v>997</v>
      </c>
      <c r="C310" s="180" t="str">
        <f>EdUHK!C2</f>
        <v>中國語文教育榮譽學士</v>
      </c>
      <c r="D310" s="180" t="str">
        <f>EdUHK!D2</f>
        <v>BEd(CHI)</v>
      </c>
      <c r="E310" s="180" t="str">
        <f>EdUHK!E2</f>
        <v>Best 5</v>
      </c>
      <c r="F310" s="184" t="s">
        <v>360</v>
      </c>
      <c r="G310" s="184">
        <f>EdUHK!F2</f>
        <v>22</v>
      </c>
      <c r="H310" s="184" t="s">
        <v>360</v>
      </c>
      <c r="I310" s="209">
        <f>計分版!D315</f>
        <v>3.9500000000000006E-9</v>
      </c>
      <c r="J310" s="16">
        <f>EdUHK!J2</f>
        <v>82</v>
      </c>
      <c r="K310" s="180">
        <f>EdUHK!S2</f>
        <v>61</v>
      </c>
      <c r="L310" s="483">
        <f>IFERROR(EdUHK!AA2/EdUHK!T2,"新科目")</f>
        <v>10.672413793103448</v>
      </c>
      <c r="M310" s="16">
        <f>入學要求!S300</f>
        <v>0</v>
      </c>
      <c r="O310" s="16"/>
      <c r="P310" s="16"/>
    </row>
    <row r="311" spans="1:16">
      <c r="A311" s="180" t="str">
        <f>EdUHK!A3</f>
        <v>JS8222</v>
      </c>
      <c r="B311" s="16" t="s">
        <v>997</v>
      </c>
      <c r="C311" s="180" t="str">
        <f>EdUHK!C3</f>
        <v>英國語文教育榮譽學士 — 小學</v>
      </c>
      <c r="D311" s="180" t="str">
        <f>EdUHK!D3</f>
        <v>BEd(ENG)-Pri</v>
      </c>
      <c r="E311" s="180" t="str">
        <f>EdUHK!E3</f>
        <v>Best 5</v>
      </c>
      <c r="F311" s="184" t="s">
        <v>360</v>
      </c>
      <c r="G311" s="184">
        <f>EdUHK!F3</f>
        <v>20</v>
      </c>
      <c r="H311" s="184" t="s">
        <v>360</v>
      </c>
      <c r="I311" s="209">
        <f>計分版!D316</f>
        <v>3.9500000000000006E-9</v>
      </c>
      <c r="J311" s="180">
        <f>EdUHK!J3</f>
        <v>20</v>
      </c>
      <c r="K311" s="180">
        <f>EdUHK!S3</f>
        <v>20</v>
      </c>
      <c r="L311" s="483">
        <f>IFERROR(EdUHK!AA3/EdUHK!T3,"新科目")</f>
        <v>13</v>
      </c>
      <c r="M311" s="180">
        <f>入學要求!S301</f>
        <v>0</v>
      </c>
      <c r="O311" s="16"/>
      <c r="P311" s="16"/>
    </row>
    <row r="312" spans="1:16">
      <c r="A312" s="180" t="str">
        <f>EdUHK!A4</f>
        <v>JS8234</v>
      </c>
      <c r="B312" s="16" t="s">
        <v>997</v>
      </c>
      <c r="C312" s="180" t="str">
        <f>EdUHK!C4</f>
        <v>小學教育榮譽學士 - 常識</v>
      </c>
      <c r="D312" s="180" t="str">
        <f>EdUHK!D4</f>
        <v>BEd(P)-GS</v>
      </c>
      <c r="E312" s="180" t="str">
        <f>EdUHK!E4</f>
        <v>Best 5</v>
      </c>
      <c r="F312" s="184" t="s">
        <v>360</v>
      </c>
      <c r="G312" s="184">
        <f>EdUHK!F4</f>
        <v>20</v>
      </c>
      <c r="H312" s="184" t="s">
        <v>360</v>
      </c>
      <c r="I312" s="209">
        <f>計分版!D317</f>
        <v>3.9500000000000006E-9</v>
      </c>
      <c r="J312" s="180">
        <f>EdUHK!J4</f>
        <v>45</v>
      </c>
      <c r="K312" s="180">
        <f>EdUHK!S4</f>
        <v>40</v>
      </c>
      <c r="L312" s="483">
        <f>IFERROR(EdUHK!AA4/EdUHK!T4,"新科目")</f>
        <v>20.333333333333332</v>
      </c>
      <c r="M312" s="180">
        <f>入學要求!S302</f>
        <v>0</v>
      </c>
      <c r="O312" s="16"/>
      <c r="P312" s="16"/>
    </row>
    <row r="313" spans="1:16">
      <c r="A313" s="180" t="str">
        <f>EdUHK!A5</f>
        <v>JS8246</v>
      </c>
      <c r="B313" s="16" t="s">
        <v>997</v>
      </c>
      <c r="C313" s="180" t="str">
        <f>EdUHK!C5</f>
        <v>小學教育榮譽學士 - 數學</v>
      </c>
      <c r="D313" s="180" t="str">
        <f>EdUHK!D5</f>
        <v>BEd(P)-MA</v>
      </c>
      <c r="E313" s="180" t="str">
        <f>EdUHK!E5</f>
        <v>Best 5</v>
      </c>
      <c r="F313" s="184" t="s">
        <v>360</v>
      </c>
      <c r="G313" s="184">
        <f>EdUHK!F5</f>
        <v>21</v>
      </c>
      <c r="H313" s="184" t="s">
        <v>360</v>
      </c>
      <c r="I313" s="209">
        <f>計分版!D318</f>
        <v>3.9500000000000006E-9</v>
      </c>
      <c r="J313" s="180">
        <f>EdUHK!J5</f>
        <v>70</v>
      </c>
      <c r="K313" s="180">
        <f>EdUHK!S5</f>
        <v>41</v>
      </c>
      <c r="L313" s="483">
        <f>IFERROR(EdUHK!AA5/EdUHK!T5,"新科目")</f>
        <v>10.333333333333334</v>
      </c>
      <c r="M313" s="180">
        <f>入學要求!S303</f>
        <v>0</v>
      </c>
      <c r="O313" s="16"/>
      <c r="P313" s="16"/>
    </row>
    <row r="314" spans="1:16">
      <c r="A314" s="180" t="str">
        <f>EdUHK!A6</f>
        <v>JS8325</v>
      </c>
      <c r="B314" s="16" t="s">
        <v>997</v>
      </c>
      <c r="C314" s="180" t="str">
        <f>EdUHK!C6</f>
        <v>體育教育榮譽學士</v>
      </c>
      <c r="D314" s="180" t="str">
        <f>EdUHK!D6</f>
        <v>BEd(PE)</v>
      </c>
      <c r="E314" s="180" t="str">
        <f>EdUHK!E6</f>
        <v>Best 5</v>
      </c>
      <c r="F314" s="184" t="s">
        <v>360</v>
      </c>
      <c r="G314" s="184">
        <f>EdUHK!F6</f>
        <v>21</v>
      </c>
      <c r="H314" s="184" t="s">
        <v>360</v>
      </c>
      <c r="I314" s="209">
        <f>計分版!D319</f>
        <v>3.9500000000000006E-9</v>
      </c>
      <c r="J314" s="180">
        <f>EdUHK!J6</f>
        <v>31</v>
      </c>
      <c r="K314" s="180">
        <f>EdUHK!S6</f>
        <v>19</v>
      </c>
      <c r="L314" s="483">
        <f>IFERROR(EdUHK!AA6/EdUHK!T6,"新科目")</f>
        <v>46.842105263157897</v>
      </c>
      <c r="M314" s="180">
        <f>入學要求!S304</f>
        <v>0</v>
      </c>
      <c r="O314" s="16"/>
      <c r="P314" s="16"/>
    </row>
    <row r="315" spans="1:16">
      <c r="A315" s="180" t="str">
        <f>EdUHK!A7</f>
        <v>JS8361</v>
      </c>
      <c r="B315" s="16" t="s">
        <v>997</v>
      </c>
      <c r="C315" s="180" t="str">
        <f>EdUHK!C7</f>
        <v>中學教育榮譽學士 - 資訊及通訊科技</v>
      </c>
      <c r="D315" s="180" t="str">
        <f>EdUHK!D7</f>
        <v>BEd(S)-ICT</v>
      </c>
      <c r="E315" s="180" t="str">
        <f>EdUHK!E7</f>
        <v>Best 5</v>
      </c>
      <c r="F315" s="184" t="s">
        <v>360</v>
      </c>
      <c r="G315" s="184">
        <f>EdUHK!F7</f>
        <v>19</v>
      </c>
      <c r="H315" s="184" t="s">
        <v>360</v>
      </c>
      <c r="I315" s="209">
        <f>計分版!D320</f>
        <v>3.9500000000000006E-9</v>
      </c>
      <c r="J315" s="180">
        <f>EdUHK!J7</f>
        <v>20</v>
      </c>
      <c r="K315" s="180">
        <f>EdUHK!S7</f>
        <v>14</v>
      </c>
      <c r="L315" s="483">
        <f>IFERROR(EdUHK!AA7/EdUHK!T7,"新科目")</f>
        <v>14.142857142857142</v>
      </c>
      <c r="M315" s="180">
        <f>入學要求!S305</f>
        <v>0</v>
      </c>
      <c r="O315" s="16"/>
      <c r="P315" s="16"/>
    </row>
    <row r="316" spans="1:16">
      <c r="A316" s="180" t="str">
        <f>EdUHK!A8</f>
        <v>JS8371</v>
      </c>
      <c r="B316" s="16" t="s">
        <v>997</v>
      </c>
      <c r="C316" s="180" t="str">
        <f>EdUHK!C8</f>
        <v>企業、會計與財務概論教育榮譽學士</v>
      </c>
      <c r="D316" s="180" t="str">
        <f>EdUHK!D8</f>
        <v>BEd(BAFS)</v>
      </c>
      <c r="E316" s="180" t="str">
        <f>EdUHK!E8</f>
        <v>Best 5</v>
      </c>
      <c r="F316" s="184" t="s">
        <v>360</v>
      </c>
      <c r="G316" s="184">
        <f>EdUHK!F8</f>
        <v>19</v>
      </c>
      <c r="H316" s="184" t="s">
        <v>360</v>
      </c>
      <c r="I316" s="209">
        <f>計分版!D321</f>
        <v>3.9500000000000006E-9</v>
      </c>
      <c r="J316" s="180">
        <f>EdUHK!J8</f>
        <v>20</v>
      </c>
      <c r="K316" s="180">
        <f>EdUHK!S8</f>
        <v>20</v>
      </c>
      <c r="L316" s="483">
        <f>IFERROR(EdUHK!AA8/EdUHK!T8,"新科目")</f>
        <v>11.05</v>
      </c>
      <c r="M316" s="180">
        <f>入學要求!S306</f>
        <v>0</v>
      </c>
      <c r="O316" s="16"/>
      <c r="P316" s="16"/>
    </row>
    <row r="317" spans="1:16">
      <c r="A317" s="180" t="str">
        <f>EdUHK!A9</f>
        <v>JS8391</v>
      </c>
      <c r="B317" s="16" t="s">
        <v>997</v>
      </c>
      <c r="C317" s="180" t="str">
        <f>EdUHK!C9</f>
        <v>中學數學教育榮譽學士</v>
      </c>
      <c r="D317" s="180" t="str">
        <f>EdUHK!D9</f>
        <v>BEd(S)-MA</v>
      </c>
      <c r="E317" s="180" t="str">
        <f>EdUHK!E9</f>
        <v>Best 5</v>
      </c>
      <c r="F317" s="184" t="s">
        <v>360</v>
      </c>
      <c r="G317" s="184">
        <f>EdUHK!F9</f>
        <v>21</v>
      </c>
      <c r="H317" s="184" t="s">
        <v>360</v>
      </c>
      <c r="I317" s="209">
        <f>計分版!D322</f>
        <v>3.9500000000000006E-9</v>
      </c>
      <c r="J317" s="180">
        <f>EdUHK!J9</f>
        <v>18</v>
      </c>
      <c r="K317" s="180">
        <f>EdUHK!S9</f>
        <v>16</v>
      </c>
      <c r="L317" s="483">
        <f>IFERROR(EdUHK!AA9/EdUHK!T9,"新科目")</f>
        <v>13</v>
      </c>
      <c r="M317" s="180">
        <f>入學要求!S307</f>
        <v>0</v>
      </c>
      <c r="O317" s="16"/>
      <c r="P317" s="16"/>
    </row>
    <row r="318" spans="1:16">
      <c r="A318" s="180" t="str">
        <f>EdUHK!A10</f>
        <v>JS8404</v>
      </c>
      <c r="B318" s="16" t="s">
        <v>997</v>
      </c>
      <c r="C318" s="180" t="str">
        <f>EdUHK!C10</f>
        <v>幼兒教育榮譽學士</v>
      </c>
      <c r="D318" s="180" t="str">
        <f>EdUHK!D10</f>
        <v>BEd(ECE)</v>
      </c>
      <c r="E318" s="180" t="str">
        <f>EdUHK!E10</f>
        <v>Best 5</v>
      </c>
      <c r="F318" s="184" t="s">
        <v>360</v>
      </c>
      <c r="G318" s="184">
        <f>EdUHK!F10</f>
        <v>21</v>
      </c>
      <c r="H318" s="184" t="s">
        <v>360</v>
      </c>
      <c r="I318" s="209">
        <f>計分版!D323</f>
        <v>3.9500000000000006E-9</v>
      </c>
      <c r="J318" s="180">
        <f>EdUHK!J10</f>
        <v>49</v>
      </c>
      <c r="K318" s="180">
        <f>EdUHK!S10</f>
        <v>46</v>
      </c>
      <c r="L318" s="483">
        <f>IFERROR(EdUHK!AA10/EdUHK!T10,"新科目")</f>
        <v>32.413043478260867</v>
      </c>
      <c r="M318" s="180">
        <f>入學要求!S308</f>
        <v>0</v>
      </c>
      <c r="O318" s="16"/>
      <c r="P318" s="16"/>
    </row>
    <row r="319" spans="1:16">
      <c r="A319" s="180" t="str">
        <f>EdUHK!A11</f>
        <v>JS8416</v>
      </c>
      <c r="B319" s="16" t="s">
        <v>997</v>
      </c>
      <c r="C319" s="180" t="str">
        <f>EdUHK!C11</f>
        <v>中國歷史教育榮譽學士</v>
      </c>
      <c r="D319" s="180" t="str">
        <f>EdUHK!D11</f>
        <v>BEd(CHI HIST)</v>
      </c>
      <c r="E319" s="180" t="str">
        <f>EdUHK!E11</f>
        <v>Best 5</v>
      </c>
      <c r="F319" s="184" t="s">
        <v>360</v>
      </c>
      <c r="G319" s="184">
        <f>EdUHK!F11</f>
        <v>22</v>
      </c>
      <c r="H319" s="184" t="s">
        <v>360</v>
      </c>
      <c r="I319" s="209">
        <f>計分版!D324</f>
        <v>3.9500000000000006E-9</v>
      </c>
      <c r="J319" s="180">
        <f>EdUHK!J11</f>
        <v>10</v>
      </c>
      <c r="K319" s="180" t="str">
        <f>EdUHK!S11</f>
        <v>/</v>
      </c>
      <c r="L319" s="483" t="str">
        <f>IFERROR(EdUHK!AA11/EdUHK!T11,"無資料")</f>
        <v>無資料</v>
      </c>
      <c r="M319" s="180">
        <f>入學要求!S309</f>
        <v>0</v>
      </c>
      <c r="O319" s="16"/>
      <c r="P319" s="16"/>
    </row>
    <row r="320" spans="1:16">
      <c r="A320" s="180" t="str">
        <f>EdUHK!A12</f>
        <v>JS8428</v>
      </c>
      <c r="B320" s="16" t="s">
        <v>997</v>
      </c>
      <c r="C320" s="180" t="str">
        <f>EdUHK!C12</f>
        <v>地理教育榮譽學士</v>
      </c>
      <c r="D320" s="180" t="str">
        <f>EdUHK!D12</f>
        <v>BEd(GEOG)</v>
      </c>
      <c r="E320" s="180" t="str">
        <f>EdUHK!E12</f>
        <v>Best 5</v>
      </c>
      <c r="F320" s="184" t="s">
        <v>360</v>
      </c>
      <c r="G320" s="184">
        <f>EdUHK!F12</f>
        <v>21</v>
      </c>
      <c r="H320" s="184" t="s">
        <v>360</v>
      </c>
      <c r="I320" s="209">
        <f>計分版!D325</f>
        <v>3.9500000000000006E-9</v>
      </c>
      <c r="J320" s="180">
        <f>EdUHK!J12</f>
        <v>10</v>
      </c>
      <c r="K320" s="180">
        <f>EdUHK!S12</f>
        <v>11</v>
      </c>
      <c r="L320" s="483">
        <f>IFERROR(EdUHK!AA12/EdUHK!T12,"新科目")</f>
        <v>17.09090909090909</v>
      </c>
      <c r="M320" s="180">
        <f>入學要求!S310</f>
        <v>0</v>
      </c>
      <c r="O320" s="16"/>
      <c r="P320" s="16"/>
    </row>
    <row r="321" spans="1:16">
      <c r="A321" s="180" t="str">
        <f>EdUHK!A13</f>
        <v>JS8430</v>
      </c>
      <c r="B321" s="16" t="s">
        <v>997</v>
      </c>
      <c r="C321" s="180" t="str">
        <f>EdUHK!C13</f>
        <v>科學教育榮譽學士</v>
      </c>
      <c r="D321" s="180" t="str">
        <f>EdUHK!D13</f>
        <v>BEd(Science)</v>
      </c>
      <c r="E321" s="180" t="str">
        <f>EdUHK!E13</f>
        <v>Best 5</v>
      </c>
      <c r="F321" s="184" t="s">
        <v>360</v>
      </c>
      <c r="G321" s="184">
        <f>EdUHK!F13</f>
        <v>19</v>
      </c>
      <c r="H321" s="184" t="s">
        <v>360</v>
      </c>
      <c r="I321" s="209">
        <f>計分版!D326</f>
        <v>3.9500000000000006E-9</v>
      </c>
      <c r="J321" s="180">
        <f>EdUHK!J13</f>
        <v>14</v>
      </c>
      <c r="K321" s="180">
        <f>EdUHK!S13</f>
        <v>16</v>
      </c>
      <c r="L321" s="483">
        <f>IFERROR(EdUHK!AA13/EdUHK!T13,"新科目")</f>
        <v>8.7333333333333325</v>
      </c>
      <c r="M321" s="180">
        <f>入學要求!S311</f>
        <v>0</v>
      </c>
      <c r="O321" s="16"/>
      <c r="P321" s="16"/>
    </row>
    <row r="322" spans="1:16">
      <c r="A322" s="180" t="str">
        <f>EdUHK!A14</f>
        <v>JS8600</v>
      </c>
      <c r="B322" s="16" t="s">
        <v>997</v>
      </c>
      <c r="C322" s="180" t="str">
        <f>EdUHK!C14</f>
        <v>語文研究榮譽文學士 (中文主修)</v>
      </c>
      <c r="D322" s="180" t="str">
        <f>EdUHK!D14</f>
        <v>HD(ECE)</v>
      </c>
      <c r="E322" s="180" t="str">
        <f>EdUHK!E14</f>
        <v>Best 5</v>
      </c>
      <c r="F322" s="184" t="s">
        <v>360</v>
      </c>
      <c r="G322" s="184">
        <f>EdUHK!F14</f>
        <v>20</v>
      </c>
      <c r="H322" s="184" t="s">
        <v>360</v>
      </c>
      <c r="I322" s="209">
        <f>計分版!D327</f>
        <v>3.9500000000000006E-9</v>
      </c>
      <c r="J322" s="180">
        <f>EdUHK!J14</f>
        <v>16</v>
      </c>
      <c r="K322" s="180">
        <f>EdUHK!S14</f>
        <v>21</v>
      </c>
      <c r="L322" s="483">
        <f>IFERROR(EdUHK!AA14/EdUHK!T14,"新科目")</f>
        <v>10.684210526315789</v>
      </c>
      <c r="M322" s="180">
        <f>入學要求!S312</f>
        <v>0</v>
      </c>
      <c r="O322" s="16"/>
      <c r="P322" s="16"/>
    </row>
    <row r="323" spans="1:16">
      <c r="A323" s="180" t="str">
        <f>EdUHK!A15</f>
        <v>JS8612</v>
      </c>
      <c r="B323" s="16" t="s">
        <v>997</v>
      </c>
      <c r="C323" s="180" t="str">
        <f>EdUHK!C15</f>
        <v>語文研究榮譽文學士 (英文主修)</v>
      </c>
      <c r="D323" s="180" t="str">
        <f>EdUHK!D15</f>
        <v>BA(Lang Studies)-CN</v>
      </c>
      <c r="E323" s="180" t="str">
        <f>EdUHK!E15</f>
        <v>Best 5</v>
      </c>
      <c r="F323" s="184" t="s">
        <v>360</v>
      </c>
      <c r="G323" s="184">
        <f>EdUHK!F15</f>
        <v>20</v>
      </c>
      <c r="H323" s="184" t="s">
        <v>360</v>
      </c>
      <c r="I323" s="209">
        <f>計分版!D328</f>
        <v>3.9500000000000006E-9</v>
      </c>
      <c r="J323" s="180">
        <f>EdUHK!J15</f>
        <v>16</v>
      </c>
      <c r="K323" s="180">
        <f>EdUHK!S15</f>
        <v>12</v>
      </c>
      <c r="L323" s="483">
        <f>IFERROR(EdUHK!AA15/EdUHK!T15,"新科目")</f>
        <v>11.181818181818182</v>
      </c>
      <c r="M323" s="180">
        <f>入學要求!S313</f>
        <v>0</v>
      </c>
      <c r="O323" s="16"/>
      <c r="P323" s="16"/>
    </row>
    <row r="324" spans="1:16">
      <c r="A324" s="180" t="str">
        <f>EdUHK!A16</f>
        <v>JS8624</v>
      </c>
      <c r="B324" s="16" t="s">
        <v>997</v>
      </c>
      <c r="C324" s="180" t="str">
        <f>EdUHK!C16</f>
        <v>全球及環境研究榮譽社會科學學士</v>
      </c>
      <c r="D324" s="180" t="str">
        <f>EdUHK!D16</f>
        <v>BA(Lang Studies)-EG</v>
      </c>
      <c r="E324" s="180" t="str">
        <f>EdUHK!E16</f>
        <v>Best 5</v>
      </c>
      <c r="F324" s="184" t="s">
        <v>360</v>
      </c>
      <c r="G324" s="184">
        <f>EdUHK!F16</f>
        <v>20</v>
      </c>
      <c r="H324" s="184" t="s">
        <v>360</v>
      </c>
      <c r="I324" s="209">
        <f>計分版!D329</f>
        <v>3.9500000000000006E-9</v>
      </c>
      <c r="J324" s="180">
        <f>EdUHK!J16</f>
        <v>24</v>
      </c>
      <c r="K324" s="180">
        <f>EdUHK!S16</f>
        <v>21</v>
      </c>
      <c r="L324" s="483">
        <f>IFERROR(EdUHK!AA16/EdUHK!T16,"新科目")</f>
        <v>10.714285714285714</v>
      </c>
      <c r="M324" s="180">
        <f>入學要求!S314</f>
        <v>0</v>
      </c>
      <c r="O324" s="16"/>
      <c r="P324" s="16"/>
    </row>
    <row r="325" spans="1:16">
      <c r="A325" s="180" t="str">
        <f>EdUHK!A17</f>
        <v>JS8636</v>
      </c>
      <c r="B325" s="16" t="s">
        <v>997</v>
      </c>
      <c r="C325" s="180" t="str">
        <f>EdUHK!C17</f>
        <v>創意藝術與文化榮譽文學士 (音樂)</v>
      </c>
      <c r="D325" s="180" t="str">
        <f>EdUHK!D17</f>
        <v>BSocSc(GES)</v>
      </c>
      <c r="E325" s="180" t="str">
        <f>EdUHK!E17</f>
        <v>Best 5</v>
      </c>
      <c r="F325" s="184" t="s">
        <v>360</v>
      </c>
      <c r="G325" s="184">
        <f>EdUHK!F17</f>
        <v>18</v>
      </c>
      <c r="H325" s="184" t="s">
        <v>360</v>
      </c>
      <c r="I325" s="209">
        <f>計分版!D330</f>
        <v>3.9500000000000006E-9</v>
      </c>
      <c r="J325" s="180">
        <f>EdUHK!J17</f>
        <v>12</v>
      </c>
      <c r="K325" s="180">
        <f>EdUHK!S17</f>
        <v>14</v>
      </c>
      <c r="L325" s="483">
        <f>IFERROR(EdUHK!AA17/EdUHK!T17,"新科目")</f>
        <v>12.714285714285714</v>
      </c>
      <c r="M325" s="180">
        <f>入學要求!S315</f>
        <v>0</v>
      </c>
      <c r="O325" s="16"/>
      <c r="P325" s="16"/>
    </row>
    <row r="326" spans="1:16">
      <c r="A326" s="180" t="str">
        <f>EdUHK!A18</f>
        <v>JS8648</v>
      </c>
      <c r="B326" s="16" t="s">
        <v>997</v>
      </c>
      <c r="C326" s="180" t="str">
        <f>EdUHK!C18</f>
        <v>創意藝術與文化榮譽文學士 (視覺藝術)</v>
      </c>
      <c r="D326" s="180" t="str">
        <f>EdUHK!D18</f>
        <v>BA(CAC)-MU</v>
      </c>
      <c r="E326" s="180" t="str">
        <f>EdUHK!E18</f>
        <v>Best 5</v>
      </c>
      <c r="F326" s="184" t="s">
        <v>360</v>
      </c>
      <c r="G326" s="184">
        <f>EdUHK!F18</f>
        <v>20</v>
      </c>
      <c r="H326" s="184" t="s">
        <v>360</v>
      </c>
      <c r="I326" s="209">
        <f>計分版!D331</f>
        <v>3.9500000000000006E-9</v>
      </c>
      <c r="J326" s="180">
        <f>EdUHK!J18</f>
        <v>12</v>
      </c>
      <c r="K326" s="180">
        <f>EdUHK!S18</f>
        <v>13</v>
      </c>
      <c r="L326" s="483">
        <f>IFERROR(EdUHK!AA18/EdUHK!T18,"新科目")</f>
        <v>44.25</v>
      </c>
      <c r="M326" s="180">
        <f>入學要求!S316</f>
        <v>0</v>
      </c>
      <c r="O326" s="16"/>
      <c r="P326" s="16"/>
    </row>
    <row r="327" spans="1:16">
      <c r="A327" s="180" t="str">
        <f>EdUHK!A19</f>
        <v>JS8651</v>
      </c>
      <c r="B327" s="16" t="s">
        <v>997</v>
      </c>
      <c r="C327" s="180" t="str">
        <f>EdUHK!C19</f>
        <v>心理學榮譽社會科學學士</v>
      </c>
      <c r="D327" s="180" t="str">
        <f>EdUHK!D19</f>
        <v>BA(CAC)-VA</v>
      </c>
      <c r="E327" s="180" t="str">
        <f>EdUHK!E19</f>
        <v>Best 5</v>
      </c>
      <c r="F327" s="184" t="s">
        <v>360</v>
      </c>
      <c r="G327" s="184">
        <f>EdUHK!F19</f>
        <v>21</v>
      </c>
      <c r="H327" s="184" t="s">
        <v>360</v>
      </c>
      <c r="I327" s="209">
        <f>計分版!D332</f>
        <v>3.9500000000000006E-9</v>
      </c>
      <c r="J327" s="180">
        <f>EdUHK!J19</f>
        <v>20</v>
      </c>
      <c r="K327" s="180">
        <f>EdUHK!S19</f>
        <v>26</v>
      </c>
      <c r="L327" s="483">
        <f>IFERROR(EdUHK!AA19/EdUHK!T19,"新科目")</f>
        <v>22.904761904761905</v>
      </c>
      <c r="M327" s="180">
        <f>入學要求!S317</f>
        <v>0</v>
      </c>
      <c r="O327" s="16"/>
      <c r="P327" s="16"/>
    </row>
    <row r="328" spans="1:16">
      <c r="A328" s="180" t="str">
        <f>EdUHK!A20</f>
        <v>JS8663</v>
      </c>
      <c r="B328" s="16" t="s">
        <v>997</v>
      </c>
      <c r="C328" s="180" t="str">
        <f>EdUHK!C20</f>
        <v>特殊教育榮譽文學士</v>
      </c>
      <c r="D328" s="180" t="str">
        <f>EdUHK!D20</f>
        <v>BSocSc(Psy)</v>
      </c>
      <c r="E328" s="180" t="str">
        <f>EdUHK!E20</f>
        <v>Best 5</v>
      </c>
      <c r="F328" s="184" t="s">
        <v>360</v>
      </c>
      <c r="G328" s="184">
        <f>EdUHK!F20</f>
        <v>20</v>
      </c>
      <c r="H328" s="184" t="s">
        <v>360</v>
      </c>
      <c r="I328" s="209">
        <f>計分版!D333</f>
        <v>3.9500000000000006E-9</v>
      </c>
      <c r="J328" s="180">
        <f>EdUHK!J20</f>
        <v>20</v>
      </c>
      <c r="K328" s="180">
        <f>EdUHK!S20</f>
        <v>21</v>
      </c>
      <c r="L328" s="483">
        <f>IFERROR(EdUHK!AA20/EdUHK!T20,"新科目")</f>
        <v>14.428571428571429</v>
      </c>
      <c r="M328" s="180">
        <f>入學要求!S318</f>
        <v>0</v>
      </c>
      <c r="O328" s="16"/>
      <c r="P328" s="16"/>
    </row>
    <row r="329" spans="1:16">
      <c r="A329" s="180" t="str">
        <f>EdUHK!A21</f>
        <v>JS8801</v>
      </c>
      <c r="B329" s="16" t="s">
        <v>997</v>
      </c>
      <c r="C329" s="180" t="str">
        <f>EdUHK!C21</f>
        <v>創意藝術與文化榮譽文學士及音樂教育榮譽學士 (同期 結業雙學位課程)</v>
      </c>
      <c r="D329" s="180" t="str">
        <f>EdUHK!D21</f>
        <v>BA(SE)</v>
      </c>
      <c r="E329" s="180" t="str">
        <f>EdUHK!E21</f>
        <v>Best 5</v>
      </c>
      <c r="F329" s="184" t="s">
        <v>360</v>
      </c>
      <c r="G329" s="184">
        <f>EdUHK!F21</f>
        <v>19</v>
      </c>
      <c r="H329" s="184" t="s">
        <v>360</v>
      </c>
      <c r="I329" s="209">
        <f>計分版!D334</f>
        <v>3.9500000000000006E-9</v>
      </c>
      <c r="J329" s="180">
        <f>EdUHK!J21</f>
        <v>40</v>
      </c>
      <c r="K329" s="180">
        <f>EdUHK!S21</f>
        <v>32</v>
      </c>
      <c r="L329" s="483">
        <f>IFERROR(EdUHK!AA21/EdUHK!T21,"新科目")</f>
        <v>5.290322580645161</v>
      </c>
      <c r="M329" s="180">
        <f>入學要求!S319</f>
        <v>0</v>
      </c>
      <c r="O329" s="16"/>
      <c r="P329" s="16"/>
    </row>
    <row r="330" spans="1:16">
      <c r="A330" s="180" t="str">
        <f>EdUHK!A22</f>
        <v>JS8813</v>
      </c>
      <c r="B330" s="16" t="s">
        <v>997</v>
      </c>
      <c r="C330" s="180" t="str">
        <f>EdUHK!C22</f>
        <v>創意藝術與文化榮譽文學士及視覺藝術教育榮譽學士 (同期結業雙學位課程)</v>
      </c>
      <c r="D330" s="180" t="str">
        <f>EdUHK!D22</f>
        <v>BA(CAC) &amp; BEd(MU)</v>
      </c>
      <c r="E330" s="180" t="str">
        <f>EdUHK!E22</f>
        <v>Best 5</v>
      </c>
      <c r="F330" s="184" t="s">
        <v>360</v>
      </c>
      <c r="G330" s="184">
        <f>EdUHK!F22</f>
        <v>20</v>
      </c>
      <c r="H330" s="184" t="s">
        <v>360</v>
      </c>
      <c r="I330" s="209">
        <f>計分版!D335</f>
        <v>3.9500000000000006E-9</v>
      </c>
      <c r="J330" s="180">
        <f>EdUHK!J22</f>
        <v>40</v>
      </c>
      <c r="K330" s="180">
        <f>EdUHK!S22</f>
        <v>27</v>
      </c>
      <c r="L330" s="483">
        <f>IFERROR(EdUHK!AA22/EdUHK!T22,"新科目")</f>
        <v>11.037037037037036</v>
      </c>
      <c r="M330" s="180">
        <f>入學要求!S320</f>
        <v>0</v>
      </c>
      <c r="O330" s="16"/>
      <c r="P330" s="16"/>
    </row>
    <row r="331" spans="1:16">
      <c r="A331" s="180" t="str">
        <f>EdUHK!A23</f>
        <v>JS8825</v>
      </c>
      <c r="B331" s="16" t="s">
        <v>997</v>
      </c>
      <c r="C331" s="180" t="str">
        <f>EdUHK!C23</f>
        <v>語文研究榮譽文學士及英文教育榮譽學士 (同期結業雙 學位課程)</v>
      </c>
      <c r="D331" s="180" t="str">
        <f>EdUHK!D23</f>
        <v>BA(CAC) &amp; BEd(VA)</v>
      </c>
      <c r="E331" s="180" t="str">
        <f>EdUHK!E23</f>
        <v>Best 5</v>
      </c>
      <c r="F331" s="184" t="s">
        <v>360</v>
      </c>
      <c r="G331" s="184">
        <f>EdUHK!F23</f>
        <v>21</v>
      </c>
      <c r="H331" s="184" t="s">
        <v>360</v>
      </c>
      <c r="I331" s="209">
        <f>計分版!D336</f>
        <v>3.9500000000000006E-9</v>
      </c>
      <c r="J331" s="180">
        <f>EdUHK!J23</f>
        <v>20</v>
      </c>
      <c r="K331" s="180">
        <f>EdUHK!S23</f>
        <v>15</v>
      </c>
      <c r="L331" s="483">
        <f>IFERROR(EdUHK!AA23/EdUHK!T23,"新科目")</f>
        <v>9.8000000000000007</v>
      </c>
      <c r="M331" s="180">
        <f>入學要求!S321</f>
        <v>0</v>
      </c>
      <c r="O331" s="16"/>
      <c r="P331" s="16"/>
    </row>
    <row r="332" spans="1:16">
      <c r="A332" s="180" t="str">
        <f>EdUHK!A24</f>
        <v>JS8507</v>
      </c>
      <c r="B332" s="16" t="s">
        <v>997</v>
      </c>
      <c r="C332" s="180" t="str">
        <f>EdUHK!C24</f>
        <v>幼兒教育高級文憑</v>
      </c>
      <c r="D332" s="180" t="str">
        <f>EdUHK!D24</f>
        <v>BA(Lang Studies)&amp;BEd(EL)</v>
      </c>
      <c r="E332" s="180" t="str">
        <f>EdUHK!E24</f>
        <v>Best 5</v>
      </c>
      <c r="F332" s="184" t="s">
        <v>360</v>
      </c>
      <c r="G332" s="184">
        <f>EdUHK!F24</f>
        <v>17</v>
      </c>
      <c r="H332" s="184" t="s">
        <v>360</v>
      </c>
      <c r="I332" s="209">
        <f>計分版!D337</f>
        <v>3.9500000000000006E-9</v>
      </c>
      <c r="J332" s="180">
        <f>EdUHK!J24</f>
        <v>330</v>
      </c>
      <c r="K332" s="180">
        <f>EdUHK!S24</f>
        <v>339</v>
      </c>
      <c r="L332" s="483">
        <f>IFERROR(EdUHK!AA24/EdUHK!T24,"新科目")</f>
        <v>8.4326923076923084</v>
      </c>
      <c r="M332" s="180">
        <f>入學要求!S322</f>
        <v>0</v>
      </c>
      <c r="O332" s="16"/>
      <c r="P332" s="16"/>
    </row>
    <row r="333" spans="1:16">
      <c r="D333" s="16"/>
      <c r="E333" s="56"/>
      <c r="I333" s="209"/>
      <c r="O333" s="16"/>
      <c r="P333" s="16"/>
    </row>
    <row r="334" spans="1:16">
      <c r="A334" s="114"/>
      <c r="B334" s="114"/>
      <c r="C334" s="109"/>
      <c r="D334" s="114"/>
      <c r="E334" s="118"/>
      <c r="F334" s="329" t="s">
        <v>368</v>
      </c>
      <c r="G334" s="329" t="s">
        <v>994</v>
      </c>
      <c r="H334" s="329" t="s">
        <v>995</v>
      </c>
      <c r="I334" s="331" t="str">
        <f>計分版!D339</f>
        <v>總分</v>
      </c>
      <c r="J334" s="114"/>
      <c r="K334" s="114"/>
      <c r="L334" s="484"/>
      <c r="M334" s="114"/>
      <c r="P334" s="16"/>
    </row>
    <row r="335" spans="1:16">
      <c r="A335" s="16" t="str">
        <f>OUHK!A2</f>
        <v>JS9001</v>
      </c>
      <c r="B335" s="16" t="s">
        <v>1161</v>
      </c>
      <c r="C335" s="180" t="str">
        <f>OUHK!C2</f>
        <v>心理學榮譽社會科學學士</v>
      </c>
      <c r="D335" s="180" t="str">
        <f>OUHK!D2</f>
        <v>BSSc(Hons)Psychology</v>
      </c>
      <c r="E335" s="180" t="str">
        <f>OUHK!E2</f>
        <v>4C1X</v>
      </c>
      <c r="F335" s="184" t="s">
        <v>360</v>
      </c>
      <c r="G335" s="184">
        <f>OUHK!F2</f>
        <v>16</v>
      </c>
      <c r="H335" s="184">
        <f>OUHK!G2</f>
        <v>14</v>
      </c>
      <c r="I335" s="209">
        <f>計分版!D340</f>
        <v>1.9500000000000001E-9</v>
      </c>
      <c r="J335" s="16">
        <f>OUHK!K2</f>
        <v>90</v>
      </c>
      <c r="K335" s="180">
        <f>OUHK!T2</f>
        <v>312</v>
      </c>
      <c r="L335" s="483">
        <f>IFERROR(OUHK!AB2/OUHK!U2,"新科目")</f>
        <v>4.7067669172932334</v>
      </c>
      <c r="M335" s="16">
        <f>入學要求!S326</f>
        <v>0</v>
      </c>
    </row>
    <row r="336" spans="1:16">
      <c r="A336" s="180" t="str">
        <f>OUHK!A3</f>
        <v>JS9003</v>
      </c>
      <c r="B336" s="16" t="s">
        <v>1161</v>
      </c>
      <c r="C336" s="180" t="str">
        <f>OUHK!C3</f>
        <v>政治及公共行政榮譽社會科學學士</v>
      </c>
      <c r="D336" s="180" t="str">
        <f>OUHK!D3</f>
        <v>BSSc(Hons)Poltics&amp;PubAdm</v>
      </c>
      <c r="E336" s="180" t="str">
        <f>OUHK!E3</f>
        <v>4C1X</v>
      </c>
      <c r="F336" s="184" t="s">
        <v>360</v>
      </c>
      <c r="G336" s="184">
        <f>OUHK!F3</f>
        <v>17</v>
      </c>
      <c r="H336" s="184">
        <f>OUHK!G3</f>
        <v>16</v>
      </c>
      <c r="I336" s="209">
        <f>計分版!D341</f>
        <v>1.9500000000000001E-9</v>
      </c>
      <c r="J336" s="180">
        <f>OUHK!K3</f>
        <v>27</v>
      </c>
      <c r="K336" s="180">
        <f>OUHK!T3</f>
        <v>82</v>
      </c>
      <c r="L336" s="483">
        <f>IFERROR(OUHK!AB3/OUHK!U3,"新科目")</f>
        <v>4.65625</v>
      </c>
      <c r="M336" s="16">
        <f>入學要求!S327</f>
        <v>0</v>
      </c>
    </row>
    <row r="337" spans="1:13">
      <c r="A337" s="180" t="str">
        <f>OUHK!A4</f>
        <v>JS9004</v>
      </c>
      <c r="B337" s="16" t="s">
        <v>1161</v>
      </c>
      <c r="C337" s="180" t="str">
        <f>OUHK!C4</f>
        <v>應用社會研究榮譽社會科學學士</v>
      </c>
      <c r="D337" s="180" t="str">
        <f>OUHK!D4</f>
        <v>BSSc(Hons) App Soc Stud</v>
      </c>
      <c r="E337" s="180" t="str">
        <f>OUHK!E4</f>
        <v>4C1X</v>
      </c>
      <c r="F337" s="184" t="s">
        <v>360</v>
      </c>
      <c r="G337" s="184">
        <f>OUHK!F4</f>
        <v>18</v>
      </c>
      <c r="H337" s="184">
        <f>OUHK!G4</f>
        <v>17</v>
      </c>
      <c r="I337" s="209">
        <f>計分版!D342</f>
        <v>1.9500000000000001E-9</v>
      </c>
      <c r="J337" s="180">
        <f>OUHK!K4</f>
        <v>36</v>
      </c>
      <c r="K337" s="180">
        <f>OUHK!T4</f>
        <v>88</v>
      </c>
      <c r="L337" s="483">
        <f>IFERROR(OUHK!AB4/OUHK!U4,"新科目")</f>
        <v>5.3636363636363633</v>
      </c>
      <c r="M337" s="16">
        <f>入學要求!S328</f>
        <v>0</v>
      </c>
    </row>
    <row r="338" spans="1:13">
      <c r="A338" s="180" t="str">
        <f>OUHK!A5</f>
        <v>JS9005</v>
      </c>
      <c r="B338" s="16" t="s">
        <v>1161</v>
      </c>
      <c r="C338" s="180" t="str">
        <f>OUHK!C5</f>
        <v>全球與中國研究榮譽社會科學學士</v>
      </c>
      <c r="D338" s="180" t="str">
        <f>OUHK!D5</f>
        <v>BSSc(Hons) Glob &amp; China</v>
      </c>
      <c r="E338" s="180" t="str">
        <f>OUHK!E5</f>
        <v>4C1X</v>
      </c>
      <c r="F338" s="184" t="s">
        <v>360</v>
      </c>
      <c r="G338" s="184">
        <f>OUHK!F5</f>
        <v>16</v>
      </c>
      <c r="H338" s="184">
        <f>OUHK!G5</f>
        <v>15</v>
      </c>
      <c r="I338" s="209">
        <f>計分版!D343</f>
        <v>1.9500000000000001E-9</v>
      </c>
      <c r="J338" s="180">
        <f>OUHK!K5</f>
        <v>20</v>
      </c>
      <c r="K338" s="180">
        <f>OUHK!T5</f>
        <v>39</v>
      </c>
      <c r="L338" s="483">
        <f>IFERROR(OUHK!AB5/OUHK!U5,"新科目")</f>
        <v>4</v>
      </c>
      <c r="M338" s="16">
        <f>入學要求!S329</f>
        <v>0</v>
      </c>
    </row>
    <row r="339" spans="1:13">
      <c r="A339" s="180" t="str">
        <f>OUHK!A6</f>
        <v>JS9006</v>
      </c>
      <c r="B339" s="16" t="s">
        <v>1161</v>
      </c>
      <c r="C339" s="180" t="str">
        <f>OUHK!C6</f>
        <v>高齡社會與服務研究榮譽社會科學學士</v>
      </c>
      <c r="D339" s="180" t="str">
        <f>OUHK!D6</f>
        <v>BSSc(Hons)Ageing&amp;Serv</v>
      </c>
      <c r="E339" s="180" t="str">
        <f>OUHK!E6</f>
        <v>4C1X</v>
      </c>
      <c r="F339" s="184" t="s">
        <v>360</v>
      </c>
      <c r="G339" s="184">
        <f>OUHK!F6</f>
        <v>15</v>
      </c>
      <c r="H339" s="184">
        <f>OUHK!G6</f>
        <v>15</v>
      </c>
      <c r="I339" s="209">
        <f>計分版!D344</f>
        <v>1.9500000000000001E-9</v>
      </c>
      <c r="J339" s="180">
        <f>OUHK!K6</f>
        <v>18</v>
      </c>
      <c r="K339" s="180">
        <f>OUHK!T6</f>
        <v>34</v>
      </c>
      <c r="L339" s="483">
        <f>IFERROR(OUHK!AB6/OUHK!U6,"新科目")</f>
        <v>6.333333333333333</v>
      </c>
      <c r="M339" s="16">
        <f>入學要求!S330</f>
        <v>0</v>
      </c>
    </row>
    <row r="340" spans="1:13">
      <c r="A340" s="180" t="str">
        <f>OUHK!A7</f>
        <v>JS9007</v>
      </c>
      <c r="B340" s="16" t="s">
        <v>1161</v>
      </c>
      <c r="C340" s="180" t="str">
        <f>OUHK!C7</f>
        <v>經濟及公共政策分析榮譽社會科學學士</v>
      </c>
      <c r="D340" s="180" t="str">
        <f>OUHK!D7</f>
        <v>BSSc(Hons)Econ&amp;PubPolAna</v>
      </c>
      <c r="E340" s="180" t="str">
        <f>OUHK!E7</f>
        <v>4C1X</v>
      </c>
      <c r="F340" s="184" t="s">
        <v>360</v>
      </c>
      <c r="G340" s="184">
        <f>OUHK!F7</f>
        <v>18</v>
      </c>
      <c r="H340" s="184">
        <f>OUHK!G7</f>
        <v>17</v>
      </c>
      <c r="I340" s="209">
        <f>計分版!D345</f>
        <v>1.9500000000000001E-9</v>
      </c>
      <c r="J340" s="180">
        <f>OUHK!K7</f>
        <v>20</v>
      </c>
      <c r="K340" s="180">
        <f>OUHK!T7</f>
        <v>12</v>
      </c>
      <c r="L340" s="483">
        <f>IFERROR(OUHK!AB7/OUHK!U7,"新科目")</f>
        <v>6.2857142857142856</v>
      </c>
      <c r="M340" s="16">
        <f>入學要求!S331</f>
        <v>0</v>
      </c>
    </row>
    <row r="341" spans="1:13">
      <c r="A341" s="180" t="str">
        <f>OUHK!A8</f>
        <v>JS9008</v>
      </c>
      <c r="B341" s="16" t="s">
        <v>1161</v>
      </c>
      <c r="C341" s="180" t="str">
        <f>OUHK!C8</f>
        <v>心理學與精神健康榮譽社會科學學士</v>
      </c>
      <c r="D341" s="180" t="str">
        <f>OUHK!D8</f>
        <v>BSSc(Hons) Psy&amp;Mental H</v>
      </c>
      <c r="E341" s="180" t="str">
        <f>OUHK!E8</f>
        <v>4C1X</v>
      </c>
      <c r="F341" s="184" t="s">
        <v>360</v>
      </c>
      <c r="G341" s="184">
        <f>OUHK!F8</f>
        <v>17</v>
      </c>
      <c r="H341" s="184">
        <f>OUHK!G8</f>
        <v>15</v>
      </c>
      <c r="I341" s="209">
        <f>計分版!D346</f>
        <v>1.9500000000000001E-9</v>
      </c>
      <c r="J341" s="180">
        <f>OUHK!K8</f>
        <v>63</v>
      </c>
      <c r="K341" s="180">
        <f>OUHK!T8</f>
        <v>83</v>
      </c>
      <c r="L341" s="483">
        <f>IFERROR(OUHK!AB8/OUHK!U8,"新科目")</f>
        <v>7.6571428571428575</v>
      </c>
      <c r="M341" s="16">
        <f>入學要求!S332</f>
        <v>0</v>
      </c>
    </row>
    <row r="342" spans="1:13">
      <c r="A342" s="180" t="str">
        <f>OUHK!A9</f>
        <v>JS9011</v>
      </c>
      <c r="B342" s="16" t="s">
        <v>1161</v>
      </c>
      <c r="C342" s="180" t="str">
        <f>OUHK!C9</f>
        <v>中文榮譽文學士</v>
      </c>
      <c r="D342" s="180" t="str">
        <f>OUHK!D9</f>
        <v>BA(Hons) Chinese</v>
      </c>
      <c r="E342" s="180" t="str">
        <f>OUHK!E9</f>
        <v>4C1X</v>
      </c>
      <c r="F342" s="184" t="s">
        <v>360</v>
      </c>
      <c r="G342" s="184">
        <f>OUHK!F9</f>
        <v>21</v>
      </c>
      <c r="H342" s="184">
        <f>OUHK!G9</f>
        <v>19</v>
      </c>
      <c r="I342" s="209">
        <f>計分版!D347</f>
        <v>2.0500000000000002E-9</v>
      </c>
      <c r="J342" s="180">
        <f>OUHK!K9</f>
        <v>40</v>
      </c>
      <c r="K342" s="180">
        <f>OUHK!T9</f>
        <v>89</v>
      </c>
      <c r="L342" s="483">
        <f>IFERROR(OUHK!AB9/OUHK!U9,"新科目")</f>
        <v>3.75</v>
      </c>
      <c r="M342" s="16">
        <f>入學要求!S333</f>
        <v>0</v>
      </c>
    </row>
    <row r="343" spans="1:13">
      <c r="A343" s="180" t="str">
        <f>OUHK!A10</f>
        <v>JS9013</v>
      </c>
      <c r="B343" s="16" t="s">
        <v>1161</v>
      </c>
      <c r="C343" s="180" t="str">
        <f>OUHK!C10</f>
        <v>語言研究與翻譯榮譽文學士</v>
      </c>
      <c r="D343" s="180" t="str">
        <f>OUHK!D10</f>
        <v>BA(Hons) LangStud &amp; Tran</v>
      </c>
      <c r="E343" s="180" t="str">
        <f>OUHK!E10</f>
        <v>4C1X</v>
      </c>
      <c r="F343" s="184" t="s">
        <v>360</v>
      </c>
      <c r="G343" s="184">
        <f>OUHK!F10</f>
        <v>21</v>
      </c>
      <c r="H343" s="184">
        <f>OUHK!G10</f>
        <v>19</v>
      </c>
      <c r="I343" s="209">
        <f>計分版!D348</f>
        <v>2.0999999999999998E-9</v>
      </c>
      <c r="J343" s="180">
        <f>OUHK!K10</f>
        <v>55</v>
      </c>
      <c r="K343" s="180">
        <f>OUHK!T10</f>
        <v>140</v>
      </c>
      <c r="L343" s="483">
        <f>IFERROR(OUHK!AB10/OUHK!U10,"新科目")</f>
        <v>3.1774193548387095</v>
      </c>
      <c r="M343" s="16">
        <f>入學要求!S334</f>
        <v>0</v>
      </c>
    </row>
    <row r="344" spans="1:13">
      <c r="A344" s="180" t="str">
        <f>OUHK!A11</f>
        <v>JS9016</v>
      </c>
      <c r="B344" s="16" t="s">
        <v>1161</v>
      </c>
      <c r="C344" s="180" t="str">
        <f>OUHK!C11</f>
        <v>創意廣告及媒體設計榮譽文學士</v>
      </c>
      <c r="D344" s="180" t="str">
        <f>OUHK!D11</f>
        <v>BA(Hons)CreAd&amp;MediaDesig</v>
      </c>
      <c r="E344" s="180" t="str">
        <f>OUHK!E11</f>
        <v>4C1X</v>
      </c>
      <c r="F344" s="184" t="s">
        <v>360</v>
      </c>
      <c r="G344" s="184">
        <f>OUHK!F11</f>
        <v>19</v>
      </c>
      <c r="H344" s="184">
        <f>OUHK!G11</f>
        <v>18</v>
      </c>
      <c r="I344" s="209">
        <f>計分版!D349</f>
        <v>2.0999999999999998E-9</v>
      </c>
      <c r="J344" s="180">
        <f>OUHK!K11</f>
        <v>70</v>
      </c>
      <c r="K344" s="180">
        <f>OUHK!T11</f>
        <v>199</v>
      </c>
      <c r="L344" s="483">
        <f>IFERROR(OUHK!AB11/OUHK!U11,"新科目")</f>
        <v>5.9259259259259256</v>
      </c>
      <c r="M344" s="16">
        <f>入學要求!S335</f>
        <v>0</v>
      </c>
    </row>
    <row r="345" spans="1:13">
      <c r="A345" s="180" t="str">
        <f>OUHK!A12</f>
        <v>JS9019</v>
      </c>
      <c r="B345" s="16" t="s">
        <v>1161</v>
      </c>
      <c r="C345" s="180" t="str">
        <f>OUHK!C12</f>
        <v>英語及文化榮譽文學士</v>
      </c>
      <c r="D345" s="180" t="str">
        <f>OUHK!D12</f>
        <v>BA(Hons) EngLang&amp;Cult</v>
      </c>
      <c r="E345" s="180" t="str">
        <f>OUHK!E12</f>
        <v>4C1X</v>
      </c>
      <c r="F345" s="184" t="s">
        <v>360</v>
      </c>
      <c r="G345" s="184">
        <f>OUHK!F12</f>
        <v>16</v>
      </c>
      <c r="H345" s="184">
        <f>OUHK!G12</f>
        <v>16</v>
      </c>
      <c r="I345" s="209">
        <f>計分版!D350</f>
        <v>1.9500000000000001E-9</v>
      </c>
      <c r="J345" s="180">
        <f>OUHK!K12</f>
        <v>25</v>
      </c>
      <c r="K345" s="180">
        <f>OUHK!T12</f>
        <v>23</v>
      </c>
      <c r="L345" s="483">
        <f>IFERROR(OUHK!AB12/OUHK!U12,"新科目")</f>
        <v>4.1428571428571432</v>
      </c>
      <c r="M345" s="16">
        <f>入學要求!S336</f>
        <v>0</v>
      </c>
    </row>
    <row r="346" spans="1:13">
      <c r="A346" s="180" t="str">
        <f>OUHK!A13</f>
        <v>JS9220</v>
      </c>
      <c r="B346" s="16" t="s">
        <v>1161</v>
      </c>
      <c r="C346" s="180" t="str">
        <f>OUHK!C13</f>
        <v>專業會計榮譽工商管理學士</v>
      </c>
      <c r="D346" s="180" t="str">
        <f>OUHK!D13</f>
        <v>BBA(Hons) Pro Acct</v>
      </c>
      <c r="E346" s="180" t="str">
        <f>OUHK!E13</f>
        <v>4C1X</v>
      </c>
      <c r="F346" s="184" t="s">
        <v>360</v>
      </c>
      <c r="G346" s="184">
        <f>OUHK!F13</f>
        <v>18</v>
      </c>
      <c r="H346" s="184">
        <f>OUHK!G13</f>
        <v>16</v>
      </c>
      <c r="I346" s="209">
        <f>計分版!D351</f>
        <v>1.9500000000000001E-9</v>
      </c>
      <c r="J346" s="180">
        <f>OUHK!K13</f>
        <v>40</v>
      </c>
      <c r="K346" s="180">
        <f>OUHK!T13</f>
        <v>88</v>
      </c>
      <c r="L346" s="483">
        <f>IFERROR(OUHK!AB13/OUHK!U13,"新科目")</f>
        <v>4.2</v>
      </c>
      <c r="M346" s="16">
        <f>入學要求!S337</f>
        <v>0</v>
      </c>
    </row>
    <row r="347" spans="1:13">
      <c r="A347" s="180" t="str">
        <f>OUHK!A14</f>
        <v>JS9222</v>
      </c>
      <c r="B347" s="16" t="s">
        <v>1161</v>
      </c>
      <c r="C347" s="180" t="str">
        <f>OUHK!C14</f>
        <v>會計及稅務學榮譽工商管理學士</v>
      </c>
      <c r="D347" s="180" t="str">
        <f>OUHK!D14</f>
        <v>BBA(Hons) Acct &amp; Tax</v>
      </c>
      <c r="E347" s="180" t="str">
        <f>OUHK!E14</f>
        <v>4C1X</v>
      </c>
      <c r="F347" s="184" t="s">
        <v>360</v>
      </c>
      <c r="G347" s="184">
        <f>OUHK!F14</f>
        <v>18</v>
      </c>
      <c r="H347" s="184">
        <f>OUHK!G14</f>
        <v>17</v>
      </c>
      <c r="I347" s="209">
        <f>計分版!D352</f>
        <v>1.9500000000000001E-9</v>
      </c>
      <c r="J347" s="180">
        <f>OUHK!K14</f>
        <v>20</v>
      </c>
      <c r="K347" s="180">
        <f>OUHK!T14</f>
        <v>26</v>
      </c>
      <c r="L347" s="483">
        <f>IFERROR(OUHK!AB14/OUHK!U14,"新科目")</f>
        <v>9.75</v>
      </c>
      <c r="M347" s="16">
        <f>入學要求!S338</f>
        <v>0</v>
      </c>
    </row>
    <row r="348" spans="1:13">
      <c r="A348" s="180" t="str">
        <f>OUHK!A15</f>
        <v>JS9230</v>
      </c>
      <c r="B348" s="16" t="s">
        <v>1161</v>
      </c>
      <c r="C348" s="180" t="str">
        <f>OUHK!C15</f>
        <v>商業管理學榮譽工商管理學士</v>
      </c>
      <c r="D348" s="180" t="str">
        <f>OUHK!D15</f>
        <v>BBA(Hons) Business Mgt</v>
      </c>
      <c r="E348" s="180" t="str">
        <f>OUHK!E15</f>
        <v>4C1X</v>
      </c>
      <c r="F348" s="184" t="s">
        <v>360</v>
      </c>
      <c r="G348" s="184">
        <f>OUHK!F15</f>
        <v>16</v>
      </c>
      <c r="H348" s="184">
        <f>OUHK!G15</f>
        <v>15</v>
      </c>
      <c r="I348" s="209">
        <f>計分版!D353</f>
        <v>1.9500000000000001E-9</v>
      </c>
      <c r="J348" s="180">
        <f>OUHK!K15</f>
        <v>40</v>
      </c>
      <c r="K348" s="180">
        <f>OUHK!T15</f>
        <v>126</v>
      </c>
      <c r="L348" s="483">
        <f>IFERROR(OUHK!AB15/OUHK!U15,"新科目")</f>
        <v>8.3387096774193541</v>
      </c>
      <c r="M348" s="16">
        <f>入學要求!S339</f>
        <v>0</v>
      </c>
    </row>
    <row r="349" spans="1:13">
      <c r="A349" s="180" t="str">
        <f>OUHK!A16</f>
        <v>JS9240</v>
      </c>
      <c r="B349" s="16" t="s">
        <v>1161</v>
      </c>
      <c r="C349" s="180" t="str">
        <f>OUHK!C16</f>
        <v>環球商業及市場學榮譽工商管理學士</v>
      </c>
      <c r="D349" s="180" t="str">
        <f>OUHK!D16</f>
        <v>BBA(Hons)GB &amp; Mktg</v>
      </c>
      <c r="E349" s="180" t="str">
        <f>OUHK!E16</f>
        <v>4C1X</v>
      </c>
      <c r="F349" s="184" t="s">
        <v>360</v>
      </c>
      <c r="G349" s="184">
        <f>OUHK!F16</f>
        <v>17</v>
      </c>
      <c r="H349" s="184">
        <f>OUHK!G16</f>
        <v>16</v>
      </c>
      <c r="I349" s="209">
        <f>計分版!D354</f>
        <v>1.9500000000000001E-9</v>
      </c>
      <c r="J349" s="180">
        <f>OUHK!K16</f>
        <v>40</v>
      </c>
      <c r="K349" s="180">
        <f>OUHK!T16</f>
        <v>122</v>
      </c>
      <c r="L349" s="483">
        <f>IFERROR(OUHK!AB16/OUHK!U16,"新科目")</f>
        <v>4.1379310344827589</v>
      </c>
      <c r="M349" s="16">
        <f>入學要求!S340</f>
        <v>0</v>
      </c>
    </row>
    <row r="350" spans="1:13">
      <c r="A350" s="180" t="str">
        <f>OUHK!A17</f>
        <v>JS9250</v>
      </c>
      <c r="B350" s="16" t="s">
        <v>1161</v>
      </c>
      <c r="C350" s="180" t="str">
        <f>OUHK!C17</f>
        <v>企業管治榮譽工商管理學士</v>
      </c>
      <c r="D350" s="180" t="str">
        <f>OUHK!D17</f>
        <v>BBA(Hons)Corp Governance</v>
      </c>
      <c r="E350" s="180" t="str">
        <f>OUHK!E17</f>
        <v>4C1X</v>
      </c>
      <c r="F350" s="184" t="s">
        <v>360</v>
      </c>
      <c r="G350" s="184">
        <f>OUHK!F17</f>
        <v>18</v>
      </c>
      <c r="H350" s="184">
        <f>OUHK!G17</f>
        <v>18</v>
      </c>
      <c r="I350" s="209">
        <f>計分版!D355</f>
        <v>1.9500000000000001E-9</v>
      </c>
      <c r="J350" s="180">
        <f>OUHK!K17</f>
        <v>10</v>
      </c>
      <c r="K350" s="180">
        <f>OUHK!T17</f>
        <v>13</v>
      </c>
      <c r="L350" s="483">
        <f>IFERROR(OUHK!AB17/OUHK!U17,"新科目")</f>
        <v>16.375</v>
      </c>
      <c r="M350" s="16">
        <f>入學要求!S341</f>
        <v>0</v>
      </c>
    </row>
    <row r="351" spans="1:13">
      <c r="A351" s="180" t="str">
        <f>OUHK!A18</f>
        <v>JS9261</v>
      </c>
      <c r="B351" s="16" t="s">
        <v>1161</v>
      </c>
      <c r="C351" s="180" t="str">
        <f>OUHK!C18</f>
        <v>數碼商業榮譽工商管理學士</v>
      </c>
      <c r="D351" s="180" t="str">
        <f>OUHK!D18</f>
        <v>BBA(Hons) DigBus</v>
      </c>
      <c r="E351" s="180" t="str">
        <f>OUHK!E18</f>
        <v>4C1X</v>
      </c>
      <c r="F351" s="184" t="s">
        <v>360</v>
      </c>
      <c r="G351" s="184">
        <f>OUHK!F18</f>
        <v>12</v>
      </c>
      <c r="H351" s="184">
        <f>OUHK!G18</f>
        <v>12</v>
      </c>
      <c r="I351" s="209">
        <f>計分版!D356</f>
        <v>1.9500000000000001E-9</v>
      </c>
      <c r="J351" s="180">
        <f>OUHK!K18</f>
        <v>10</v>
      </c>
      <c r="K351" s="180">
        <f>OUHK!T18</f>
        <v>7</v>
      </c>
      <c r="L351" s="483">
        <f>IFERROR(OUHK!AB18/OUHK!U18,"新科目")</f>
        <v>20</v>
      </c>
      <c r="M351" s="16">
        <f>入學要求!S342</f>
        <v>0</v>
      </c>
    </row>
    <row r="352" spans="1:13">
      <c r="A352" s="180" t="str">
        <f>OUHK!A19</f>
        <v>JS9272</v>
      </c>
      <c r="B352" s="16" t="s">
        <v>1161</v>
      </c>
      <c r="C352" s="180" t="str">
        <f>OUHK!C19</f>
        <v>財務及風險管理榮譽工商管理學士</v>
      </c>
      <c r="D352" s="180" t="str">
        <f>OUHK!D19</f>
        <v>BBA(Hons) Fin &amp; Risk Mgt</v>
      </c>
      <c r="E352" s="180" t="str">
        <f>OUHK!E19</f>
        <v>4C1X</v>
      </c>
      <c r="F352" s="184" t="s">
        <v>360</v>
      </c>
      <c r="G352" s="184" t="str">
        <f>OUHK!F19</f>
        <v>/</v>
      </c>
      <c r="H352" s="184" t="str">
        <f>OUHK!G19</f>
        <v>/</v>
      </c>
      <c r="I352" s="209">
        <f>計分版!D357</f>
        <v>1.9500000000000001E-9</v>
      </c>
      <c r="J352" s="180">
        <f>OUHK!K19</f>
        <v>10</v>
      </c>
      <c r="K352" s="180">
        <f>OUHK!T19</f>
        <v>14</v>
      </c>
      <c r="L352" s="483">
        <f>IFERROR(OUHK!AB19/OUHK!U19,"新科目")</f>
        <v>13.5</v>
      </c>
      <c r="M352" s="16">
        <f>入學要求!S343</f>
        <v>0</v>
      </c>
    </row>
    <row r="353" spans="1:13">
      <c r="A353" s="180" t="str">
        <f>OUHK!A20</f>
        <v>JS9276</v>
      </c>
      <c r="B353" s="16" t="s">
        <v>1161</v>
      </c>
      <c r="C353" s="180" t="str">
        <f>OUHK!C20</f>
        <v>房地產及設施管理榮譽工商管理學士</v>
      </c>
      <c r="D353" s="180" t="str">
        <f>OUHK!D20</f>
        <v>BBA(Hons) RealEst&amp;FacMgt</v>
      </c>
      <c r="E353" s="180" t="str">
        <f>OUHK!E20</f>
        <v>4C1X</v>
      </c>
      <c r="F353" s="184" t="s">
        <v>360</v>
      </c>
      <c r="G353" s="184">
        <f>OUHK!F20</f>
        <v>16</v>
      </c>
      <c r="H353" s="184">
        <f>OUHK!G20</f>
        <v>16</v>
      </c>
      <c r="I353" s="209">
        <f>計分版!D358</f>
        <v>1.9500000000000001E-9</v>
      </c>
      <c r="J353" s="180">
        <f>OUHK!K20</f>
        <v>10</v>
      </c>
      <c r="K353" s="180">
        <f>OUHK!T20</f>
        <v>9</v>
      </c>
      <c r="L353" s="483">
        <f>IFERROR(OUHK!AB20/OUHK!U20,"新科目")</f>
        <v>14</v>
      </c>
      <c r="M353" s="16">
        <f>入學要求!S344</f>
        <v>0</v>
      </c>
    </row>
    <row r="354" spans="1:13">
      <c r="A354" s="180" t="str">
        <f>OUHK!A21</f>
        <v>JS9280</v>
      </c>
      <c r="B354" s="16" t="s">
        <v>1161</v>
      </c>
      <c r="C354" s="180" t="str">
        <f>OUHK!C21</f>
        <v>應用心理學榮譽學士，商業管理榮譽學士</v>
      </c>
      <c r="D354" s="180" t="str">
        <f>OUHK!D21</f>
        <v>BAPH &amp; BBMH</v>
      </c>
      <c r="E354" s="180" t="str">
        <f>OUHK!E21</f>
        <v>4C1X</v>
      </c>
      <c r="F354" s="184" t="s">
        <v>360</v>
      </c>
      <c r="G354" s="184">
        <f>OUHK!F21</f>
        <v>17</v>
      </c>
      <c r="H354" s="184">
        <f>OUHK!G21</f>
        <v>16</v>
      </c>
      <c r="I354" s="209">
        <f>計分版!D359</f>
        <v>1.9500000000000001E-9</v>
      </c>
      <c r="J354" s="180">
        <f>OUHK!K21</f>
        <v>30</v>
      </c>
      <c r="K354" s="180">
        <f>OUHK!T21</f>
        <v>63</v>
      </c>
      <c r="L354" s="483">
        <f>IFERROR(OUHK!AB21/OUHK!U21,"新科目")</f>
        <v>5.4571428571428573</v>
      </c>
      <c r="M354" s="16">
        <f>入學要求!S345</f>
        <v>0</v>
      </c>
    </row>
    <row r="355" spans="1:13">
      <c r="A355" s="180" t="str">
        <f>OUHK!A22</f>
        <v>JS9291</v>
      </c>
      <c r="B355" s="16" t="s">
        <v>1161</v>
      </c>
      <c r="C355" s="180" t="str">
        <f>OUHK!C22</f>
        <v>酒店及可持續旅遊管理榮譽工商管理學士</v>
      </c>
      <c r="D355" s="180" t="str">
        <f>OUHK!D22</f>
        <v>BBA(Hons)Hotel &amp;SustTour</v>
      </c>
      <c r="E355" s="180" t="str">
        <f>OUHK!E22</f>
        <v>4C1X</v>
      </c>
      <c r="F355" s="184" t="s">
        <v>360</v>
      </c>
      <c r="G355" s="184">
        <f>OUHK!F22</f>
        <v>16</v>
      </c>
      <c r="H355" s="184">
        <f>OUHK!G22</f>
        <v>15</v>
      </c>
      <c r="I355" s="209">
        <f>計分版!D360</f>
        <v>1.9500000000000001E-9</v>
      </c>
      <c r="J355" s="180">
        <f>OUHK!K22</f>
        <v>30</v>
      </c>
      <c r="K355" s="180">
        <f>OUHK!T22</f>
        <v>138</v>
      </c>
      <c r="L355" s="483">
        <f>IFERROR(OUHK!AB22/OUHK!U22,"新科目")</f>
        <v>8.4146341463414629</v>
      </c>
      <c r="M355" s="16">
        <f>入學要求!S346</f>
        <v>0</v>
      </c>
    </row>
    <row r="356" spans="1:13">
      <c r="A356" s="180" t="str">
        <f>OUHK!A23</f>
        <v>JS9294</v>
      </c>
      <c r="B356" s="16" t="s">
        <v>1161</v>
      </c>
      <c r="C356" s="180" t="str">
        <f>OUHK!C23</f>
        <v>運動及電競運動管理榮譽工商管理學士</v>
      </c>
      <c r="D356" s="180" t="str">
        <f>OUHK!D23</f>
        <v>BBA(Hons) eSports Mgt</v>
      </c>
      <c r="E356" s="180" t="str">
        <f>OUHK!E23</f>
        <v>4C1X</v>
      </c>
      <c r="F356" s="184" t="s">
        <v>360</v>
      </c>
      <c r="G356" s="184">
        <f>OUHK!F23</f>
        <v>15</v>
      </c>
      <c r="H356" s="184">
        <f>OUHK!G23</f>
        <v>15</v>
      </c>
      <c r="I356" s="209">
        <f>計分版!D361</f>
        <v>1.9500000000000001E-9</v>
      </c>
      <c r="J356" s="180">
        <f>OUHK!K23</f>
        <v>30</v>
      </c>
      <c r="K356" s="180">
        <f>OUHK!T23</f>
        <v>36</v>
      </c>
      <c r="L356" s="483">
        <f>IFERROR(OUHK!AB23/OUHK!U23,"新科目")</f>
        <v>28.888888888888889</v>
      </c>
      <c r="M356" s="16">
        <f>入學要求!S347</f>
        <v>0</v>
      </c>
    </row>
    <row r="357" spans="1:13">
      <c r="A357" s="180" t="str">
        <f>OUHK!A24</f>
        <v>JS9530</v>
      </c>
      <c r="B357" s="16" t="s">
        <v>1161</v>
      </c>
      <c r="C357" s="180" t="str">
        <f>OUHK!C24</f>
        <v>英語教學榮譽教育學士及英語研究榮譽學士</v>
      </c>
      <c r="D357" s="180" t="str">
        <f>OUHK!D24</f>
        <v>BEd(Hons)&amp;BEngLang(Hons)</v>
      </c>
      <c r="E357" s="180" t="str">
        <f>OUHK!E24</f>
        <v>Best 5</v>
      </c>
      <c r="F357" s="184" t="s">
        <v>360</v>
      </c>
      <c r="G357" s="184">
        <f>OUHK!F24</f>
        <v>22</v>
      </c>
      <c r="H357" s="184">
        <f>OUHK!G24</f>
        <v>21</v>
      </c>
      <c r="I357" s="209">
        <f>計分版!D362</f>
        <v>3.9500000000000006E-9</v>
      </c>
      <c r="J357" s="180">
        <f>OUHK!K24</f>
        <v>30</v>
      </c>
      <c r="K357" s="180">
        <f>OUHK!T24</f>
        <v>32</v>
      </c>
      <c r="L357" s="483">
        <f>IFERROR(OUHK!AB24/OUHK!U24,"新科目")</f>
        <v>4.2962962962962967</v>
      </c>
      <c r="M357" s="16">
        <f>入學要求!S348</f>
        <v>0</v>
      </c>
    </row>
    <row r="358" spans="1:13">
      <c r="A358" s="180" t="str">
        <f>OUHK!A25</f>
        <v>JS9540</v>
      </c>
      <c r="B358" s="16" t="s">
        <v>1161</v>
      </c>
      <c r="C358" s="180" t="str">
        <f>OUHK!C25</f>
        <v>英語研究榮譽學士</v>
      </c>
      <c r="D358" s="180" t="str">
        <f>OUHK!D25</f>
        <v>BEng Lang (Hons)</v>
      </c>
      <c r="E358" s="180" t="str">
        <f>OUHK!E25</f>
        <v>Best 5</v>
      </c>
      <c r="F358" s="184" t="s">
        <v>360</v>
      </c>
      <c r="G358" s="184">
        <f>OUHK!F25</f>
        <v>20</v>
      </c>
      <c r="H358" s="184">
        <f>OUHK!G25</f>
        <v>19</v>
      </c>
      <c r="I358" s="209">
        <f>計分版!D363</f>
        <v>3.9500000000000006E-9</v>
      </c>
      <c r="J358" s="180">
        <f>OUHK!K25</f>
        <v>25</v>
      </c>
      <c r="K358" s="180">
        <f>OUHK!T25</f>
        <v>56</v>
      </c>
      <c r="L358" s="483">
        <f>IFERROR(OUHK!AB25/OUHK!U25,"新科目")</f>
        <v>2.71875</v>
      </c>
      <c r="M358" s="16">
        <f>入學要求!S349</f>
        <v>0</v>
      </c>
    </row>
    <row r="359" spans="1:13">
      <c r="A359" s="180" t="str">
        <f>OUHK!A26</f>
        <v>JS9550</v>
      </c>
      <c r="B359" s="16" t="s">
        <v>1161</v>
      </c>
      <c r="C359" s="180" t="str">
        <f>OUHK!C26</f>
        <v>語言研究榮譽學士(應用中國語言)</v>
      </c>
      <c r="D359" s="180" t="str">
        <f>OUHK!D26</f>
        <v>BLang(Hons) Applied Chin</v>
      </c>
      <c r="E359" s="180" t="str">
        <f>OUHK!E26</f>
        <v>Best 5</v>
      </c>
      <c r="F359" s="184" t="s">
        <v>360</v>
      </c>
      <c r="G359" s="184">
        <f>OUHK!F26</f>
        <v>20</v>
      </c>
      <c r="H359" s="184">
        <f>OUHK!G26</f>
        <v>20</v>
      </c>
      <c r="I359" s="209">
        <f>計分版!D364</f>
        <v>3.9500000000000006E-9</v>
      </c>
      <c r="J359" s="180">
        <f>OUHK!K26</f>
        <v>20</v>
      </c>
      <c r="K359" s="180">
        <f>OUHK!T26</f>
        <v>28</v>
      </c>
      <c r="L359" s="483">
        <f>IFERROR(OUHK!AB26/OUHK!U26,"新科目")</f>
        <v>4.9090909090909092</v>
      </c>
      <c r="M359" s="16">
        <f>入學要求!S350</f>
        <v>0</v>
      </c>
    </row>
    <row r="360" spans="1:13">
      <c r="A360" s="180" t="str">
        <f>OUHK!A27</f>
        <v>JS9560</v>
      </c>
      <c r="B360" s="16" t="s">
        <v>1161</v>
      </c>
      <c r="C360" s="180" t="str">
        <f>OUHK!C27</f>
        <v>教育榮譽學士（中國語文教學）及語言研究榮譽學士（應用中國語言）</v>
      </c>
      <c r="D360" s="180" t="str">
        <f>OUHK!D27</f>
        <v>BEd(Hons)&amp;BLang(Hons)Chi</v>
      </c>
      <c r="E360" s="180" t="str">
        <f>OUHK!E27</f>
        <v>Best 5</v>
      </c>
      <c r="F360" s="184" t="s">
        <v>360</v>
      </c>
      <c r="G360" s="184">
        <f>OUHK!F27</f>
        <v>23</v>
      </c>
      <c r="H360" s="184">
        <f>OUHK!G27</f>
        <v>22</v>
      </c>
      <c r="I360" s="209">
        <f>計分版!D365</f>
        <v>3.9500000000000006E-9</v>
      </c>
      <c r="J360" s="180">
        <f>OUHK!K27</f>
        <v>35</v>
      </c>
      <c r="K360" s="180">
        <f>OUHK!T27</f>
        <v>35</v>
      </c>
      <c r="L360" s="483">
        <f>IFERROR(OUHK!AB27/OUHK!U27,"新科目")</f>
        <v>5.4074074074074074</v>
      </c>
      <c r="M360" s="16">
        <f>入學要求!S351</f>
        <v>0</v>
      </c>
    </row>
    <row r="361" spans="1:13">
      <c r="A361" s="180" t="str">
        <f>OUHK!A28</f>
        <v>JS9570</v>
      </c>
      <c r="B361" s="16" t="s">
        <v>1161</v>
      </c>
      <c r="C361" s="180" t="str">
        <f>OUHK!C28</f>
        <v>語言研究(雙語傳意)榮譽學士， 國際商業榮譽學士</v>
      </c>
      <c r="D361" s="180" t="str">
        <f>OUHK!D28</f>
        <v>BLang(Hons)BGBus(Hons)</v>
      </c>
      <c r="E361" s="180" t="str">
        <f>OUHK!E28</f>
        <v>Best 5</v>
      </c>
      <c r="F361" s="184" t="s">
        <v>360</v>
      </c>
      <c r="G361" s="184">
        <f>OUHK!F28</f>
        <v>16</v>
      </c>
      <c r="H361" s="184">
        <f>OUHK!G28</f>
        <v>16</v>
      </c>
      <c r="I361" s="209">
        <f>計分版!D366</f>
        <v>3.9500000000000006E-9</v>
      </c>
      <c r="J361" s="180">
        <f>OUHK!K28</f>
        <v>20</v>
      </c>
      <c r="K361" s="180">
        <f>OUHK!T28</f>
        <v>46</v>
      </c>
      <c r="L361" s="483">
        <f>IFERROR(OUHK!AB28/OUHK!U28,"新科目")</f>
        <v>3.4666666666666668</v>
      </c>
      <c r="M361" s="16">
        <f>入學要求!S352</f>
        <v>0</v>
      </c>
    </row>
    <row r="362" spans="1:13">
      <c r="A362" s="180" t="str">
        <f>OUHK!A29</f>
        <v>JS9580</v>
      </c>
      <c r="B362" s="16" t="s">
        <v>1161</v>
      </c>
      <c r="C362" s="180" t="str">
        <f>OUHK!C29</f>
        <v>教育榮譽學士(幼兒教育: 領導及特殊教育需要)</v>
      </c>
      <c r="D362" s="180" t="str">
        <f>OUHK!D29</f>
        <v>BEd(Hons)ECE-Leader&amp;SEN</v>
      </c>
      <c r="E362" s="180" t="str">
        <f>OUHK!E29</f>
        <v>Best 5</v>
      </c>
      <c r="F362" s="184" t="s">
        <v>360</v>
      </c>
      <c r="G362" s="184">
        <f>OUHK!F29</f>
        <v>16</v>
      </c>
      <c r="H362" s="184">
        <f>OUHK!G29</f>
        <v>15</v>
      </c>
      <c r="I362" s="209">
        <f>計分版!D367</f>
        <v>3.9500000000000006E-9</v>
      </c>
      <c r="J362" s="180">
        <f>OUHK!K29</f>
        <v>40</v>
      </c>
      <c r="K362" s="180">
        <f>OUHK!T29</f>
        <v>98</v>
      </c>
      <c r="L362" s="483">
        <f>IFERROR(OUHK!AB29/OUHK!U29,"新科目")</f>
        <v>8.4666666666666668</v>
      </c>
      <c r="M362" s="16">
        <f>入學要求!S353</f>
        <v>0</v>
      </c>
    </row>
    <row r="363" spans="1:13">
      <c r="A363" s="180" t="str">
        <f>OUHK!A30</f>
        <v>JS9718</v>
      </c>
      <c r="B363" s="16" t="s">
        <v>1161</v>
      </c>
      <c r="C363" s="180" t="str">
        <f>OUHK!C30</f>
        <v>電腦科學榮譽理學士</v>
      </c>
      <c r="D363" s="180" t="str">
        <f>OUHK!D30</f>
        <v>BSc(Hons) Comp Sci</v>
      </c>
      <c r="E363" s="180" t="str">
        <f>OUHK!E30</f>
        <v>4C1X</v>
      </c>
      <c r="F363" s="184" t="s">
        <v>360</v>
      </c>
      <c r="G363" s="184" t="str">
        <f>OUHK!F30</f>
        <v>/</v>
      </c>
      <c r="H363" s="184" t="str">
        <f>OUHK!G30</f>
        <v>/</v>
      </c>
      <c r="I363" s="209">
        <f>計分版!D368</f>
        <v>1.9500000000000001E-9</v>
      </c>
      <c r="J363" s="180">
        <f>OUHK!K30</f>
        <v>35</v>
      </c>
      <c r="K363" s="180" t="str">
        <f>OUHK!T30</f>
        <v>/</v>
      </c>
      <c r="L363" s="483" t="str">
        <f>IFERROR(OUHK!AB30/OUHK!U30,"新科目")</f>
        <v>新科目</v>
      </c>
      <c r="M363" s="16">
        <f>入學要求!S354</f>
        <v>0</v>
      </c>
    </row>
    <row r="364" spans="1:13">
      <c r="A364" s="180" t="str">
        <f>OUHK!A31</f>
        <v>JS9719</v>
      </c>
      <c r="B364" s="16" t="s">
        <v>1161</v>
      </c>
      <c r="C364" s="180" t="str">
        <f>OUHK!C31</f>
        <v>網路及電腦安全榮譽理學士</v>
      </c>
      <c r="D364" s="180" t="str">
        <f>OUHK!D31</f>
        <v>BSc(Hons) Cyber&amp;ComSecy</v>
      </c>
      <c r="E364" s="180" t="str">
        <f>OUHK!E31</f>
        <v>4C1X</v>
      </c>
      <c r="F364" s="184" t="s">
        <v>360</v>
      </c>
      <c r="G364" s="184" t="str">
        <f>OUHK!F31</f>
        <v>/</v>
      </c>
      <c r="H364" s="184" t="str">
        <f>OUHK!G31</f>
        <v>/</v>
      </c>
      <c r="I364" s="209">
        <f>計分版!D369</f>
        <v>1.9500000000000001E-9</v>
      </c>
      <c r="J364" s="180">
        <f>OUHK!K31</f>
        <v>30</v>
      </c>
      <c r="K364" s="180" t="str">
        <f>OUHK!T31</f>
        <v>/</v>
      </c>
      <c r="L364" s="483" t="str">
        <f>IFERROR(OUHK!AB31/OUHK!U31,"新科目")</f>
        <v>新科目</v>
      </c>
      <c r="M364" s="16">
        <f>入學要求!S355</f>
        <v>0</v>
      </c>
    </row>
    <row r="365" spans="1:13">
      <c r="A365" s="180" t="str">
        <f>OUHK!A32</f>
        <v>JS9720</v>
      </c>
      <c r="B365" s="16" t="s">
        <v>1161</v>
      </c>
      <c r="C365" s="180" t="str">
        <f>OUHK!C32</f>
        <v>電子及電腦工程學榮譽工學士</v>
      </c>
      <c r="D365" s="180" t="str">
        <f>OUHK!D32</f>
        <v>BEng(Hons)Elec &amp; CompEng</v>
      </c>
      <c r="E365" s="180" t="str">
        <f>OUHK!E32</f>
        <v>4C1X</v>
      </c>
      <c r="F365" s="184" t="s">
        <v>360</v>
      </c>
      <c r="G365" s="184">
        <f>OUHK!F32</f>
        <v>16</v>
      </c>
      <c r="H365" s="184">
        <f>OUHK!G32</f>
        <v>15</v>
      </c>
      <c r="I365" s="209">
        <f>計分版!D370</f>
        <v>1.9500000000000001E-9</v>
      </c>
      <c r="J365" s="180">
        <f>OUHK!K32</f>
        <v>35</v>
      </c>
      <c r="K365" s="180">
        <f>OUHK!T32</f>
        <v>53</v>
      </c>
      <c r="L365" s="483">
        <f>IFERROR(OUHK!AB32/OUHK!U32,"新科目")</f>
        <v>5.25</v>
      </c>
      <c r="M365" s="16">
        <f>入學要求!S356</f>
        <v>0</v>
      </c>
    </row>
    <row r="366" spans="1:13">
      <c r="A366" s="180" t="str">
        <f>OUHK!A33</f>
        <v>JS9721</v>
      </c>
      <c r="B366" s="16" t="s">
        <v>1161</v>
      </c>
      <c r="C366" s="180" t="str">
        <f>OUHK!C33</f>
        <v>屋宇設備工程及可持續發展榮譽工學士</v>
      </c>
      <c r="D366" s="180" t="str">
        <f>OUHK!D33</f>
        <v>BENG(Hons)BSE&amp;SustainDev</v>
      </c>
      <c r="E366" s="180" t="str">
        <f>OUHK!E33</f>
        <v>4C1X</v>
      </c>
      <c r="F366" s="184" t="s">
        <v>360</v>
      </c>
      <c r="G366" s="184" t="str">
        <f>OUHK!F33</f>
        <v>/</v>
      </c>
      <c r="H366" s="184" t="str">
        <f>OUHK!G33</f>
        <v>/</v>
      </c>
      <c r="I366" s="209">
        <f>計分版!D371</f>
        <v>1.9500000000000001E-9</v>
      </c>
      <c r="J366" s="180">
        <f>OUHK!K33</f>
        <v>30</v>
      </c>
      <c r="K366" s="180" t="str">
        <f>OUHK!T33</f>
        <v>/</v>
      </c>
      <c r="L366" s="483" t="str">
        <f>IFERROR(OUHK!AB33/OUHK!U33,"新科目")</f>
        <v>新科目</v>
      </c>
      <c r="M366" s="16">
        <f>入學要求!S357</f>
        <v>0</v>
      </c>
    </row>
    <row r="367" spans="1:13">
      <c r="A367" s="180" t="str">
        <f>OUHK!A34</f>
        <v>JS9722</v>
      </c>
      <c r="B367" s="16" t="s">
        <v>1161</v>
      </c>
      <c r="C367" s="180" t="str">
        <f>OUHK!C34</f>
        <v>土木及環境工程榮譽工學士</v>
      </c>
      <c r="D367" s="180" t="str">
        <f>OUHK!D34</f>
        <v>BENG(Hons) Civil&amp;EnvrEng</v>
      </c>
      <c r="E367" s="180" t="str">
        <f>OUHK!E34</f>
        <v>4C1X</v>
      </c>
      <c r="F367" s="184" t="s">
        <v>360</v>
      </c>
      <c r="G367" s="184" t="str">
        <f>OUHK!F34</f>
        <v>/</v>
      </c>
      <c r="H367" s="184" t="str">
        <f>OUHK!G34</f>
        <v>/</v>
      </c>
      <c r="I367" s="209">
        <f>計分版!D372</f>
        <v>1.9500000000000001E-9</v>
      </c>
      <c r="J367" s="180">
        <f>OUHK!K34</f>
        <v>30</v>
      </c>
      <c r="K367" s="180" t="str">
        <f>OUHK!T34</f>
        <v>/</v>
      </c>
      <c r="L367" s="483" t="str">
        <f>IFERROR(OUHK!AB34/OUHK!U34,"新科目")</f>
        <v>新科目</v>
      </c>
      <c r="M367" s="16">
        <f>入學要求!S358</f>
        <v>0</v>
      </c>
    </row>
    <row r="368" spans="1:13">
      <c r="A368" s="180" t="str">
        <f>OUHK!A35</f>
        <v>JS9731</v>
      </c>
      <c r="B368" s="16" t="s">
        <v>1161</v>
      </c>
      <c r="C368" s="180" t="str">
        <f>OUHK!C35</f>
        <v>環境科學與綠色管理榮譽理學士</v>
      </c>
      <c r="D368" s="180" t="str">
        <f>OUHK!D35</f>
        <v>BSc(Hons)EnvSci&amp;GreenMgt</v>
      </c>
      <c r="E368" s="180" t="str">
        <f>OUHK!E35</f>
        <v>4C1X</v>
      </c>
      <c r="F368" s="184" t="s">
        <v>360</v>
      </c>
      <c r="G368" s="184">
        <f>OUHK!F35</f>
        <v>16</v>
      </c>
      <c r="H368" s="184">
        <f>OUHK!G35</f>
        <v>14</v>
      </c>
      <c r="I368" s="209">
        <f>計分版!D373</f>
        <v>1.9500000000000001E-9</v>
      </c>
      <c r="J368" s="180">
        <f>OUHK!K35</f>
        <v>35</v>
      </c>
      <c r="K368" s="180">
        <f>OUHK!T35</f>
        <v>21</v>
      </c>
      <c r="L368" s="483">
        <f>IFERROR(OUHK!AB35/OUHK!U35,"新科目")</f>
        <v>12.571428571428571</v>
      </c>
      <c r="M368" s="16">
        <f>入學要求!S359</f>
        <v>0</v>
      </c>
    </row>
    <row r="369" spans="1:13">
      <c r="A369" s="180" t="str">
        <f>OUHK!A36</f>
        <v>JS9732</v>
      </c>
      <c r="B369" s="16" t="s">
        <v>1161</v>
      </c>
      <c r="C369" s="180" t="str">
        <f>OUHK!C36</f>
        <v>生命科學榮譽理學士</v>
      </c>
      <c r="D369" s="180" t="str">
        <f>OUHK!D36</f>
        <v>BSc(Hons) LifeSci</v>
      </c>
      <c r="E369" s="180" t="str">
        <f>OUHK!E36</f>
        <v>4C1X</v>
      </c>
      <c r="F369" s="184" t="s">
        <v>360</v>
      </c>
      <c r="G369" s="184">
        <f>OUHK!F36</f>
        <v>17</v>
      </c>
      <c r="H369" s="184">
        <f>OUHK!G36</f>
        <v>16</v>
      </c>
      <c r="I369" s="209">
        <f>計分版!D374</f>
        <v>1.9500000000000001E-9</v>
      </c>
      <c r="J369" s="180">
        <f>OUHK!K36</f>
        <v>30</v>
      </c>
      <c r="K369" s="180">
        <f>OUHK!T36</f>
        <v>25</v>
      </c>
      <c r="L369" s="483">
        <f>IFERROR(OUHK!AB36/OUHK!U36,"新科目")</f>
        <v>5.1538461538461542</v>
      </c>
      <c r="M369" s="16">
        <f>入學要求!S360</f>
        <v>0</v>
      </c>
    </row>
    <row r="370" spans="1:13">
      <c r="D370" s="16"/>
    </row>
    <row r="371" spans="1:13">
      <c r="D371" s="114"/>
      <c r="E371" s="56"/>
      <c r="F371" s="329" t="s">
        <v>368</v>
      </c>
      <c r="G371" s="329" t="s">
        <v>994</v>
      </c>
      <c r="H371" s="329" t="s">
        <v>995</v>
      </c>
      <c r="I371" s="331" t="str">
        <f>計分版!D376</f>
        <v>總分</v>
      </c>
      <c r="J371" s="114"/>
      <c r="K371" s="114"/>
      <c r="L371" s="484"/>
    </row>
    <row r="372" spans="1:13">
      <c r="A372" s="16" t="str">
        <f>SSSDP!A2</f>
        <v>JSSA01</v>
      </c>
      <c r="B372" s="180" t="str">
        <f>SSSDP!B2</f>
        <v>明愛專上學院</v>
      </c>
      <c r="C372" s="180" t="str">
        <f>SSSDP!C2</f>
        <v>護理學榮譽學士</v>
      </c>
      <c r="D372" s="180" t="str">
        <f>SSSDP!D2</f>
        <v>BN (Hons)</v>
      </c>
      <c r="E372" s="180" t="str">
        <f>SSSDP!E2</f>
        <v>4C1X</v>
      </c>
      <c r="F372" s="184" t="str">
        <f>SSSDP!F2</f>
        <v>/</v>
      </c>
      <c r="G372" s="184">
        <f>SSSDP!G2</f>
        <v>16.2</v>
      </c>
      <c r="H372" s="184" t="str">
        <f>SSSDP!H2</f>
        <v>/</v>
      </c>
      <c r="I372" s="209">
        <f>計分版!D377</f>
        <v>1.9000000000000001E-9</v>
      </c>
      <c r="J372" s="16">
        <f>SSSDP!L2</f>
        <v>400</v>
      </c>
      <c r="K372" s="180">
        <f>SSSDP!U2</f>
        <v>490</v>
      </c>
      <c r="L372" s="483">
        <f>IFERROR(SSSDP!AC2/SSSDP!V2,"新科目")</f>
        <v>4.7632653061224488</v>
      </c>
      <c r="M372" s="16">
        <f>入學要求!S364</f>
        <v>0</v>
      </c>
    </row>
    <row r="373" spans="1:13">
      <c r="A373" s="180" t="str">
        <f>SSSDP!A3</f>
        <v>JSSA02</v>
      </c>
      <c r="B373" s="180" t="str">
        <f>SSSDP!B3</f>
        <v>明愛專上學院</v>
      </c>
      <c r="C373" s="180" t="str">
        <f>SSSDP!C3</f>
        <v>數碼娛樂科技榮譽理學士</v>
      </c>
      <c r="D373" s="180" t="str">
        <f>SSSDP!D3</f>
        <v>BSDET (Hons)</v>
      </c>
      <c r="E373" s="180" t="str">
        <f>SSSDP!E3</f>
        <v>4C1X</v>
      </c>
      <c r="F373" s="184" t="str">
        <f>SSSDP!F3</f>
        <v>/</v>
      </c>
      <c r="G373" s="184">
        <f>SSSDP!G3</f>
        <v>13.8</v>
      </c>
      <c r="H373" s="184" t="str">
        <f>SSSDP!H3</f>
        <v>/</v>
      </c>
      <c r="I373" s="209">
        <f>計分版!D378</f>
        <v>1.9000000000000001E-9</v>
      </c>
      <c r="J373" s="180">
        <f>SSSDP!L3</f>
        <v>30</v>
      </c>
      <c r="K373" s="180">
        <f>SSSDP!U3</f>
        <v>39</v>
      </c>
      <c r="L373" s="483">
        <f>IFERROR(SSSDP!AC3/SSSDP!V3,"新科目")</f>
        <v>10.611111111111111</v>
      </c>
      <c r="M373" s="180">
        <f>入學要求!S365</f>
        <v>0</v>
      </c>
    </row>
    <row r="374" spans="1:13">
      <c r="A374" s="180" t="str">
        <f>SSSDP!A4</f>
        <v>JSSA03</v>
      </c>
      <c r="B374" s="180" t="str">
        <f>SSSDP!B4</f>
        <v>明愛專上學院</v>
      </c>
      <c r="C374" s="180" t="str">
        <f>SSSDP!C4</f>
        <v>物理治療學（榮譽）理學士</v>
      </c>
      <c r="D374" s="180" t="str">
        <f>SSSDP!D4</f>
        <v>BSPT (Hons)</v>
      </c>
      <c r="E374" s="180" t="str">
        <f>SSSDP!E4</f>
        <v>4C1X</v>
      </c>
      <c r="F374" s="184" t="str">
        <f>SSSDP!F4</f>
        <v>/</v>
      </c>
      <c r="G374" s="184" t="str">
        <f>SSSDP!G4</f>
        <v>/</v>
      </c>
      <c r="H374" s="184" t="str">
        <f>SSSDP!H4</f>
        <v>/</v>
      </c>
      <c r="I374" s="209">
        <f>計分版!D379</f>
        <v>1.9000000000000001E-9</v>
      </c>
      <c r="J374" s="180">
        <f>SSSDP!L4</f>
        <v>50</v>
      </c>
      <c r="K374" s="180" t="str">
        <f>SSSDP!U4</f>
        <v>/</v>
      </c>
      <c r="L374" s="483" t="str">
        <f>IFERROR(SSSDP!AC4/SSSDP!V4,"新科目")</f>
        <v>新科目</v>
      </c>
      <c r="M374" s="180">
        <f>入學要求!S366</f>
        <v>0</v>
      </c>
    </row>
    <row r="375" spans="1:13">
      <c r="A375" s="180" t="str">
        <f>SSSDP!A5</f>
        <v>JSSA04</v>
      </c>
      <c r="B375" s="180" t="str">
        <f>SSSDP!B5</f>
        <v>明愛專上學院</v>
      </c>
      <c r="C375" s="180" t="str">
        <f>SSSDP!C5</f>
        <v>人工智能（榮譽）理學士</v>
      </c>
      <c r="D375" s="180" t="str">
        <f>SSSDP!D5</f>
        <v>BSAI (Hons)</v>
      </c>
      <c r="E375" s="180" t="str">
        <f>SSSDP!E5</f>
        <v>4C1X</v>
      </c>
      <c r="F375" s="184" t="str">
        <f>SSSDP!F5</f>
        <v>/</v>
      </c>
      <c r="G375" s="184" t="str">
        <f>SSSDP!G5</f>
        <v>/</v>
      </c>
      <c r="H375" s="184" t="str">
        <f>SSSDP!H5</f>
        <v>/</v>
      </c>
      <c r="I375" s="209">
        <f>計分版!D380</f>
        <v>1.9000000000000001E-9</v>
      </c>
      <c r="J375" s="180">
        <f>SSSDP!L5</f>
        <v>30</v>
      </c>
      <c r="K375" s="180" t="str">
        <f>SSSDP!U5</f>
        <v>/</v>
      </c>
      <c r="L375" s="483" t="str">
        <f>IFERROR(SSSDP!AC5/SSSDP!V5,"新科目")</f>
        <v>新科目</v>
      </c>
      <c r="M375" s="180">
        <f>入學要求!S367</f>
        <v>0</v>
      </c>
    </row>
    <row r="376" spans="1:13">
      <c r="A376" s="180" t="str">
        <f>SSSDP!A6</f>
        <v>JSSC02</v>
      </c>
      <c r="B376" s="180" t="str">
        <f>SSSDP!B6</f>
        <v>珠海學院</v>
      </c>
      <c r="C376" s="180" t="str">
        <f>SSSDP!C6</f>
        <v>建築學（榮譽）理學士</v>
      </c>
      <c r="D376" s="180" t="str">
        <f>SSSDP!D6</f>
        <v>B.Sc (Hons) in Arch</v>
      </c>
      <c r="E376" s="180" t="str">
        <f>SSSDP!E6</f>
        <v>4C1X</v>
      </c>
      <c r="F376" s="184">
        <f>SSSDP!F6</f>
        <v>18</v>
      </c>
      <c r="G376" s="184" t="str">
        <f>SSSDP!G6</f>
        <v>/</v>
      </c>
      <c r="H376" s="184">
        <f>SSSDP!H6</f>
        <v>14</v>
      </c>
      <c r="I376" s="209">
        <f>計分版!D381</f>
        <v>1.9500000000000001E-9</v>
      </c>
      <c r="J376" s="180">
        <f>SSSDP!L6</f>
        <v>60</v>
      </c>
      <c r="K376" s="180">
        <f>SSSDP!U6</f>
        <v>34</v>
      </c>
      <c r="L376" s="483">
        <f>IFERROR(SSSDP!AC6/SSSDP!V6,"新科目")</f>
        <v>5.6190476190476186</v>
      </c>
      <c r="M376" s="180">
        <f>入學要求!S368</f>
        <v>0</v>
      </c>
    </row>
    <row r="377" spans="1:13">
      <c r="A377" s="180" t="str">
        <f>SSSDP!A7</f>
        <v>JSSC03</v>
      </c>
      <c r="B377" s="180" t="str">
        <f>SSSDP!B7</f>
        <v>珠海學院</v>
      </c>
      <c r="C377" s="180" t="str">
        <f>SSSDP!C7</f>
        <v>資訊科學（榮譽）理學士</v>
      </c>
      <c r="D377" s="180" t="str">
        <f>SSSDP!D7</f>
        <v>B.Sc (Hons) in CS</v>
      </c>
      <c r="E377" s="180" t="str">
        <f>SSSDP!E7</f>
        <v>4C1X</v>
      </c>
      <c r="F377" s="184">
        <f>SSSDP!F7</f>
        <v>14</v>
      </c>
      <c r="G377" s="184" t="str">
        <f>SSSDP!G7</f>
        <v>/</v>
      </c>
      <c r="H377" s="184">
        <f>SSSDP!H7</f>
        <v>14</v>
      </c>
      <c r="I377" s="209">
        <f>計分版!D382</f>
        <v>1.9500000000000001E-9</v>
      </c>
      <c r="J377" s="180">
        <f>SSSDP!L7</f>
        <v>30</v>
      </c>
      <c r="K377" s="180">
        <f>SSSDP!U7</f>
        <v>17</v>
      </c>
      <c r="L377" s="483">
        <f>IFERROR(SSSDP!AC7/SSSDP!V7,"新科目")</f>
        <v>22.2</v>
      </c>
      <c r="M377" s="180">
        <f>入學要求!S369</f>
        <v>0</v>
      </c>
    </row>
    <row r="378" spans="1:13">
      <c r="A378" s="180" t="str">
        <f>SSSDP!A8</f>
        <v>JSSC04</v>
      </c>
      <c r="B378" s="180" t="str">
        <f>SSSDP!B8</f>
        <v>珠海學院</v>
      </c>
      <c r="C378" s="180" t="str">
        <f>SSSDP!C8</f>
        <v>傳播及跨媒體（榮譽）文學士</v>
      </c>
      <c r="D378" s="180" t="str">
        <f>SSSDP!D8</f>
        <v>BA (Hons) in JCC</v>
      </c>
      <c r="E378" s="180" t="str">
        <f>SSSDP!E8</f>
        <v>4C1X</v>
      </c>
      <c r="F378" s="184">
        <f>SSSDP!F8</f>
        <v>18</v>
      </c>
      <c r="G378" s="184" t="str">
        <f>SSSDP!G8</f>
        <v>/</v>
      </c>
      <c r="H378" s="184">
        <f>SSSDP!H8</f>
        <v>13</v>
      </c>
      <c r="I378" s="209">
        <f>計分版!D383</f>
        <v>1.9500000000000001E-9</v>
      </c>
      <c r="J378" s="180">
        <f>SSSDP!L8</f>
        <v>30</v>
      </c>
      <c r="K378" s="180">
        <f>SSSDP!U8</f>
        <v>50</v>
      </c>
      <c r="L378" s="483">
        <f>IFERROR(SSSDP!AC8/SSSDP!V8,"新科目")</f>
        <v>7.5</v>
      </c>
      <c r="M378" s="180">
        <f>入學要求!S370</f>
        <v>0</v>
      </c>
    </row>
    <row r="379" spans="1:13">
      <c r="A379" s="180" t="str">
        <f>SSSDP!A9</f>
        <v>JSSH01</v>
      </c>
      <c r="B379" s="180" t="str">
        <f>SSSDP!B9</f>
        <v>恒生大學</v>
      </c>
      <c r="C379" s="180" t="str">
        <f>SSSDP!C9</f>
        <v>供應鏈管理工商管理（榮譽）學士</v>
      </c>
      <c r="D379" s="180" t="str">
        <f>SSSDP!D9</f>
        <v>BBA-SCM</v>
      </c>
      <c r="E379" s="180" t="str">
        <f>SSSDP!E9</f>
        <v>Best 5</v>
      </c>
      <c r="F379" s="184" t="str">
        <f>SSSDP!F9</f>
        <v>/</v>
      </c>
      <c r="G379" s="184">
        <f>SSSDP!G9</f>
        <v>17.02</v>
      </c>
      <c r="H379" s="184" t="str">
        <f>SSSDP!H9</f>
        <v>/</v>
      </c>
      <c r="I379" s="209">
        <f>計分版!D384</f>
        <v>2.9000000000000003E-9</v>
      </c>
      <c r="J379" s="180">
        <f>SSSDP!L9</f>
        <v>105</v>
      </c>
      <c r="K379" s="180">
        <f>SSSDP!U9</f>
        <v>189</v>
      </c>
      <c r="L379" s="483">
        <f>IFERROR(SSSDP!AC9/SSSDP!V9,"新科目")</f>
        <v>4.465608465608466</v>
      </c>
      <c r="M379" s="180">
        <f>入學要求!S371</f>
        <v>0</v>
      </c>
    </row>
    <row r="380" spans="1:13">
      <c r="A380" s="180" t="str">
        <f>SSSDP!A10</f>
        <v>JSSH02</v>
      </c>
      <c r="B380" s="180" t="str">
        <f>SSSDP!B10</f>
        <v>恒生大學</v>
      </c>
      <c r="C380" s="180" t="str">
        <f>SSSDP!C10</f>
        <v>精算及保險 （榮譽）理學士</v>
      </c>
      <c r="D380" s="180" t="str">
        <f>SSSDP!D10</f>
        <v>BSC-AIN</v>
      </c>
      <c r="E380" s="180" t="str">
        <f>SSSDP!E10</f>
        <v>Best 5</v>
      </c>
      <c r="F380" s="184" t="str">
        <f>SSSDP!F10</f>
        <v>/</v>
      </c>
      <c r="G380" s="184">
        <f>SSSDP!G10</f>
        <v>16.77</v>
      </c>
      <c r="H380" s="184" t="str">
        <f>SSSDP!H10</f>
        <v>/</v>
      </c>
      <c r="I380" s="209">
        <f>計分版!D385</f>
        <v>3.3999999999999998E-9</v>
      </c>
      <c r="J380" s="180">
        <f>SSSDP!L10</f>
        <v>35</v>
      </c>
      <c r="K380" s="180">
        <f>SSSDP!U10</f>
        <v>63</v>
      </c>
      <c r="L380" s="483">
        <f>IFERROR(SSSDP!AC10/SSSDP!V10,"新科目")</f>
        <v>4.9743589743589745</v>
      </c>
      <c r="M380" s="180">
        <f>入學要求!S372</f>
        <v>0</v>
      </c>
    </row>
    <row r="381" spans="1:13">
      <c r="A381" s="180" t="str">
        <f>SSSDP!A11</f>
        <v>JSSH03</v>
      </c>
      <c r="B381" s="180" t="str">
        <f>SSSDP!B11</f>
        <v>恒生大學</v>
      </c>
      <c r="C381" s="180" t="str">
        <f>SSSDP!C11</f>
        <v>應用及人本計算學（榮譽）文學士</v>
      </c>
      <c r="D381" s="180" t="str">
        <f>SSSDP!D11</f>
        <v>BA-AHCC</v>
      </c>
      <c r="E381" s="180" t="str">
        <f>SSSDP!E11</f>
        <v>Best 5</v>
      </c>
      <c r="F381" s="184" t="str">
        <f>SSSDP!F11</f>
        <v>/</v>
      </c>
      <c r="G381" s="184">
        <f>SSSDP!G11</f>
        <v>15.97</v>
      </c>
      <c r="H381" s="184" t="str">
        <f>SSSDP!H11</f>
        <v>/</v>
      </c>
      <c r="I381" s="209">
        <f>計分版!D386</f>
        <v>3.3999999999999998E-9</v>
      </c>
      <c r="J381" s="180">
        <f>SSSDP!L11</f>
        <v>60</v>
      </c>
      <c r="K381" s="180">
        <f>SSSDP!U11</f>
        <v>69</v>
      </c>
      <c r="L381" s="483">
        <f>IFERROR(SSSDP!AC11/SSSDP!V11,"新科目")</f>
        <v>3.693877551020408</v>
      </c>
      <c r="M381" s="180">
        <f>入學要求!S373</f>
        <v>0</v>
      </c>
    </row>
    <row r="382" spans="1:13">
      <c r="A382" s="180" t="str">
        <f>SSSDP!A12</f>
        <v>JSSH04</v>
      </c>
      <c r="B382" s="180" t="str">
        <f>SSSDP!B12</f>
        <v>恒生大學</v>
      </c>
      <c r="C382" s="180" t="str">
        <f>SSSDP!C12</f>
        <v>數據科學及商業智能學（榮譽）理學士</v>
      </c>
      <c r="D382" s="180" t="str">
        <f>SSSDP!D12</f>
        <v>BSC-DSBI</v>
      </c>
      <c r="E382" s="180" t="str">
        <f>SSSDP!E12</f>
        <v>Best 5</v>
      </c>
      <c r="F382" s="184" t="str">
        <f>SSSDP!F12</f>
        <v>/</v>
      </c>
      <c r="G382" s="184">
        <f>SSSDP!G12</f>
        <v>16.34</v>
      </c>
      <c r="H382" s="184" t="str">
        <f>SSSDP!H12</f>
        <v>/</v>
      </c>
      <c r="I382" s="209">
        <f>計分版!D387</f>
        <v>3.3000000000000002E-9</v>
      </c>
      <c r="J382" s="180">
        <f>SSSDP!L12</f>
        <v>70</v>
      </c>
      <c r="K382" s="180">
        <f>SSSDP!U12</f>
        <v>126</v>
      </c>
      <c r="L382" s="483">
        <f>IFERROR(SSSDP!AC12/SSSDP!V12,"新科目")</f>
        <v>3.8846153846153846</v>
      </c>
      <c r="M382" s="180">
        <f>入學要求!S374</f>
        <v>0</v>
      </c>
    </row>
    <row r="383" spans="1:13">
      <c r="A383" s="180" t="str">
        <f>SSSDP!A13</f>
        <v>JSSH05</v>
      </c>
      <c r="B383" s="180" t="str">
        <f>SSSDP!B13</f>
        <v>恒生大學</v>
      </c>
      <c r="C383" s="180" t="str">
        <f>SSSDP!C13</f>
        <v>管理科學與資訊管理（榮譽）學士</v>
      </c>
      <c r="D383" s="180" t="str">
        <f>SSSDP!D13</f>
        <v>BMSIM</v>
      </c>
      <c r="E383" s="180" t="str">
        <f>SSSDP!E13</f>
        <v>Best 5</v>
      </c>
      <c r="F383" s="184" t="str">
        <f>SSSDP!F13</f>
        <v>/</v>
      </c>
      <c r="G383" s="184">
        <f>SSSDP!G13</f>
        <v>16.13</v>
      </c>
      <c r="H383" s="184" t="str">
        <f>SSSDP!H13</f>
        <v>/</v>
      </c>
      <c r="I383" s="209">
        <f>計分版!D388</f>
        <v>3.3999999999999998E-9</v>
      </c>
      <c r="J383" s="180">
        <f>SSSDP!L13</f>
        <v>65</v>
      </c>
      <c r="K383" s="180">
        <f>SSSDP!U13</f>
        <v>117</v>
      </c>
      <c r="L383" s="483">
        <f>IFERROR(SSSDP!AC13/SSSDP!V13,"新科目")</f>
        <v>4.2376237623762378</v>
      </c>
      <c r="M383" s="180">
        <f>入學要求!S375</f>
        <v>0</v>
      </c>
    </row>
    <row r="384" spans="1:13">
      <c r="A384" s="180" t="str">
        <f>SSSDP!A14</f>
        <v>JSSH06</v>
      </c>
      <c r="B384" s="180" t="str">
        <f>SSSDP!B14</f>
        <v>恒生大學</v>
      </c>
      <c r="C384" s="180" t="str">
        <f>SSSDP!C14</f>
        <v>藝術設計（榮譽）文學士</v>
      </c>
      <c r="D384" s="180" t="str">
        <f>SSSDP!D14</f>
        <v>BA-AD</v>
      </c>
      <c r="E384" s="180" t="str">
        <f>SSSDP!E14</f>
        <v>4C1X</v>
      </c>
      <c r="F384" s="184" t="str">
        <f>SSSDP!F14</f>
        <v>/</v>
      </c>
      <c r="G384" s="184" t="str">
        <f>SSSDP!G14</f>
        <v>/</v>
      </c>
      <c r="H384" s="184" t="str">
        <f>SSSDP!H14</f>
        <v>/</v>
      </c>
      <c r="I384" s="209">
        <f>計分版!D389</f>
        <v>1.9000000000000001E-9</v>
      </c>
      <c r="J384" s="180">
        <f>SSSDP!L14</f>
        <v>40</v>
      </c>
      <c r="K384" s="180" t="str">
        <f>SSSDP!U14</f>
        <v>/</v>
      </c>
      <c r="L384" s="483" t="str">
        <f>IFERROR(SSSDP!AC14/SSSDP!V14,"新科目")</f>
        <v>新科目</v>
      </c>
      <c r="M384" s="180">
        <f>入學要求!S376</f>
        <v>0</v>
      </c>
    </row>
    <row r="385" spans="1:13">
      <c r="A385" s="180" t="str">
        <f>SSSDP!A15</f>
        <v>JSST01</v>
      </c>
      <c r="B385" s="180" t="str">
        <f>SSSDP!B15</f>
        <v>東華學院</v>
      </c>
      <c r="C385" s="180" t="str">
        <f>SSSDP!C15</f>
        <v>護理學（榮譽）健康科學學士</v>
      </c>
      <c r="D385" s="180" t="str">
        <f>SSSDP!D15</f>
        <v>BHSc(N)</v>
      </c>
      <c r="E385" s="180" t="str">
        <f>SSSDP!E15</f>
        <v>Best 5</v>
      </c>
      <c r="F385" s="184" t="str">
        <f>SSSDP!F15</f>
        <v>/</v>
      </c>
      <c r="G385" s="184">
        <f>SSSDP!G15</f>
        <v>17.8</v>
      </c>
      <c r="H385" s="184" t="str">
        <f>SSSDP!H15</f>
        <v>/</v>
      </c>
      <c r="I385" s="209">
        <f>計分版!D390</f>
        <v>3.3999999999999998E-9</v>
      </c>
      <c r="J385" s="180">
        <f>SSSDP!L15</f>
        <v>350</v>
      </c>
      <c r="K385" s="180">
        <f>SSSDP!U15</f>
        <v>550</v>
      </c>
      <c r="L385" s="483">
        <f>IFERROR(SSSDP!AC15/SSSDP!V15,"新科目")</f>
        <v>4.3963553530751707</v>
      </c>
      <c r="M385" s="180">
        <f>入學要求!S377</f>
        <v>0</v>
      </c>
    </row>
    <row r="386" spans="1:13">
      <c r="A386" s="180" t="str">
        <f>SSSDP!A16</f>
        <v>JSST02</v>
      </c>
      <c r="B386" s="180" t="str">
        <f>SSSDP!B16</f>
        <v>東華學院</v>
      </c>
      <c r="C386" s="180" t="str">
        <f>SSSDP!C16</f>
        <v>醫療化驗科學（榮譽）理學士</v>
      </c>
      <c r="D386" s="180" t="str">
        <f>SSSDP!D16</f>
        <v>BSc(MLSc)</v>
      </c>
      <c r="E386" s="180" t="str">
        <f>SSSDP!E16</f>
        <v>Best 5</v>
      </c>
      <c r="F386" s="184" t="str">
        <f>SSSDP!F16</f>
        <v>/</v>
      </c>
      <c r="G386" s="184">
        <f>SSSDP!G16</f>
        <v>21.5</v>
      </c>
      <c r="H386" s="184" t="str">
        <f>SSSDP!H16</f>
        <v>/</v>
      </c>
      <c r="I386" s="209">
        <f>計分版!D391</f>
        <v>3.3999999999999998E-9</v>
      </c>
      <c r="J386" s="180">
        <f>SSSDP!L16</f>
        <v>45</v>
      </c>
      <c r="K386" s="180">
        <f>SSSDP!U16</f>
        <v>50</v>
      </c>
      <c r="L386" s="483">
        <f>IFERROR(SSSDP!AC16/SSSDP!V16,"新科目")</f>
        <v>6.2553191489361701</v>
      </c>
      <c r="M386" s="180">
        <f>入學要求!S378</f>
        <v>0</v>
      </c>
    </row>
    <row r="387" spans="1:13">
      <c r="A387" s="180" t="str">
        <f>SSSDP!A17</f>
        <v>JSST03</v>
      </c>
      <c r="B387" s="180" t="str">
        <f>SSSDP!B17</f>
        <v>東華學院</v>
      </c>
      <c r="C387" s="180" t="str">
        <f>SSSDP!C17</f>
        <v>放射治療學（榮譽）理學士</v>
      </c>
      <c r="D387" s="180" t="str">
        <f>SSSDP!D17</f>
        <v>BSc(RT)</v>
      </c>
      <c r="E387" s="180" t="str">
        <f>SSSDP!E17</f>
        <v>Best 5</v>
      </c>
      <c r="F387" s="184" t="str">
        <f>SSSDP!F17</f>
        <v>/</v>
      </c>
      <c r="G387" s="184">
        <f>SSSDP!G17</f>
        <v>22.8</v>
      </c>
      <c r="H387" s="184" t="str">
        <f>SSSDP!H17</f>
        <v>/</v>
      </c>
      <c r="I387" s="209">
        <f>計分版!D392</f>
        <v>3.3999999999999998E-9</v>
      </c>
      <c r="J387" s="180">
        <f>SSSDP!L17</f>
        <v>15</v>
      </c>
      <c r="K387" s="180">
        <f>SSSDP!U17</f>
        <v>15</v>
      </c>
      <c r="L387" s="483">
        <f>IFERROR(SSSDP!AC17/SSSDP!V17,"新科目")</f>
        <v>11.466666666666667</v>
      </c>
      <c r="M387" s="180">
        <f>入學要求!S379</f>
        <v>0</v>
      </c>
    </row>
    <row r="388" spans="1:13">
      <c r="A388" s="180" t="str">
        <f>SSSDP!A18</f>
        <v>JSST04</v>
      </c>
      <c r="B388" s="180" t="str">
        <f>SSSDP!B18</f>
        <v>東華學院</v>
      </c>
      <c r="C388" s="180" t="str">
        <f>SSSDP!C18</f>
        <v>職業治療學（榮譽）理學士</v>
      </c>
      <c r="D388" s="180" t="str">
        <f>SSSDP!D18</f>
        <v>BSc(OT)</v>
      </c>
      <c r="E388" s="180" t="str">
        <f>SSSDP!E18</f>
        <v>Best 5</v>
      </c>
      <c r="F388" s="184" t="str">
        <f>SSSDP!F18</f>
        <v>/</v>
      </c>
      <c r="G388" s="184">
        <f>SSSDP!G18</f>
        <v>21.9</v>
      </c>
      <c r="H388" s="184" t="str">
        <f>SSSDP!H18</f>
        <v>/</v>
      </c>
      <c r="I388" s="209">
        <f>計分版!D393</f>
        <v>3.3999999999999998E-9</v>
      </c>
      <c r="J388" s="180">
        <f>SSSDP!L18</f>
        <v>60</v>
      </c>
      <c r="K388" s="180">
        <f>SSSDP!U18</f>
        <v>55</v>
      </c>
      <c r="L388" s="483">
        <f>IFERROR(SSSDP!AC18/SSSDP!V18,"新科目")</f>
        <v>10.163636363636364</v>
      </c>
      <c r="M388" s="180">
        <f>入學要求!S380</f>
        <v>0</v>
      </c>
    </row>
    <row r="389" spans="1:13">
      <c r="A389" s="180" t="str">
        <f>SSSDP!A19</f>
        <v>JSST05</v>
      </c>
      <c r="B389" s="180" t="str">
        <f>SSSDP!B19</f>
        <v>東華學院</v>
      </c>
      <c r="C389" s="180" t="str">
        <f>SSSDP!C19</f>
        <v>物理治療學(榮譽)理學士</v>
      </c>
      <c r="D389" s="180" t="str">
        <f>SSSDP!D19</f>
        <v>BSc(PT)</v>
      </c>
      <c r="E389" s="180" t="str">
        <f>SSSDP!E19</f>
        <v>Best 5</v>
      </c>
      <c r="F389" s="184" t="str">
        <f>SSSDP!F19</f>
        <v>/</v>
      </c>
      <c r="G389" s="184">
        <f>SSSDP!G19</f>
        <v>23.7</v>
      </c>
      <c r="H389" s="184" t="str">
        <f>SSSDP!H19</f>
        <v>/</v>
      </c>
      <c r="I389" s="209">
        <f>計分版!D394</f>
        <v>3.3999999999999998E-9</v>
      </c>
      <c r="J389" s="180">
        <f>SSSDP!L19</f>
        <v>50</v>
      </c>
      <c r="K389" s="180">
        <f>SSSDP!U19</f>
        <v>58</v>
      </c>
      <c r="L389" s="483">
        <f>IFERROR(SSSDP!AC19/SSSDP!V19,"新科目")</f>
        <v>9.4230769230769234</v>
      </c>
      <c r="M389" s="180">
        <f>入學要求!S381</f>
        <v>0</v>
      </c>
    </row>
    <row r="390" spans="1:13">
      <c r="A390" s="180" t="str">
        <f>SSSDP!A20</f>
        <v>JSSU12</v>
      </c>
      <c r="B390" s="180" t="str">
        <f>SSSDP!B20</f>
        <v>公開大學</v>
      </c>
      <c r="C390" s="180" t="str">
        <f>SSSDP!C20</f>
        <v>創意寫作與電影藝術榮譽文學士</v>
      </c>
      <c r="D390" s="180" t="str">
        <f>SSSDP!D20</f>
        <v>BA(Hons) CreWri&amp;FilmArts</v>
      </c>
      <c r="E390" s="180" t="str">
        <f>SSSDP!E20</f>
        <v>4C1X</v>
      </c>
      <c r="F390" s="184" t="str">
        <f>SSSDP!F20</f>
        <v>/</v>
      </c>
      <c r="G390" s="184">
        <f>SSSDP!G20</f>
        <v>20</v>
      </c>
      <c r="H390" s="184">
        <f>SSSDP!H20</f>
        <v>17</v>
      </c>
      <c r="I390" s="209">
        <f>計分版!D395</f>
        <v>2.0999999999999998E-9</v>
      </c>
      <c r="J390" s="180">
        <f>SSSDP!L20</f>
        <v>80</v>
      </c>
      <c r="K390" s="180">
        <f>SSSDP!U20</f>
        <v>138</v>
      </c>
      <c r="L390" s="483">
        <f>IFERROR(SSSDP!AC20/SSSDP!V20,"新科目")</f>
        <v>4.7260273972602738</v>
      </c>
      <c r="M390" s="180">
        <f>入學要求!S382</f>
        <v>0</v>
      </c>
    </row>
    <row r="391" spans="1:13">
      <c r="A391" s="180" t="str">
        <f>SSSDP!A21</f>
        <v>JSSU14</v>
      </c>
      <c r="B391" s="180" t="str">
        <f>SSSDP!B21</f>
        <v>公開大學</v>
      </c>
      <c r="C391" s="180" t="str">
        <f>SSSDP!C21</f>
        <v>動畫及視覺特效榮譽藝術學士</v>
      </c>
      <c r="D391" s="180" t="str">
        <f>SSSDP!D21</f>
        <v>BFA (Hons) Animation VE</v>
      </c>
      <c r="E391" s="180" t="str">
        <f>SSSDP!E21</f>
        <v>4C1X</v>
      </c>
      <c r="F391" s="184" t="str">
        <f>SSSDP!F21</f>
        <v>/</v>
      </c>
      <c r="G391" s="184">
        <f>SSSDP!G21</f>
        <v>16</v>
      </c>
      <c r="H391" s="184">
        <f>SSSDP!H21</f>
        <v>15</v>
      </c>
      <c r="I391" s="209">
        <f>計分版!D396</f>
        <v>1.9500000000000001E-9</v>
      </c>
      <c r="J391" s="180">
        <f>SSSDP!L21</f>
        <v>80</v>
      </c>
      <c r="K391" s="180">
        <f>SSSDP!U21</f>
        <v>108</v>
      </c>
      <c r="L391" s="483">
        <f>IFERROR(SSSDP!AC21/SSSDP!V21,"新科目")</f>
        <v>6.48</v>
      </c>
      <c r="M391" s="180">
        <f>入學要求!S383</f>
        <v>0</v>
      </c>
    </row>
    <row r="392" spans="1:13">
      <c r="A392" s="180" t="str">
        <f>SSSDP!A22</f>
        <v>JSSU15</v>
      </c>
      <c r="B392" s="180" t="str">
        <f>SSSDP!B22</f>
        <v>公開大學</v>
      </c>
      <c r="C392" s="180" t="str">
        <f>SSSDP!C22</f>
        <v>影像設計及數碼藝術榮譽藝術學士</v>
      </c>
      <c r="D392" s="180" t="str">
        <f>SSSDP!D22</f>
        <v>BFA (Hons) IDDA</v>
      </c>
      <c r="E392" s="180" t="str">
        <f>SSSDP!E22</f>
        <v>4C1X</v>
      </c>
      <c r="F392" s="184" t="str">
        <f>SSSDP!F22</f>
        <v>/</v>
      </c>
      <c r="G392" s="184">
        <f>SSSDP!G22</f>
        <v>20</v>
      </c>
      <c r="H392" s="184">
        <f>SSSDP!H22</f>
        <v>18</v>
      </c>
      <c r="I392" s="209">
        <f>計分版!D397</f>
        <v>2.0999999999999998E-9</v>
      </c>
      <c r="J392" s="180">
        <f>SSSDP!L22</f>
        <v>80</v>
      </c>
      <c r="K392" s="180">
        <f>SSSDP!U22</f>
        <v>91</v>
      </c>
      <c r="L392" s="483">
        <f>IFERROR(SSSDP!AC22/SSSDP!V22,"新科目")</f>
        <v>6.0862068965517242</v>
      </c>
      <c r="M392" s="180">
        <f>入學要求!S384</f>
        <v>0</v>
      </c>
    </row>
    <row r="393" spans="1:13">
      <c r="A393" s="180" t="str">
        <f>SSSDP!A23</f>
        <v>JSSU40</v>
      </c>
      <c r="B393" s="180" t="str">
        <f>SSSDP!B23</f>
        <v>公開大學</v>
      </c>
      <c r="C393" s="180" t="str">
        <f>SSSDP!C23</f>
        <v>護理學榮譽學士（普通科）</v>
      </c>
      <c r="D393" s="180" t="str">
        <f>SSSDP!D23</f>
        <v>BNursing (Hons) General</v>
      </c>
      <c r="E393" s="180" t="str">
        <f>SSSDP!E23</f>
        <v>4C1X</v>
      </c>
      <c r="F393" s="184" t="str">
        <f>SSSDP!F23</f>
        <v>/</v>
      </c>
      <c r="G393" s="184">
        <f>SSSDP!G23</f>
        <v>20</v>
      </c>
      <c r="H393" s="184">
        <f>SSSDP!H23</f>
        <v>19</v>
      </c>
      <c r="I393" s="209">
        <f>計分版!D398</f>
        <v>1.9500000000000001E-9</v>
      </c>
      <c r="J393" s="180">
        <f>SSSDP!L23</f>
        <v>325</v>
      </c>
      <c r="K393" s="180">
        <f>SSSDP!U23</f>
        <v>340</v>
      </c>
      <c r="L393" s="483">
        <f>IFERROR(SSSDP!AC23/SSSDP!V23,"新科目")</f>
        <v>6.4970588235294118</v>
      </c>
      <c r="M393" s="180">
        <f>入學要求!S385</f>
        <v>0</v>
      </c>
    </row>
    <row r="394" spans="1:13">
      <c r="A394" s="180" t="str">
        <f>SSSDP!A24</f>
        <v>JSSU50</v>
      </c>
      <c r="B394" s="180" t="str">
        <f>SSSDP!B24</f>
        <v>公開大學</v>
      </c>
      <c r="C394" s="180" t="str">
        <f>SSSDP!C24</f>
        <v>護理學榮譽學士（精神科）</v>
      </c>
      <c r="D394" s="180" t="str">
        <f>SSSDP!D24</f>
        <v>BNursing (Hons) Mental</v>
      </c>
      <c r="E394" s="180" t="str">
        <f>SSSDP!E24</f>
        <v>4C1X</v>
      </c>
      <c r="F394" s="184" t="str">
        <f>SSSDP!F24</f>
        <v>/</v>
      </c>
      <c r="G394" s="184">
        <f>SSSDP!G24</f>
        <v>18</v>
      </c>
      <c r="H394" s="184">
        <f>SSSDP!H24</f>
        <v>16</v>
      </c>
      <c r="I394" s="209">
        <f>計分版!D399</f>
        <v>1.9500000000000001E-9</v>
      </c>
      <c r="J394" s="180">
        <f>SSSDP!L24</f>
        <v>125</v>
      </c>
      <c r="K394" s="180">
        <f>SSSDP!U24</f>
        <v>145</v>
      </c>
      <c r="L394" s="483">
        <f>IFERROR(SSSDP!AC24/SSSDP!V24,"新科目")</f>
        <v>5.2413793103448274</v>
      </c>
      <c r="M394" s="180">
        <f>入學要求!S386</f>
        <v>0</v>
      </c>
    </row>
    <row r="395" spans="1:13">
      <c r="A395" s="180" t="str">
        <f>SSSDP!A25</f>
        <v>JSSU55</v>
      </c>
      <c r="B395" s="180" t="str">
        <f>SSSDP!B25</f>
        <v>公開大學</v>
      </c>
      <c r="C395" s="180" t="str">
        <f>SSSDP!C25</f>
        <v>物理治療學榮譽理學士</v>
      </c>
      <c r="D395" s="180" t="str">
        <f>SSSDP!D25</f>
        <v>BSc(Hons) Physiotherapy</v>
      </c>
      <c r="E395" s="180" t="str">
        <f>SSSDP!E25</f>
        <v>Best 5</v>
      </c>
      <c r="F395" s="184" t="str">
        <f>SSSDP!F25</f>
        <v>/</v>
      </c>
      <c r="G395" s="184">
        <f>SSSDP!G25</f>
        <v>36</v>
      </c>
      <c r="H395" s="184">
        <f>SSSDP!H25</f>
        <v>34</v>
      </c>
      <c r="I395" s="209">
        <f>計分版!D400</f>
        <v>3.9500000000000006E-9</v>
      </c>
      <c r="J395" s="180">
        <f>SSSDP!L25</f>
        <v>40</v>
      </c>
      <c r="K395" s="180" t="str">
        <f>SSSDP!U25</f>
        <v>/</v>
      </c>
      <c r="L395" s="483" t="str">
        <f>IFERROR(SSSDP!AC25/SSSDP!V25,"無資料")</f>
        <v>無資料</v>
      </c>
      <c r="M395" s="180">
        <f>入學要求!S387</f>
        <v>0</v>
      </c>
    </row>
    <row r="396" spans="1:13">
      <c r="A396" s="180" t="str">
        <f>SSSDP!A26</f>
        <v>JSSU65</v>
      </c>
      <c r="B396" s="180" t="str">
        <f>SSSDP!B26</f>
        <v>公開大學</v>
      </c>
      <c r="C396" s="180" t="str">
        <f>SSSDP!C26</f>
        <v>檢測和認證榮譽工學士</v>
      </c>
      <c r="D396" s="180" t="str">
        <f>SSSDP!D26</f>
        <v>BEng (Hons) Test &amp; Cert</v>
      </c>
      <c r="E396" s="180" t="str">
        <f>SSSDP!E26</f>
        <v>4C1X</v>
      </c>
      <c r="F396" s="184" t="str">
        <f>SSSDP!F26</f>
        <v>/</v>
      </c>
      <c r="G396" s="184">
        <f>SSSDP!G26</f>
        <v>16</v>
      </c>
      <c r="H396" s="184">
        <f>SSSDP!H26</f>
        <v>15</v>
      </c>
      <c r="I396" s="209">
        <f>計分版!D401</f>
        <v>1.9500000000000001E-9</v>
      </c>
      <c r="J396" s="180">
        <f>SSSDP!L26</f>
        <v>100</v>
      </c>
      <c r="K396" s="180">
        <f>SSSDP!U26</f>
        <v>29</v>
      </c>
      <c r="L396" s="483">
        <f>IFERROR(SSSDP!AC26/SSSDP!V26,"新科目")</f>
        <v>5.666666666666667</v>
      </c>
      <c r="M396" s="180">
        <f>入學要求!S388</f>
        <v>0</v>
      </c>
    </row>
    <row r="397" spans="1:13">
      <c r="A397" s="180" t="str">
        <f>SSSDP!A27</f>
        <v>JSSU68</v>
      </c>
      <c r="B397" s="180" t="str">
        <f>SSSDP!B27</f>
        <v>公開大學</v>
      </c>
      <c r="C397" s="180" t="str">
        <f>SSSDP!C27</f>
        <v>檢測科學和認證榮譽理學士</v>
      </c>
      <c r="D397" s="180" t="str">
        <f>SSSDP!D27</f>
        <v>BSc(Hons)Test Sci &amp; Cert</v>
      </c>
      <c r="E397" s="180" t="str">
        <f>SSSDP!E27</f>
        <v>4C1X</v>
      </c>
      <c r="F397" s="184" t="str">
        <f>SSSDP!F27</f>
        <v>/</v>
      </c>
      <c r="G397" s="184">
        <f>SSSDP!G27</f>
        <v>16</v>
      </c>
      <c r="H397" s="184">
        <f>SSSDP!H27</f>
        <v>16</v>
      </c>
      <c r="I397" s="209">
        <f>計分版!D402</f>
        <v>1.9500000000000001E-9</v>
      </c>
      <c r="J397" s="180">
        <f>SSSDP!L27</f>
        <v>30</v>
      </c>
      <c r="K397" s="180">
        <f>SSSDP!U27</f>
        <v>68</v>
      </c>
      <c r="L397" s="483">
        <f>IFERROR(SSSDP!AC27/SSSDP!V27,"新科目")</f>
        <v>3.0714285714285716</v>
      </c>
      <c r="M397" s="180">
        <f>入學要求!S389</f>
        <v>0</v>
      </c>
    </row>
    <row r="398" spans="1:13">
      <c r="A398" s="180" t="str">
        <f>SSSDP!A28</f>
        <v>JSSU69</v>
      </c>
      <c r="B398" s="180" t="str">
        <f>SSSDP!B28</f>
        <v>公開大學</v>
      </c>
      <c r="C398" s="180" t="str">
        <f>SSSDP!C28</f>
        <v>食品測試科學榮譽理學士</v>
      </c>
      <c r="D398" s="180" t="str">
        <f>SSSDP!D28</f>
        <v>BSc(Hons)FoodTestSci</v>
      </c>
      <c r="E398" s="180" t="str">
        <f>SSSDP!E28</f>
        <v>4C1X</v>
      </c>
      <c r="F398" s="184" t="str">
        <f>SSSDP!F28</f>
        <v>/</v>
      </c>
      <c r="G398" s="184">
        <f>SSSDP!G28</f>
        <v>16</v>
      </c>
      <c r="H398" s="184">
        <f>SSSDP!H28</f>
        <v>16</v>
      </c>
      <c r="I398" s="209">
        <f>計分版!D403</f>
        <v>1.9500000000000001E-9</v>
      </c>
      <c r="J398" s="180">
        <f>SSSDP!L28</f>
        <v>30</v>
      </c>
      <c r="K398" s="180" t="str">
        <f>SSSDP!U28</f>
        <v>/</v>
      </c>
      <c r="L398" s="483" t="str">
        <f>IFERROR(SSSDP!AC28/SSSDP!V28,"無資料")</f>
        <v>無資料</v>
      </c>
      <c r="M398" s="180">
        <f>入學要求!S390</f>
        <v>0</v>
      </c>
    </row>
    <row r="399" spans="1:13">
      <c r="A399" s="180" t="str">
        <f>SSSDP!A29</f>
        <v>JSSU70</v>
      </c>
      <c r="B399" s="180" t="str">
        <f>SSSDP!B29</f>
        <v>公開大學</v>
      </c>
      <c r="C399" s="180" t="str">
        <f>SSSDP!C29</f>
        <v>數據科學及人工智能榮譽理學士</v>
      </c>
      <c r="D399" s="180" t="str">
        <f>SSSDP!D29</f>
        <v>BSc(Hons) Data Sci &amp; AI</v>
      </c>
      <c r="E399" s="180" t="str">
        <f>SSSDP!E29</f>
        <v>4C1X</v>
      </c>
      <c r="F399" s="184" t="str">
        <f>SSSDP!F29</f>
        <v>/</v>
      </c>
      <c r="G399" s="184">
        <f>SSSDP!G29</f>
        <v>15</v>
      </c>
      <c r="H399" s="184">
        <f>SSSDP!H29</f>
        <v>14</v>
      </c>
      <c r="I399" s="209">
        <f>計分版!D404</f>
        <v>1.9500000000000001E-9</v>
      </c>
      <c r="J399" s="180">
        <f>SSSDP!L29</f>
        <v>25</v>
      </c>
      <c r="K399" s="180" t="str">
        <f>SSSDP!U29</f>
        <v>/</v>
      </c>
      <c r="L399" s="483" t="str">
        <f>IFERROR(SSSDP!AC29/SSSDP!V29,"無資料")</f>
        <v>無資料</v>
      </c>
      <c r="M399" s="180">
        <f>入學要求!S391</f>
        <v>0</v>
      </c>
    </row>
    <row r="400" spans="1:13">
      <c r="A400" s="180" t="str">
        <f>SSSDP!A30</f>
        <v>JSSU71</v>
      </c>
      <c r="B400" s="180" t="str">
        <f>SSSDP!B30</f>
        <v>公開大學</v>
      </c>
      <c r="C400" s="180" t="str">
        <f>SSSDP!C30</f>
        <v>互聯網科技榮譽電腦學學士</v>
      </c>
      <c r="D400" s="180" t="str">
        <f>SSSDP!D30</f>
        <v>BComp(Hons)Internet Tech</v>
      </c>
      <c r="E400" s="180" t="str">
        <f>SSSDP!E30</f>
        <v>Best 5</v>
      </c>
      <c r="F400" s="184" t="str">
        <f>SSSDP!F30</f>
        <v>/</v>
      </c>
      <c r="G400" s="184">
        <f>SSSDP!G30</f>
        <v>17</v>
      </c>
      <c r="H400" s="184">
        <f>SSSDP!H30</f>
        <v>16</v>
      </c>
      <c r="I400" s="209">
        <f>計分版!D405</f>
        <v>3.9500000000000006E-9</v>
      </c>
      <c r="J400" s="180">
        <f>SSSDP!L30</f>
        <v>60</v>
      </c>
      <c r="K400" s="180">
        <f>SSSDP!U30</f>
        <v>41</v>
      </c>
      <c r="L400" s="483">
        <f>IFERROR(SSSDP!AC30/SSSDP!V30,"新科目")</f>
        <v>6.0714285714285712</v>
      </c>
      <c r="M400" s="180">
        <f>入學要求!S392</f>
        <v>0</v>
      </c>
    </row>
    <row r="401" spans="1:13">
      <c r="A401" s="180" t="str">
        <f>SSSDP!A31</f>
        <v>JSSU90</v>
      </c>
      <c r="B401" s="180" t="str">
        <f>SSSDP!B31</f>
        <v>公開大學</v>
      </c>
      <c r="C401" s="180" t="str">
        <f>SSSDP!C31</f>
        <v>國際款待及景區管理榮譽學士</v>
      </c>
      <c r="D401" s="180" t="str">
        <f>SSSDP!D31</f>
        <v>B Intl Hospitality(Hons)</v>
      </c>
      <c r="E401" s="180" t="str">
        <f>SSSDP!E31</f>
        <v>Best 5</v>
      </c>
      <c r="F401" s="184" t="str">
        <f>SSSDP!F31</f>
        <v>/</v>
      </c>
      <c r="G401" s="184">
        <f>SSSDP!G31</f>
        <v>16</v>
      </c>
      <c r="H401" s="184">
        <f>SSSDP!H31</f>
        <v>15</v>
      </c>
      <c r="I401" s="209">
        <f>計分版!D406</f>
        <v>3.9500000000000006E-9</v>
      </c>
      <c r="J401" s="180">
        <f>SSSDP!L31</f>
        <v>80</v>
      </c>
      <c r="K401" s="180">
        <f>SSSDP!U31</f>
        <v>121</v>
      </c>
      <c r="L401" s="483">
        <f>IFERROR(SSSDP!AC31/SSSDP!V31,"新科目")</f>
        <v>7.109375</v>
      </c>
      <c r="M401" s="180">
        <f>入學要求!S393</f>
        <v>0</v>
      </c>
    </row>
    <row r="402" spans="1:13">
      <c r="A402" s="180" t="str">
        <f>SSSDP!A32</f>
        <v>JSSU95</v>
      </c>
      <c r="B402" s="180" t="str">
        <f>SSSDP!B32</f>
        <v>公開大學</v>
      </c>
      <c r="C402" s="180" t="str">
        <f>SSSDP!C32</f>
        <v>運動及康樂管理榮譽學士</v>
      </c>
      <c r="D402" s="180" t="str">
        <f>SSSDP!D32</f>
        <v>B(Hons)Sports &amp; R Mgnt</v>
      </c>
      <c r="E402" s="180" t="str">
        <f>SSSDP!E32</f>
        <v>Best 5</v>
      </c>
      <c r="F402" s="184" t="str">
        <f>SSSDP!F32</f>
        <v>/</v>
      </c>
      <c r="G402" s="184">
        <f>SSSDP!G32</f>
        <v>16</v>
      </c>
      <c r="H402" s="184">
        <f>SSSDP!H32</f>
        <v>15</v>
      </c>
      <c r="I402" s="209">
        <f>計分版!D407</f>
        <v>3.9500000000000006E-9</v>
      </c>
      <c r="J402" s="180">
        <f>SSSDP!L32</f>
        <v>40</v>
      </c>
      <c r="K402" s="180">
        <f>SSSDP!U32</f>
        <v>112</v>
      </c>
      <c r="L402" s="483">
        <f>IFERROR(SSSDP!AC32/SSSDP!V32,"新科目")</f>
        <v>5.7349397590361448</v>
      </c>
      <c r="M402" s="180">
        <f>入學要求!S394</f>
        <v>0</v>
      </c>
    </row>
    <row r="403" spans="1:13">
      <c r="A403" s="180" t="str">
        <f>SSSDP!A33</f>
        <v>JSSU96</v>
      </c>
      <c r="B403" s="180" t="str">
        <f>SSSDP!B33</f>
        <v>公開大學</v>
      </c>
      <c r="C403" s="180" t="str">
        <f>SSSDP!C33</f>
        <v>金融科技及創新榮譽工商管理學士</v>
      </c>
      <c r="D403" s="180" t="str">
        <f>SSSDP!D33</f>
        <v>BBA (Hons) Fintech</v>
      </c>
      <c r="E403" s="180" t="str">
        <f>SSSDP!E33</f>
        <v>Best 5</v>
      </c>
      <c r="F403" s="184" t="str">
        <f>SSSDP!F33</f>
        <v>/</v>
      </c>
      <c r="G403" s="184">
        <f>SSSDP!G33</f>
        <v>18</v>
      </c>
      <c r="H403" s="184">
        <f>SSSDP!H33</f>
        <v>16</v>
      </c>
      <c r="I403" s="209">
        <f>計分版!D408</f>
        <v>3.9500000000000006E-9</v>
      </c>
      <c r="J403" s="180">
        <f>SSSDP!L33</f>
        <v>40</v>
      </c>
      <c r="K403" s="180">
        <f>SSSDP!U33</f>
        <v>54</v>
      </c>
      <c r="L403" s="483">
        <f>IFERROR(SSSDP!AC33/SSSDP!V33,"新科目")</f>
        <v>7.7826086956521738</v>
      </c>
      <c r="M403" s="180">
        <f>入學要求!S395</f>
        <v>0</v>
      </c>
    </row>
    <row r="404" spans="1:13">
      <c r="A404" s="180" t="str">
        <f>SSSDP!A34</f>
        <v>JSSU97</v>
      </c>
      <c r="B404" s="180" t="str">
        <f>SSSDP!B34</f>
        <v>公開大學</v>
      </c>
      <c r="C404" s="180" t="str">
        <f>SSSDP!C34</f>
        <v>環球市場及供應鏈榮譽工商管理學士</v>
      </c>
      <c r="D404" s="180" t="str">
        <f>SSSDP!D34</f>
        <v>BBA (Hons) GM &amp; SC Mgt</v>
      </c>
      <c r="E404" s="180" t="str">
        <f>SSSDP!E34</f>
        <v>Best 5</v>
      </c>
      <c r="F404" s="184" t="str">
        <f>SSSDP!F34</f>
        <v>/</v>
      </c>
      <c r="G404" s="184">
        <f>SSSDP!G34</f>
        <v>16</v>
      </c>
      <c r="H404" s="184">
        <f>SSSDP!H34</f>
        <v>15</v>
      </c>
      <c r="I404" s="209">
        <f>計分版!D409</f>
        <v>3.9500000000000006E-9</v>
      </c>
      <c r="J404" s="180">
        <f>SSSDP!L34</f>
        <v>50</v>
      </c>
      <c r="K404" s="180">
        <f>SSSDP!U34</f>
        <v>84</v>
      </c>
      <c r="L404" s="483">
        <f>IFERROR(SSSDP!AC34/SSSDP!V34,"新科目")</f>
        <v>6.6470588235294121</v>
      </c>
      <c r="M404" s="180">
        <f>入學要求!S396</f>
        <v>0</v>
      </c>
    </row>
    <row r="405" spans="1:13">
      <c r="A405" s="180" t="str">
        <f>SSSDP!A35</f>
        <v>JSSV01</v>
      </c>
      <c r="B405" s="180" t="str">
        <f>SSSDP!B35</f>
        <v>THEi</v>
      </c>
      <c r="C405" s="180" t="str">
        <f>SSSDP!C35</f>
        <v>時裝設計（榮譽）文學士</v>
      </c>
      <c r="D405" s="180" t="str">
        <f>SSSDP!D35</f>
        <v>BA(FD)</v>
      </c>
      <c r="E405" s="180" t="str">
        <f>SSSDP!E35</f>
        <v>Best 5</v>
      </c>
      <c r="F405" s="184" t="str">
        <f>SSSDP!F35</f>
        <v>/</v>
      </c>
      <c r="G405" s="184">
        <f>SSSDP!G35</f>
        <v>16</v>
      </c>
      <c r="H405" s="184" t="str">
        <f>SSSDP!H35</f>
        <v>/</v>
      </c>
      <c r="I405" s="209">
        <f>計分版!D410</f>
        <v>3.9500000000000006E-9</v>
      </c>
      <c r="J405" s="180">
        <f>SSSDP!L35</f>
        <v>50</v>
      </c>
      <c r="K405" s="180">
        <f>SSSDP!U35</f>
        <v>56</v>
      </c>
      <c r="L405" s="483">
        <f>IFERROR(SSSDP!AC35/SSSDP!V35,"新科目")</f>
        <v>8.8611111111111107</v>
      </c>
      <c r="M405" s="180">
        <f>入學要求!S397</f>
        <v>0</v>
      </c>
    </row>
    <row r="406" spans="1:13">
      <c r="A406" s="180" t="str">
        <f>SSSDP!A36</f>
        <v>JSSV02</v>
      </c>
      <c r="B406" s="180" t="str">
        <f>SSSDP!B36</f>
        <v>THEi</v>
      </c>
      <c r="C406" s="180" t="str">
        <f>SSSDP!C36</f>
        <v>產品設計（榮譽）文學士</v>
      </c>
      <c r="D406" s="180" t="str">
        <f>SSSDP!D36</f>
        <v>BA(PD)</v>
      </c>
      <c r="E406" s="180" t="str">
        <f>SSSDP!E36</f>
        <v>4C1X</v>
      </c>
      <c r="F406" s="184" t="str">
        <f>SSSDP!F36</f>
        <v>/</v>
      </c>
      <c r="G406" s="184">
        <f>SSSDP!G36</f>
        <v>17</v>
      </c>
      <c r="H406" s="184" t="str">
        <f>SSSDP!H36</f>
        <v>/</v>
      </c>
      <c r="I406" s="209">
        <f>計分版!D411</f>
        <v>1.9500000000000001E-9</v>
      </c>
      <c r="J406" s="180">
        <f>SSSDP!L36</f>
        <v>45</v>
      </c>
      <c r="K406" s="180">
        <f>SSSDP!U36</f>
        <v>45</v>
      </c>
      <c r="L406" s="483">
        <f>IFERROR(SSSDP!AC36/SSSDP!V36,"新科目")</f>
        <v>13.571428571428571</v>
      </c>
      <c r="M406" s="180">
        <f>入學要求!S398</f>
        <v>0</v>
      </c>
    </row>
    <row r="407" spans="1:13">
      <c r="A407" s="180" t="str">
        <f>SSSDP!A37</f>
        <v>JSSV03</v>
      </c>
      <c r="B407" s="180" t="str">
        <f>SSSDP!B37</f>
        <v>THEi</v>
      </c>
      <c r="C407" s="180" t="str">
        <f>SSSDP!C37</f>
        <v>園境建築（榮譽）文學士</v>
      </c>
      <c r="D407" s="180" t="str">
        <f>SSSDP!D37</f>
        <v>BA(LA)</v>
      </c>
      <c r="E407" s="180" t="str">
        <f>SSSDP!E37</f>
        <v>4C1X</v>
      </c>
      <c r="F407" s="184" t="str">
        <f>SSSDP!F37</f>
        <v>/</v>
      </c>
      <c r="G407" s="184">
        <f>SSSDP!G37</f>
        <v>17</v>
      </c>
      <c r="H407" s="184" t="str">
        <f>SSSDP!H37</f>
        <v>/</v>
      </c>
      <c r="I407" s="209">
        <f>計分版!D412</f>
        <v>1.9500000000000001E-9</v>
      </c>
      <c r="J407" s="180">
        <f>SSSDP!L37</f>
        <v>40</v>
      </c>
      <c r="K407" s="180">
        <f>SSSDP!U37</f>
        <v>25</v>
      </c>
      <c r="L407" s="483">
        <f>IFERROR(SSSDP!AC37/SSSDP!V37,"新科目")</f>
        <v>5.9411764705882355</v>
      </c>
      <c r="M407" s="180">
        <f>入學要求!S399</f>
        <v>0</v>
      </c>
    </row>
    <row r="408" spans="1:13">
      <c r="A408" s="180" t="str">
        <f>SSSDP!A38</f>
        <v>JSSV04</v>
      </c>
      <c r="B408" s="180" t="str">
        <f>SSSDP!B38</f>
        <v>THEi</v>
      </c>
      <c r="C408" s="180" t="str">
        <f>SSSDP!C38</f>
        <v>廚藝及管理（榮譽）文學士</v>
      </c>
      <c r="D408" s="180" t="str">
        <f>SSSDP!D38</f>
        <v>BA(CAM)</v>
      </c>
      <c r="E408" s="180" t="str">
        <f>SSSDP!E38</f>
        <v>4C1X</v>
      </c>
      <c r="F408" s="184" t="str">
        <f>SSSDP!F38</f>
        <v>/</v>
      </c>
      <c r="G408" s="184">
        <f>SSSDP!G38</f>
        <v>15</v>
      </c>
      <c r="H408" s="184" t="str">
        <f>SSSDP!H38</f>
        <v>/</v>
      </c>
      <c r="I408" s="209">
        <f>計分版!D413</f>
        <v>1.9500000000000001E-9</v>
      </c>
      <c r="J408" s="180">
        <f>SSSDP!L38</f>
        <v>30</v>
      </c>
      <c r="K408" s="180">
        <f>SSSDP!U38</f>
        <v>37</v>
      </c>
      <c r="L408" s="483">
        <f>IFERROR(SSSDP!AC38/SSSDP!V38,"新科目")</f>
        <v>18.368421052631579</v>
      </c>
      <c r="M408" s="180">
        <f>入學要求!S400</f>
        <v>0</v>
      </c>
    </row>
    <row r="409" spans="1:13">
      <c r="A409" s="180" t="str">
        <f>SSSDP!A39</f>
        <v>JSSV05</v>
      </c>
      <c r="B409" s="180" t="str">
        <f>SSSDP!B39</f>
        <v>THEi</v>
      </c>
      <c r="C409" s="180" t="str">
        <f>SSSDP!C39</f>
        <v>土木工程（榮譽）工學士</v>
      </c>
      <c r="D409" s="180" t="str">
        <f>SSSDP!D39</f>
        <v>BEng(CE)</v>
      </c>
      <c r="E409" s="180" t="str">
        <f>SSSDP!E39</f>
        <v>4C1X</v>
      </c>
      <c r="F409" s="184" t="str">
        <f>SSSDP!F39</f>
        <v>/</v>
      </c>
      <c r="G409" s="184">
        <f>SSSDP!G39</f>
        <v>17</v>
      </c>
      <c r="H409" s="184" t="str">
        <f>SSSDP!H39</f>
        <v>/</v>
      </c>
      <c r="I409" s="209">
        <f>計分版!D414</f>
        <v>1.9500000000000001E-9</v>
      </c>
      <c r="J409" s="180">
        <f>SSSDP!L39</f>
        <v>50</v>
      </c>
      <c r="K409" s="180">
        <f>SSSDP!U39</f>
        <v>29</v>
      </c>
      <c r="L409" s="483">
        <f>IFERROR(SSSDP!AC39/SSSDP!V39,"新科目")</f>
        <v>8.0555555555555554</v>
      </c>
      <c r="M409" s="180">
        <f>入學要求!S401</f>
        <v>0</v>
      </c>
    </row>
    <row r="410" spans="1:13">
      <c r="A410" s="180" t="str">
        <f>SSSDP!A40</f>
        <v>JSSV07</v>
      </c>
      <c r="B410" s="180" t="str">
        <f>SSSDP!B40</f>
        <v>THEi</v>
      </c>
      <c r="C410" s="180" t="str">
        <f>SSSDP!C40</f>
        <v>園藝樹藝及園境管理（榮譽）理學士</v>
      </c>
      <c r="D410" s="180" t="str">
        <f>SSSDP!D40</f>
        <v>BSc(HALM)</v>
      </c>
      <c r="E410" s="180" t="str">
        <f>SSSDP!E40</f>
        <v>4C1X</v>
      </c>
      <c r="F410" s="184" t="str">
        <f>SSSDP!F40</f>
        <v>/</v>
      </c>
      <c r="G410" s="184">
        <f>SSSDP!G40</f>
        <v>19</v>
      </c>
      <c r="H410" s="184" t="str">
        <f>SSSDP!H40</f>
        <v>/</v>
      </c>
      <c r="I410" s="209">
        <f>計分版!D415</f>
        <v>1.9500000000000001E-9</v>
      </c>
      <c r="J410" s="180">
        <f>SSSDP!L40</f>
        <v>50</v>
      </c>
      <c r="K410" s="180">
        <f>SSSDP!U40</f>
        <v>19</v>
      </c>
      <c r="L410" s="483">
        <f>IFERROR(SSSDP!AC40/SSSDP!V40,"新科目")</f>
        <v>11.25</v>
      </c>
      <c r="M410" s="180">
        <f>入學要求!S402</f>
        <v>0</v>
      </c>
    </row>
    <row r="411" spans="1:13">
      <c r="A411" s="180" t="str">
        <f>SSSDP!A41</f>
        <v>JSSV08</v>
      </c>
      <c r="B411" s="180" t="str">
        <f>SSSDP!B41</f>
        <v>THEi</v>
      </c>
      <c r="C411" s="180" t="str">
        <f>SSSDP!C41</f>
        <v>測量學（榮譽）理學士</v>
      </c>
      <c r="D411" s="180" t="str">
        <f>SSSDP!D41</f>
        <v>BSc(SUR)</v>
      </c>
      <c r="E411" s="180" t="str">
        <f>SSSDP!E41</f>
        <v>4C1X</v>
      </c>
      <c r="F411" s="184" t="str">
        <f>SSSDP!F41</f>
        <v>/</v>
      </c>
      <c r="G411" s="184">
        <f>SSSDP!G41</f>
        <v>18</v>
      </c>
      <c r="H411" s="184" t="str">
        <f>SSSDP!H41</f>
        <v>/</v>
      </c>
      <c r="I411" s="209">
        <f>計分版!D416</f>
        <v>1.9500000000000001E-9</v>
      </c>
      <c r="J411" s="180">
        <f>SSSDP!L41</f>
        <v>50</v>
      </c>
      <c r="K411" s="180">
        <f>SSSDP!U41</f>
        <v>21</v>
      </c>
      <c r="L411" s="483">
        <f>IFERROR(SSSDP!AC41/SSSDP!V41,"新科目")</f>
        <v>8</v>
      </c>
      <c r="M411" s="180">
        <f>入學要求!S403</f>
        <v>0</v>
      </c>
    </row>
    <row r="412" spans="1:13">
      <c r="A412" s="180" t="str">
        <f>SSSDP!A42</f>
        <v>JSSV09</v>
      </c>
      <c r="B412" s="180" t="str">
        <f>SSSDP!B42</f>
        <v>THEi</v>
      </c>
      <c r="C412" s="180" t="str">
        <f>SSSDP!C42</f>
        <v>運動及康樂管理（榮譽）社會科學學士</v>
      </c>
      <c r="D412" s="180" t="str">
        <f>SSSDP!D42</f>
        <v>BSocSc(SRM)</v>
      </c>
      <c r="E412" s="180" t="str">
        <f>SSSDP!E42</f>
        <v>4C1X</v>
      </c>
      <c r="F412" s="184" t="str">
        <f>SSSDP!F42</f>
        <v>/</v>
      </c>
      <c r="G412" s="184">
        <f>SSSDP!G42</f>
        <v>16</v>
      </c>
      <c r="H412" s="184" t="str">
        <f>SSSDP!H42</f>
        <v>/</v>
      </c>
      <c r="I412" s="209">
        <f>計分版!D417</f>
        <v>1.9500000000000001E-9</v>
      </c>
      <c r="J412" s="180">
        <f>SSSDP!L42</f>
        <v>50</v>
      </c>
      <c r="K412" s="180">
        <f>SSSDP!U42</f>
        <v>57</v>
      </c>
      <c r="L412" s="483">
        <f>IFERROR(SSSDP!AC42/SSSDP!V42,"新科目")</f>
        <v>11.625</v>
      </c>
      <c r="M412" s="180">
        <f>入學要求!S404</f>
        <v>0</v>
      </c>
    </row>
    <row r="413" spans="1:13">
      <c r="A413" s="180" t="str">
        <f>SSSDP!A43</f>
        <v>JSSV11</v>
      </c>
      <c r="B413" s="180" t="str">
        <f>SSSDP!B43</f>
        <v>THEi</v>
      </c>
      <c r="C413" s="180" t="str">
        <f>SSSDP!C43</f>
        <v>創新及多媒體科技（榮譽）理學士</v>
      </c>
      <c r="D413" s="180" t="str">
        <f>SSSDP!D43</f>
        <v>BSc(MTI)</v>
      </c>
      <c r="E413" s="180" t="str">
        <f>SSSDP!E43</f>
        <v>4C1X</v>
      </c>
      <c r="F413" s="184" t="str">
        <f>SSSDP!F43</f>
        <v>/</v>
      </c>
      <c r="G413" s="184">
        <f>SSSDP!G43</f>
        <v>16</v>
      </c>
      <c r="H413" s="184" t="str">
        <f>SSSDP!H43</f>
        <v>/</v>
      </c>
      <c r="I413" s="209">
        <f>計分版!D418</f>
        <v>1.9500000000000001E-9</v>
      </c>
      <c r="J413" s="180">
        <f>SSSDP!L43</f>
        <v>30</v>
      </c>
      <c r="K413" s="180">
        <f>SSSDP!U43</f>
        <v>17</v>
      </c>
      <c r="L413" s="483">
        <f>IFERROR(SSSDP!AC43/SSSDP!V43,"新科目")</f>
        <v>19.111111111111111</v>
      </c>
      <c r="M413" s="180">
        <f>入學要求!S405</f>
        <v>0</v>
      </c>
    </row>
    <row r="414" spans="1:13">
      <c r="A414" s="180" t="str">
        <f>SSSDP!A44</f>
        <v>JSSV12</v>
      </c>
      <c r="B414" s="180" t="str">
        <f>SSSDP!B44</f>
        <v>THEi</v>
      </c>
      <c r="C414" s="180" t="str">
        <f>SSSDP!C44</f>
        <v>資訊及通訊科技（榮譽）理學士</v>
      </c>
      <c r="D414" s="180" t="str">
        <f>SSSDP!D44</f>
        <v>BSc(ICT)</v>
      </c>
      <c r="E414" s="180" t="str">
        <f>SSSDP!E44</f>
        <v>4C1X</v>
      </c>
      <c r="F414" s="184" t="str">
        <f>SSSDP!F44</f>
        <v>/</v>
      </c>
      <c r="G414" s="184">
        <f>SSSDP!G44</f>
        <v>17</v>
      </c>
      <c r="H414" s="184" t="str">
        <f>SSSDP!H44</f>
        <v>/</v>
      </c>
      <c r="I414" s="209">
        <f>計分版!D419</f>
        <v>1.9500000000000001E-9</v>
      </c>
      <c r="J414" s="180">
        <f>SSSDP!L44</f>
        <v>40</v>
      </c>
      <c r="K414" s="180">
        <f>SSSDP!U44</f>
        <v>9</v>
      </c>
      <c r="L414" s="483">
        <f>IFERROR(SSSDP!AC44/SSSDP!V44,"新科目")</f>
        <v>25</v>
      </c>
      <c r="M414" s="180">
        <f>入學要求!S406</f>
        <v>0</v>
      </c>
    </row>
    <row r="415" spans="1:13">
      <c r="A415" s="180" t="str">
        <f>SSSDP!A45</f>
        <v>JSSW01</v>
      </c>
      <c r="B415" s="180" t="str">
        <f>SSSDP!B45</f>
        <v>伍倫貢學院</v>
      </c>
      <c r="C415" s="180" t="str">
        <f>SSSDP!C45</f>
        <v>營運及管理（榮譽）航空學士</v>
      </c>
      <c r="D415" s="180" t="str">
        <f>SSSDP!D45</f>
        <v>BAvOM</v>
      </c>
      <c r="E415" s="180" t="str">
        <f>SSSDP!E45</f>
        <v>無資料</v>
      </c>
      <c r="F415" s="184" t="str">
        <f>SSSDP!F45</f>
        <v>/</v>
      </c>
      <c r="G415" s="184" t="str">
        <f>SSSDP!G45</f>
        <v>/</v>
      </c>
      <c r="H415" s="184" t="str">
        <f>SSSDP!H45</f>
        <v>/</v>
      </c>
      <c r="I415" s="209">
        <f>計分版!D420</f>
        <v>1.9500000000000001E-9</v>
      </c>
      <c r="J415" s="180">
        <f>SSSDP!L45</f>
        <v>25</v>
      </c>
      <c r="K415" s="180" t="str">
        <f>SSSDP!U45</f>
        <v>/</v>
      </c>
      <c r="L415" s="483" t="str">
        <f>IFERROR(SSSDP!AC45/SSSDP!V45,"新科目")</f>
        <v>新科目</v>
      </c>
      <c r="M415" s="180">
        <f>入學要求!S407</f>
        <v>0</v>
      </c>
    </row>
    <row r="416" spans="1:13">
      <c r="A416" s="180" t="str">
        <f>SSSDP!A46</f>
        <v>JSSY01</v>
      </c>
      <c r="B416" s="180" t="str">
        <f>SSSDP!B46</f>
        <v>樹仁大學</v>
      </c>
      <c r="C416" s="180" t="str">
        <f>SSSDP!C46</f>
        <v>金融科技（榮譽）商學士</v>
      </c>
      <c r="D416" s="180" t="str">
        <f>SSSDP!D46</f>
        <v>BCom (Hons) FinTech</v>
      </c>
      <c r="E416" s="180" t="str">
        <f>SSSDP!E46</f>
        <v>4C1X</v>
      </c>
      <c r="F416" s="184" t="str">
        <f>SSSDP!F46</f>
        <v>/</v>
      </c>
      <c r="G416" s="184">
        <f>SSSDP!G46</f>
        <v>17.399999999999999</v>
      </c>
      <c r="H416" s="184" t="str">
        <f>SSSDP!H46</f>
        <v>/</v>
      </c>
      <c r="I416" s="209">
        <f>計分版!D421</f>
        <v>1.9500000000000001E-9</v>
      </c>
      <c r="J416" s="180">
        <f>SSSDP!L46</f>
        <v>30</v>
      </c>
      <c r="K416" s="180" t="str">
        <f>SSSDP!U46</f>
        <v>/</v>
      </c>
      <c r="L416" s="483" t="str">
        <f>IFERROR(SSSDP!AC46/SSSDP!V46,"新科目")</f>
        <v>新科目</v>
      </c>
      <c r="M416" s="180">
        <f>入學要求!S408</f>
        <v>0</v>
      </c>
    </row>
    <row r="417" spans="4:4">
      <c r="D417" s="16"/>
    </row>
    <row r="418" spans="4:4">
      <c r="D418" s="16"/>
    </row>
    <row r="447" spans="13:13">
      <c r="M447" s="180"/>
    </row>
    <row r="468" spans="9:9">
      <c r="I468" s="331"/>
    </row>
    <row r="518" spans="9:9">
      <c r="I518" s="209"/>
    </row>
    <row r="531" spans="9:13">
      <c r="I531" s="209"/>
    </row>
    <row r="532" spans="9:13">
      <c r="I532" s="209"/>
    </row>
    <row r="533" spans="9:13">
      <c r="I533" s="209"/>
    </row>
    <row r="534" spans="9:13">
      <c r="I534" s="209"/>
    </row>
    <row r="541" spans="9:13">
      <c r="M541" s="20"/>
    </row>
    <row r="543" spans="9:13">
      <c r="I543" s="209"/>
    </row>
    <row r="554" spans="9:13">
      <c r="M554" s="20"/>
    </row>
    <row r="555" spans="9:13">
      <c r="M555" s="20"/>
    </row>
    <row r="556" spans="9:13">
      <c r="M556" s="20"/>
    </row>
    <row r="557" spans="9:13">
      <c r="I557" s="271"/>
      <c r="M557" s="20"/>
    </row>
    <row r="561" spans="13:13">
      <c r="M561" s="180"/>
    </row>
    <row r="566" spans="13:13">
      <c r="M566" s="20"/>
    </row>
    <row r="605" spans="9:13">
      <c r="I605" s="209"/>
    </row>
    <row r="606" spans="9:13">
      <c r="I606" s="209"/>
      <c r="M606" s="180"/>
    </row>
    <row r="607" spans="9:13">
      <c r="I607" s="209"/>
      <c r="M607" s="180"/>
    </row>
    <row r="608" spans="9:13">
      <c r="I608" s="209"/>
    </row>
    <row r="609" spans="9:9">
      <c r="I609" s="209"/>
    </row>
    <row r="610" spans="9:9">
      <c r="I610" s="209"/>
    </row>
    <row r="611" spans="9:9">
      <c r="I611" s="209"/>
    </row>
    <row r="612" spans="9:9">
      <c r="I612" s="209"/>
    </row>
    <row r="613" spans="9:9">
      <c r="I613" s="209"/>
    </row>
    <row r="614" spans="9:9">
      <c r="I614" s="209"/>
    </row>
    <row r="615" spans="9:9">
      <c r="I615" s="209"/>
    </row>
    <row r="647" spans="9:9">
      <c r="I647" s="184" t="s">
        <v>1001</v>
      </c>
    </row>
    <row r="730" spans="9:9">
      <c r="I730" s="329"/>
    </row>
    <row r="767" spans="9:9">
      <c r="I767" s="329"/>
    </row>
    <row r="773" spans="9:9">
      <c r="I773" s="321"/>
    </row>
  </sheetData>
  <phoneticPr fontId="2" type="noConversion"/>
  <conditionalFormatting sqref="M309:M369 N419:N1048576 M371:M416 N1:N20 M72:M307 M21:M70">
    <cfRule type="cellIs" dxfId="663" priority="3" operator="equal">
      <formula>2</formula>
    </cfRule>
    <cfRule type="cellIs" dxfId="662" priority="4" operator="equal">
      <formula>1</formula>
    </cfRule>
    <cfRule type="cellIs" dxfId="661" priority="5" operator="equal">
      <formula>0</formula>
    </cfRule>
  </conditionalFormatting>
  <pageMargins left="0.7" right="0.7" top="0.75" bottom="0.75" header="0.3" footer="0.3"/>
  <pageSetup paperSize="9" orientation="portrait" horizontalDpi="1200" verticalDpi="12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8"/>
  <dimension ref="A1:AQ94"/>
  <sheetViews>
    <sheetView zoomScaleNormal="100" workbookViewId="0">
      <pane ySplit="1" topLeftCell="A2" activePane="bottomLeft" state="frozen"/>
      <selection activeCell="B1" sqref="B1"/>
      <selection pane="bottomLeft"/>
    </sheetView>
  </sheetViews>
  <sheetFormatPr defaultColWidth="0" defaultRowHeight="13.8" zeroHeight="1"/>
  <cols>
    <col min="1" max="1" width="7.109375" style="175" customWidth="1"/>
    <col min="2" max="2" width="9.109375" style="175" customWidth="1"/>
    <col min="3" max="3" width="25.77734375" style="175" customWidth="1"/>
    <col min="4" max="4" width="10.6640625" style="175" hidden="1" customWidth="1"/>
    <col min="5" max="5" width="7.77734375" style="302" customWidth="1"/>
    <col min="6" max="9" width="7.77734375" style="298" customWidth="1"/>
    <col min="10" max="11" width="7.6640625" style="298" customWidth="1"/>
    <col min="12" max="12" width="4.88671875" style="298" customWidth="1"/>
    <col min="13" max="13" width="4.6640625" style="371" customWidth="1"/>
    <col min="14" max="14" width="9.77734375" style="298" customWidth="1"/>
    <col min="15" max="20" width="2.21875" style="175" customWidth="1"/>
    <col min="21" max="21" width="8.88671875" style="298" customWidth="1"/>
    <col min="22" max="27" width="6.33203125" style="175" customWidth="1"/>
    <col min="28" max="28" width="8.88671875" style="175" customWidth="1"/>
    <col min="29" max="34" width="6.33203125" style="175" customWidth="1"/>
    <col min="35" max="35" width="5.21875" style="175" customWidth="1"/>
    <col min="36" max="36" width="8.109375" style="175" customWidth="1"/>
    <col min="37" max="43" width="1.21875" style="175" hidden="1" customWidth="1"/>
    <col min="44" max="16384" width="0" style="175" hidden="1"/>
  </cols>
  <sheetData>
    <row r="1" spans="1:36" s="48" customFormat="1" ht="18" customHeight="1">
      <c r="A1" s="48" t="s">
        <v>203</v>
      </c>
      <c r="B1" s="48" t="s">
        <v>298</v>
      </c>
      <c r="C1" s="48" t="s">
        <v>367</v>
      </c>
      <c r="E1" s="305" t="s">
        <v>204</v>
      </c>
      <c r="F1" s="305" t="s">
        <v>368</v>
      </c>
      <c r="G1" s="305" t="s">
        <v>300</v>
      </c>
      <c r="H1" s="305" t="s">
        <v>301</v>
      </c>
      <c r="I1" s="297" t="s">
        <v>205</v>
      </c>
      <c r="J1" s="506" t="s">
        <v>363</v>
      </c>
      <c r="K1" s="506"/>
      <c r="L1" s="297" t="s">
        <v>361</v>
      </c>
      <c r="M1" s="373" t="s">
        <v>376</v>
      </c>
      <c r="N1" s="297" t="s">
        <v>2189</v>
      </c>
      <c r="O1" s="48" t="s">
        <v>369</v>
      </c>
      <c r="P1" s="48" t="s">
        <v>370</v>
      </c>
      <c r="Q1" s="48" t="s">
        <v>371</v>
      </c>
      <c r="R1" s="48" t="s">
        <v>372</v>
      </c>
      <c r="S1" s="48" t="s">
        <v>373</v>
      </c>
      <c r="T1" s="48" t="s">
        <v>374</v>
      </c>
      <c r="U1" s="297" t="s">
        <v>2029</v>
      </c>
      <c r="V1" s="297" t="s">
        <v>2028</v>
      </c>
      <c r="W1" s="297" t="s">
        <v>2021</v>
      </c>
      <c r="X1" s="297" t="s">
        <v>2022</v>
      </c>
      <c r="Y1" s="297" t="s">
        <v>2023</v>
      </c>
      <c r="Z1" s="297" t="s">
        <v>2024</v>
      </c>
      <c r="AA1" s="297" t="s">
        <v>2025</v>
      </c>
      <c r="AB1" s="297" t="s">
        <v>2038</v>
      </c>
      <c r="AC1" s="297" t="s">
        <v>2027</v>
      </c>
      <c r="AD1" s="297" t="s">
        <v>2021</v>
      </c>
      <c r="AE1" s="297" t="s">
        <v>2022</v>
      </c>
      <c r="AF1" s="297" t="s">
        <v>2023</v>
      </c>
      <c r="AG1" s="297" t="s">
        <v>2024</v>
      </c>
      <c r="AH1" s="297" t="s">
        <v>2025</v>
      </c>
      <c r="AI1" s="297"/>
      <c r="AJ1" s="335"/>
    </row>
    <row r="2" spans="1:36" s="11" customFormat="1" ht="18" customHeight="1">
      <c r="A2" s="175" t="s">
        <v>71</v>
      </c>
      <c r="B2" s="175" t="s">
        <v>287</v>
      </c>
      <c r="C2" s="175" t="s">
        <v>72</v>
      </c>
      <c r="D2" s="175" t="s">
        <v>1552</v>
      </c>
      <c r="E2" s="307" t="s">
        <v>189</v>
      </c>
      <c r="F2" s="176">
        <f>5.5+8.5+4+4+4</f>
        <v>26</v>
      </c>
      <c r="G2" s="176">
        <f>5.5+5.5+5.5+4+4</f>
        <v>24.5</v>
      </c>
      <c r="H2" s="176">
        <f>5.5+5.5+4+4+4</f>
        <v>23</v>
      </c>
      <c r="I2" s="193">
        <f>計分版!D165</f>
        <v>3.9500000000000006E-9</v>
      </c>
      <c r="J2" s="177">
        <f t="shared" ref="J2:J13" si="0">IF(J$1="差距(Median)",I2-G2,IF(J$1="差距(UQ)",I2-F2,IF(J$1="差距(LQ)",I2-H2)))</f>
        <v>-24.499999996050001</v>
      </c>
      <c r="K2" s="178">
        <f t="shared" ref="K2:K13" si="1">IF(J$1="差距(Median)",(I2-G2)/I2,IF(J$1="差距(UQ)",(I2-F2)/I2,IF(J$1="差距(LQ)",(I2-H2)/I2)))</f>
        <v>-6202531644.5696192</v>
      </c>
      <c r="L2" s="295">
        <v>20</v>
      </c>
      <c r="M2" s="380">
        <f>入學要求!S147</f>
        <v>0</v>
      </c>
      <c r="N2" s="298" t="s">
        <v>360</v>
      </c>
      <c r="O2" s="296">
        <v>3</v>
      </c>
      <c r="P2" s="296">
        <v>3</v>
      </c>
      <c r="Q2" s="296">
        <v>2</v>
      </c>
      <c r="R2" s="296">
        <v>2</v>
      </c>
      <c r="S2" s="296">
        <v>3</v>
      </c>
      <c r="T2" s="296">
        <v>3</v>
      </c>
      <c r="U2" s="501" t="s">
        <v>2030</v>
      </c>
      <c r="V2" s="295">
        <f>IF($U$2="2018年",'Offer Statistics'!BO2,IF($U$2="2019年",'Offer Statistics'!BO64,IF($U$2="2020年",'Offer Statistics'!BO126)))</f>
        <v>20</v>
      </c>
      <c r="W2" s="284">
        <f>IF($U$2="2018年",'Offer Statistics'!BJ2,IF($U$2="2019年",'Offer Statistics'!BJ64,IF($U$2="2020年",'Offer Statistics'!BJ126)))</f>
        <v>20</v>
      </c>
      <c r="X2" s="284">
        <f>IF($U$2="2018年",'Offer Statistics'!BK2,IF($U$2="2019年",'Offer Statistics'!BK64,IF($U$2="2020年",'Offer Statistics'!BK126)))</f>
        <v>0</v>
      </c>
      <c r="Y2" s="284">
        <f>IF($U$2="2018年",'Offer Statistics'!BL2,IF($U$2="2019年",'Offer Statistics'!BL64,IF($U$2="2020年",'Offer Statistics'!BL126)))</f>
        <v>0</v>
      </c>
      <c r="Z2" s="284">
        <f>IF($U$2="2018年",'Offer Statistics'!BM2,IF($U$2="2019年",'Offer Statistics'!BM64,IF($U$2="2020年",'Offer Statistics'!BM126)))</f>
        <v>0</v>
      </c>
      <c r="AA2" s="284">
        <f>IF($U$2="2018年",'Offer Statistics'!BN2,IF($U$2="2019年",'Offer Statistics'!BN64,IF($U$2="2020年",'Offer Statistics'!BN126)))</f>
        <v>0</v>
      </c>
      <c r="AB2" s="501" t="str">
        <f>U2</f>
        <v>2020年</v>
      </c>
      <c r="AC2" s="295">
        <f>IF($AB$2="2018年",'Offer Statistics'!BG2,IF($AB$2="2019年",'Offer Statistics'!BG64,IF($AB$2="2020年",'Offer Statistics'!BG126)))</f>
        <v>1776</v>
      </c>
      <c r="AD2" s="284">
        <f>IF($AB$2="2018年",'Offer Statistics'!BB2,IF($AB$2="2019年",'Offer Statistics'!BB64,IF($AB$2="2020年",'Offer Statistics'!BB126)))</f>
        <v>160</v>
      </c>
      <c r="AE2" s="284">
        <f>IF($AB$2="2018年",'Offer Statistics'!BC2,IF($AB$2="2019年",'Offer Statistics'!BC64,IF($AB$2="2020年",'Offer Statistics'!BC126)))</f>
        <v>201</v>
      </c>
      <c r="AF2" s="284">
        <f>IF($AB$2="2018年",'Offer Statistics'!BD2,IF($AB$2="2019年",'Offer Statistics'!BD64,IF($AB$2="2020年",'Offer Statistics'!BD126)))</f>
        <v>378</v>
      </c>
      <c r="AG2" s="284">
        <f>IF($AB$2="2018年",'Offer Statistics'!BE2,IF($AB$2="2019年",'Offer Statistics'!BE64,IF($AB$2="2020年",'Offer Statistics'!BE126)))</f>
        <v>540</v>
      </c>
      <c r="AH2" s="284">
        <f>IF($AB$2="2018年",'Offer Statistics'!BF2,IF($AB$2="2019年",'Offer Statistics'!BF64,IF($AB$2="2020年",'Offer Statistics'!BF126)))</f>
        <v>497</v>
      </c>
      <c r="AI2" s="298"/>
      <c r="AJ2" s="338" t="str">
        <f>A2</f>
        <v>JS4006</v>
      </c>
    </row>
    <row r="3" spans="1:36" ht="18" customHeight="1">
      <c r="A3" s="175" t="s">
        <v>73</v>
      </c>
      <c r="B3" s="175" t="s">
        <v>287</v>
      </c>
      <c r="C3" s="175" t="s">
        <v>74</v>
      </c>
      <c r="D3" s="175" t="s">
        <v>2126</v>
      </c>
      <c r="E3" s="437" t="s">
        <v>189</v>
      </c>
      <c r="F3" s="176">
        <f>8.5*1.5+8.5+5.5+5.5+4</f>
        <v>36.25</v>
      </c>
      <c r="G3" s="176">
        <f>7*1.5+7+7+4+4</f>
        <v>32.5</v>
      </c>
      <c r="H3" s="176">
        <f>7*1.5+7+5.5+4+4</f>
        <v>31</v>
      </c>
      <c r="I3" s="193">
        <f>計分版!D166</f>
        <v>3.9500000000000006E-9</v>
      </c>
      <c r="J3" s="177">
        <f t="shared" si="0"/>
        <v>-32.499999996050001</v>
      </c>
      <c r="K3" s="178">
        <f t="shared" si="1"/>
        <v>-8227848100.2658215</v>
      </c>
      <c r="L3" s="295">
        <v>80</v>
      </c>
      <c r="M3" s="381">
        <f>入學要求!S148</f>
        <v>0</v>
      </c>
      <c r="N3" s="371" t="s">
        <v>360</v>
      </c>
      <c r="O3" s="296">
        <v>3</v>
      </c>
      <c r="P3" s="296">
        <v>3</v>
      </c>
      <c r="Q3" s="296">
        <v>2</v>
      </c>
      <c r="R3" s="296">
        <v>2</v>
      </c>
      <c r="S3" s="296">
        <v>3</v>
      </c>
      <c r="T3" s="296">
        <v>3</v>
      </c>
      <c r="U3" s="501"/>
      <c r="V3" s="295">
        <f>IF($U$2="2018年",'Offer Statistics'!BO3,IF($U$2="2019年",'Offer Statistics'!BO65,IF($U$2="2020年",'Offer Statistics'!BO127)))</f>
        <v>84</v>
      </c>
      <c r="W3" s="284">
        <f>IF($U$2="2018年",'Offer Statistics'!BJ3,IF($U$2="2019年",'Offer Statistics'!BJ65,IF($U$2="2020年",'Offer Statistics'!BJ127)))</f>
        <v>84</v>
      </c>
      <c r="X3" s="284">
        <f>IF($U$2="2018年",'Offer Statistics'!BK3,IF($U$2="2019年",'Offer Statistics'!BK65,IF($U$2="2020年",'Offer Statistics'!BK127)))</f>
        <v>0</v>
      </c>
      <c r="Y3" s="284">
        <f>IF($U$2="2018年",'Offer Statistics'!BL3,IF($U$2="2019年",'Offer Statistics'!BL65,IF($U$2="2020年",'Offer Statistics'!BL127)))</f>
        <v>0</v>
      </c>
      <c r="Z3" s="284">
        <f>IF($U$2="2018年",'Offer Statistics'!BM3,IF($U$2="2019年",'Offer Statistics'!BM65,IF($U$2="2020年",'Offer Statistics'!BM127)))</f>
        <v>0</v>
      </c>
      <c r="AA3" s="284">
        <f>IF($U$2="2018年",'Offer Statistics'!BN3,IF($U$2="2019年",'Offer Statistics'!BN65,IF($U$2="2020年",'Offer Statistics'!BN127)))</f>
        <v>0</v>
      </c>
      <c r="AB3" s="501"/>
      <c r="AC3" s="295">
        <f>IF($AB$2="2018年",'Offer Statistics'!BG3,IF($AB$2="2019年",'Offer Statistics'!BG65,IF($AB$2="2020年",'Offer Statistics'!BG127)))</f>
        <v>1696</v>
      </c>
      <c r="AD3" s="284">
        <f>IF($AB$2="2018年",'Offer Statistics'!BB3,IF($AB$2="2019年",'Offer Statistics'!BB65,IF($AB$2="2020年",'Offer Statistics'!BB127)))</f>
        <v>309</v>
      </c>
      <c r="AE3" s="284">
        <f>IF($AB$2="2018年",'Offer Statistics'!BC3,IF($AB$2="2019年",'Offer Statistics'!BC65,IF($AB$2="2020年",'Offer Statistics'!BC127)))</f>
        <v>185</v>
      </c>
      <c r="AF3" s="284">
        <f>IF($AB$2="2018年",'Offer Statistics'!BD3,IF($AB$2="2019年",'Offer Statistics'!BD65,IF($AB$2="2020年",'Offer Statistics'!BD127)))</f>
        <v>353</v>
      </c>
      <c r="AG3" s="284">
        <f>IF($AB$2="2018年",'Offer Statistics'!BE3,IF($AB$2="2019年",'Offer Statistics'!BE65,IF($AB$2="2020年",'Offer Statistics'!BE127)))</f>
        <v>441</v>
      </c>
      <c r="AH3" s="284">
        <f>IF($AB$2="2018年",'Offer Statistics'!BF3,IF($AB$2="2019年",'Offer Statistics'!BF65,IF($AB$2="2020年",'Offer Statistics'!BF127)))</f>
        <v>408</v>
      </c>
      <c r="AI3" s="298"/>
      <c r="AJ3" s="338" t="str">
        <f t="shared" ref="AJ3:AJ62" si="2">A3</f>
        <v>JS4018</v>
      </c>
    </row>
    <row r="4" spans="1:36" s="11" customFormat="1" ht="18" customHeight="1">
      <c r="A4" s="175" t="s">
        <v>75</v>
      </c>
      <c r="B4" s="175" t="s">
        <v>287</v>
      </c>
      <c r="C4" s="175" t="s">
        <v>76</v>
      </c>
      <c r="D4" s="175" t="s">
        <v>2127</v>
      </c>
      <c r="E4" s="307" t="s">
        <v>189</v>
      </c>
      <c r="F4" s="176">
        <f>7+5.5+5.5+4+4</f>
        <v>26</v>
      </c>
      <c r="G4" s="176">
        <f>7+5.5+4+4+4</f>
        <v>24.5</v>
      </c>
      <c r="H4" s="176">
        <f>5.5+5.5+5.5+4+4</f>
        <v>24.5</v>
      </c>
      <c r="I4" s="193">
        <f>計分版!D167</f>
        <v>3.9500000000000006E-9</v>
      </c>
      <c r="J4" s="177">
        <f t="shared" si="0"/>
        <v>-24.499999996050001</v>
      </c>
      <c r="K4" s="178">
        <f t="shared" si="1"/>
        <v>-6202531644.5696192</v>
      </c>
      <c r="L4" s="295">
        <v>17</v>
      </c>
      <c r="M4" s="381">
        <f>入學要求!S149</f>
        <v>0</v>
      </c>
      <c r="N4" s="366" t="s">
        <v>2193</v>
      </c>
      <c r="O4" s="296">
        <v>3</v>
      </c>
      <c r="P4" s="296">
        <v>3</v>
      </c>
      <c r="Q4" s="296">
        <v>2</v>
      </c>
      <c r="R4" s="296">
        <v>2</v>
      </c>
      <c r="S4" s="296">
        <v>3</v>
      </c>
      <c r="T4" s="296">
        <v>3</v>
      </c>
      <c r="U4" s="501"/>
      <c r="V4" s="295">
        <f>IF($U$2="2018年",'Offer Statistics'!BO4,IF($U$2="2019年",'Offer Statistics'!BO66,IF($U$2="2020年",'Offer Statistics'!BO128)))</f>
        <v>16</v>
      </c>
      <c r="W4" s="284">
        <f>IF($U$2="2018年",'Offer Statistics'!BJ4,IF($U$2="2019年",'Offer Statistics'!BJ66,IF($U$2="2020年",'Offer Statistics'!BJ128)))</f>
        <v>16</v>
      </c>
      <c r="X4" s="284">
        <f>IF($U$2="2018年",'Offer Statistics'!BK4,IF($U$2="2019年",'Offer Statistics'!BK66,IF($U$2="2020年",'Offer Statistics'!BK128)))</f>
        <v>0</v>
      </c>
      <c r="Y4" s="284">
        <f>IF($U$2="2018年",'Offer Statistics'!BL4,IF($U$2="2019年",'Offer Statistics'!BL66,IF($U$2="2020年",'Offer Statistics'!BL128)))</f>
        <v>0</v>
      </c>
      <c r="Z4" s="284">
        <f>IF($U$2="2018年",'Offer Statistics'!BM4,IF($U$2="2019年",'Offer Statistics'!BM66,IF($U$2="2020年",'Offer Statistics'!BM128)))</f>
        <v>0</v>
      </c>
      <c r="AA4" s="284">
        <f>IF($U$2="2018年",'Offer Statistics'!BN4,IF($U$2="2019年",'Offer Statistics'!BN66,IF($U$2="2020年",'Offer Statistics'!BN128)))</f>
        <v>0</v>
      </c>
      <c r="AB4" s="501"/>
      <c r="AC4" s="295">
        <f>IF($AB$2="2018年",'Offer Statistics'!BG4,IF($AB$2="2019年",'Offer Statistics'!BG66,IF($AB$2="2020年",'Offer Statistics'!BG128)))</f>
        <v>2299</v>
      </c>
      <c r="AD4" s="284">
        <f>IF($AB$2="2018年",'Offer Statistics'!BB4,IF($AB$2="2019年",'Offer Statistics'!BB66,IF($AB$2="2020年",'Offer Statistics'!BB128)))</f>
        <v>245</v>
      </c>
      <c r="AE4" s="284">
        <f>IF($AB$2="2018年",'Offer Statistics'!BC4,IF($AB$2="2019年",'Offer Statistics'!BC66,IF($AB$2="2020年",'Offer Statistics'!BC128)))</f>
        <v>244</v>
      </c>
      <c r="AF4" s="284">
        <f>IF($AB$2="2018年",'Offer Statistics'!BD4,IF($AB$2="2019年",'Offer Statistics'!BD66,IF($AB$2="2020年",'Offer Statistics'!BD128)))</f>
        <v>500</v>
      </c>
      <c r="AG4" s="284">
        <f>IF($AB$2="2018年",'Offer Statistics'!BE4,IF($AB$2="2019年",'Offer Statistics'!BE66,IF($AB$2="2020年",'Offer Statistics'!BE128)))</f>
        <v>695</v>
      </c>
      <c r="AH4" s="284">
        <f>IF($AB$2="2018年",'Offer Statistics'!BF4,IF($AB$2="2019年",'Offer Statistics'!BF66,IF($AB$2="2020年",'Offer Statistics'!BF128)))</f>
        <v>615</v>
      </c>
      <c r="AI4" s="298"/>
      <c r="AJ4" s="338" t="str">
        <f t="shared" si="2"/>
        <v>JS4020</v>
      </c>
    </row>
    <row r="5" spans="1:36" ht="18" customHeight="1">
      <c r="A5" s="175" t="s">
        <v>77</v>
      </c>
      <c r="B5" s="175" t="s">
        <v>287</v>
      </c>
      <c r="C5" s="175" t="s">
        <v>78</v>
      </c>
      <c r="D5" s="175" t="s">
        <v>2128</v>
      </c>
      <c r="E5" s="307" t="s">
        <v>189</v>
      </c>
      <c r="F5" s="176">
        <f>7+7+5.5+4+3</f>
        <v>26.5</v>
      </c>
      <c r="G5" s="176">
        <f>7+7+4+4+4</f>
        <v>26</v>
      </c>
      <c r="H5" s="176">
        <f>7+5.5+4+4+4</f>
        <v>24.5</v>
      </c>
      <c r="I5" s="193">
        <f>計分版!D168</f>
        <v>3.9500000000000006E-9</v>
      </c>
      <c r="J5" s="177">
        <f t="shared" si="0"/>
        <v>-25.999999996050001</v>
      </c>
      <c r="K5" s="178">
        <f t="shared" si="1"/>
        <v>-6582278480.0126572</v>
      </c>
      <c r="L5" s="295">
        <v>21</v>
      </c>
      <c r="M5" s="381">
        <f>入學要求!S150</f>
        <v>0</v>
      </c>
      <c r="N5" s="370" t="s">
        <v>2188</v>
      </c>
      <c r="O5" s="296">
        <v>3</v>
      </c>
      <c r="P5" s="296">
        <v>3</v>
      </c>
      <c r="Q5" s="296">
        <v>2</v>
      </c>
      <c r="R5" s="296">
        <v>2</v>
      </c>
      <c r="S5" s="296">
        <v>3</v>
      </c>
      <c r="T5" s="296">
        <v>3</v>
      </c>
      <c r="U5" s="501"/>
      <c r="V5" s="295">
        <f>IF($U$2="2018年",'Offer Statistics'!BO5,IF($U$2="2019年",'Offer Statistics'!BO67,IF($U$2="2020年",'Offer Statistics'!BO129)))</f>
        <v>21</v>
      </c>
      <c r="W5" s="284">
        <f>IF($U$2="2018年",'Offer Statistics'!BJ5,IF($U$2="2019年",'Offer Statistics'!BJ67,IF($U$2="2020年",'Offer Statistics'!BJ129)))</f>
        <v>21</v>
      </c>
      <c r="X5" s="284">
        <f>IF($U$2="2018年",'Offer Statistics'!BK5,IF($U$2="2019年",'Offer Statistics'!BK67,IF($U$2="2020年",'Offer Statistics'!BK129)))</f>
        <v>0</v>
      </c>
      <c r="Y5" s="284">
        <f>IF($U$2="2018年",'Offer Statistics'!BL5,IF($U$2="2019年",'Offer Statistics'!BL67,IF($U$2="2020年",'Offer Statistics'!BL129)))</f>
        <v>0</v>
      </c>
      <c r="Z5" s="284">
        <f>IF($U$2="2018年",'Offer Statistics'!BM5,IF($U$2="2019年",'Offer Statistics'!BM67,IF($U$2="2020年",'Offer Statistics'!BM129)))</f>
        <v>0</v>
      </c>
      <c r="AA5" s="284">
        <f>IF($U$2="2018年",'Offer Statistics'!BN5,IF($U$2="2019年",'Offer Statistics'!BN67,IF($U$2="2020年",'Offer Statistics'!BN129)))</f>
        <v>0</v>
      </c>
      <c r="AB5" s="501"/>
      <c r="AC5" s="295">
        <f>IF($AB$2="2018年",'Offer Statistics'!BG5,IF($AB$2="2019年",'Offer Statistics'!BG67,IF($AB$2="2020年",'Offer Statistics'!BG129)))</f>
        <v>1416</v>
      </c>
      <c r="AD5" s="284">
        <f>IF($AB$2="2018年",'Offer Statistics'!BB5,IF($AB$2="2019年",'Offer Statistics'!BB67,IF($AB$2="2020年",'Offer Statistics'!BB129)))</f>
        <v>117</v>
      </c>
      <c r="AE5" s="284">
        <f>IF($AB$2="2018年",'Offer Statistics'!BC5,IF($AB$2="2019年",'Offer Statistics'!BC67,IF($AB$2="2020年",'Offer Statistics'!BC129)))</f>
        <v>160</v>
      </c>
      <c r="AF5" s="284">
        <f>IF($AB$2="2018年",'Offer Statistics'!BD5,IF($AB$2="2019年",'Offer Statistics'!BD67,IF($AB$2="2020年",'Offer Statistics'!BD129)))</f>
        <v>306</v>
      </c>
      <c r="AG5" s="284">
        <f>IF($AB$2="2018年",'Offer Statistics'!BE5,IF($AB$2="2019年",'Offer Statistics'!BE67,IF($AB$2="2020年",'Offer Statistics'!BE129)))</f>
        <v>458</v>
      </c>
      <c r="AH5" s="284">
        <f>IF($AB$2="2018年",'Offer Statistics'!BF5,IF($AB$2="2019年",'Offer Statistics'!BF67,IF($AB$2="2020年",'Offer Statistics'!BF129)))</f>
        <v>375</v>
      </c>
      <c r="AI5" s="298"/>
      <c r="AJ5" s="338" t="str">
        <f t="shared" si="2"/>
        <v>JS4022</v>
      </c>
    </row>
    <row r="6" spans="1:36" s="11" customFormat="1" ht="18" customHeight="1">
      <c r="A6" s="175" t="s">
        <v>79</v>
      </c>
      <c r="B6" s="175" t="s">
        <v>287</v>
      </c>
      <c r="C6" s="175" t="s">
        <v>145</v>
      </c>
      <c r="D6" s="175" t="s">
        <v>2129</v>
      </c>
      <c r="E6" s="249" t="s">
        <v>195</v>
      </c>
      <c r="F6" s="176">
        <f>7*1.5+5.5+4+4+4+4</f>
        <v>32</v>
      </c>
      <c r="G6" s="176">
        <f>7*1.5+4+4+4+4+4</f>
        <v>30.5</v>
      </c>
      <c r="H6" s="176">
        <f>7*1.5+4+4+3+4+4</f>
        <v>29.5</v>
      </c>
      <c r="I6" s="193">
        <f>計分版!D169</f>
        <v>2.9499999999999999E-9</v>
      </c>
      <c r="J6" s="177">
        <f t="shared" si="0"/>
        <v>-30.499999997050001</v>
      </c>
      <c r="K6" s="178">
        <f t="shared" si="1"/>
        <v>-10338983049.847458</v>
      </c>
      <c r="L6" s="295">
        <v>55</v>
      </c>
      <c r="M6" s="381">
        <f>入學要求!S151</f>
        <v>0</v>
      </c>
      <c r="N6" s="370" t="s">
        <v>2194</v>
      </c>
      <c r="O6" s="296">
        <v>3</v>
      </c>
      <c r="P6" s="296">
        <v>3</v>
      </c>
      <c r="Q6" s="296">
        <v>2</v>
      </c>
      <c r="R6" s="296">
        <v>2</v>
      </c>
      <c r="S6" s="296">
        <v>3</v>
      </c>
      <c r="T6" s="296">
        <v>3</v>
      </c>
      <c r="U6" s="501"/>
      <c r="V6" s="295">
        <f>IF($U$2="2018年",'Offer Statistics'!BO6,IF($U$2="2019年",'Offer Statistics'!BO68,IF($U$2="2020年",'Offer Statistics'!BO130)))</f>
        <v>53</v>
      </c>
      <c r="W6" s="284">
        <f>IF($U$2="2018年",'Offer Statistics'!BJ6,IF($U$2="2019年",'Offer Statistics'!BJ68,IF($U$2="2020年",'Offer Statistics'!BJ130)))</f>
        <v>48</v>
      </c>
      <c r="X6" s="284">
        <f>IF($U$2="2018年",'Offer Statistics'!BK6,IF($U$2="2019年",'Offer Statistics'!BK68,IF($U$2="2020年",'Offer Statistics'!BK130)))</f>
        <v>5</v>
      </c>
      <c r="Y6" s="284">
        <f>IF($U$2="2018年",'Offer Statistics'!BL6,IF($U$2="2019年",'Offer Statistics'!BL68,IF($U$2="2020年",'Offer Statistics'!BL130)))</f>
        <v>0</v>
      </c>
      <c r="Z6" s="284">
        <f>IF($U$2="2018年",'Offer Statistics'!BM6,IF($U$2="2019年",'Offer Statistics'!BM68,IF($U$2="2020年",'Offer Statistics'!BM130)))</f>
        <v>0</v>
      </c>
      <c r="AA6" s="284">
        <f>IF($U$2="2018年",'Offer Statistics'!BN6,IF($U$2="2019年",'Offer Statistics'!BN68,IF($U$2="2020年",'Offer Statistics'!BN130)))</f>
        <v>0</v>
      </c>
      <c r="AB6" s="501"/>
      <c r="AC6" s="295">
        <f>IF($AB$2="2018年",'Offer Statistics'!BG6,IF($AB$2="2019年",'Offer Statistics'!BG68,IF($AB$2="2020年",'Offer Statistics'!BG130)))</f>
        <v>1350</v>
      </c>
      <c r="AD6" s="284">
        <f>IF($AB$2="2018年",'Offer Statistics'!BB6,IF($AB$2="2019年",'Offer Statistics'!BB68,IF($AB$2="2020年",'Offer Statistics'!BB130)))</f>
        <v>268</v>
      </c>
      <c r="AE6" s="284">
        <f>IF($AB$2="2018年",'Offer Statistics'!BC6,IF($AB$2="2019年",'Offer Statistics'!BC68,IF($AB$2="2020年",'Offer Statistics'!BC130)))</f>
        <v>222</v>
      </c>
      <c r="AF6" s="284">
        <f>IF($AB$2="2018年",'Offer Statistics'!BD6,IF($AB$2="2019年",'Offer Statistics'!BD68,IF($AB$2="2020年",'Offer Statistics'!BD130)))</f>
        <v>268</v>
      </c>
      <c r="AG6" s="284">
        <f>IF($AB$2="2018年",'Offer Statistics'!BE6,IF($AB$2="2019年",'Offer Statistics'!BE68,IF($AB$2="2020年",'Offer Statistics'!BE130)))</f>
        <v>303</v>
      </c>
      <c r="AH6" s="284">
        <f>IF($AB$2="2018年",'Offer Statistics'!BF6,IF($AB$2="2019年",'Offer Statistics'!BF68,IF($AB$2="2020年",'Offer Statistics'!BF130)))</f>
        <v>289</v>
      </c>
      <c r="AI6" s="298"/>
      <c r="AJ6" s="338" t="str">
        <f t="shared" si="2"/>
        <v>JS4032</v>
      </c>
    </row>
    <row r="7" spans="1:36" ht="18" customHeight="1">
      <c r="A7" s="175" t="s">
        <v>80</v>
      </c>
      <c r="B7" s="175" t="s">
        <v>287</v>
      </c>
      <c r="C7" s="175" t="s">
        <v>81</v>
      </c>
      <c r="D7" s="175" t="s">
        <v>1557</v>
      </c>
      <c r="E7" s="307" t="s">
        <v>189</v>
      </c>
      <c r="F7" s="176">
        <f>7+8.5+4+4+4</f>
        <v>27.5</v>
      </c>
      <c r="G7" s="176">
        <f>5.5+5.5+5.5+5.5+4</f>
        <v>26</v>
      </c>
      <c r="H7" s="176">
        <f>5.5+5.5+5.5+4+4</f>
        <v>24.5</v>
      </c>
      <c r="I7" s="193">
        <f>計分版!D170</f>
        <v>3.9500000000000006E-9</v>
      </c>
      <c r="J7" s="177">
        <f t="shared" si="0"/>
        <v>-25.999999996050001</v>
      </c>
      <c r="K7" s="178">
        <f t="shared" si="1"/>
        <v>-6582278480.0126572</v>
      </c>
      <c r="L7" s="295">
        <v>20</v>
      </c>
      <c r="M7" s="381">
        <f>入學要求!S152</f>
        <v>0</v>
      </c>
      <c r="N7" s="366" t="s">
        <v>2193</v>
      </c>
      <c r="O7" s="296">
        <v>3</v>
      </c>
      <c r="P7" s="296">
        <v>3</v>
      </c>
      <c r="Q7" s="296">
        <v>2</v>
      </c>
      <c r="R7" s="296">
        <v>2</v>
      </c>
      <c r="S7" s="296">
        <v>3</v>
      </c>
      <c r="T7" s="296">
        <v>3</v>
      </c>
      <c r="U7" s="501"/>
      <c r="V7" s="295">
        <f>IF($U$2="2018年",'Offer Statistics'!BO7,IF($U$2="2019年",'Offer Statistics'!BO69,IF($U$2="2020年",'Offer Statistics'!BO131)))</f>
        <v>19</v>
      </c>
      <c r="W7" s="284">
        <f>IF($U$2="2018年",'Offer Statistics'!BJ7,IF($U$2="2019年",'Offer Statistics'!BJ69,IF($U$2="2020年",'Offer Statistics'!BJ131)))</f>
        <v>19</v>
      </c>
      <c r="X7" s="284">
        <f>IF($U$2="2018年",'Offer Statistics'!BK7,IF($U$2="2019年",'Offer Statistics'!BK69,IF($U$2="2020年",'Offer Statistics'!BK131)))</f>
        <v>0</v>
      </c>
      <c r="Y7" s="284">
        <f>IF($U$2="2018年",'Offer Statistics'!BL7,IF($U$2="2019年",'Offer Statistics'!BL69,IF($U$2="2020年",'Offer Statistics'!BL131)))</f>
        <v>0</v>
      </c>
      <c r="Z7" s="284">
        <f>IF($U$2="2018年",'Offer Statistics'!BM7,IF($U$2="2019年",'Offer Statistics'!BM69,IF($U$2="2020年",'Offer Statistics'!BM131)))</f>
        <v>0</v>
      </c>
      <c r="AA7" s="284">
        <f>IF($U$2="2018年",'Offer Statistics'!BN7,IF($U$2="2019年",'Offer Statistics'!BN69,IF($U$2="2020年",'Offer Statistics'!BN131)))</f>
        <v>0</v>
      </c>
      <c r="AB7" s="501"/>
      <c r="AC7" s="295">
        <f>IF($AB$2="2018年",'Offer Statistics'!BG7,IF($AB$2="2019年",'Offer Statistics'!BG69,IF($AB$2="2020年",'Offer Statistics'!BG131)))</f>
        <v>1354</v>
      </c>
      <c r="AD7" s="284">
        <f>IF($AB$2="2018年",'Offer Statistics'!BB7,IF($AB$2="2019年",'Offer Statistics'!BB69,IF($AB$2="2020年",'Offer Statistics'!BB131)))</f>
        <v>261</v>
      </c>
      <c r="AE7" s="284">
        <f>IF($AB$2="2018年",'Offer Statistics'!BC7,IF($AB$2="2019年",'Offer Statistics'!BC69,IF($AB$2="2020年",'Offer Statistics'!BC131)))</f>
        <v>215</v>
      </c>
      <c r="AF7" s="284">
        <f>IF($AB$2="2018年",'Offer Statistics'!BD7,IF($AB$2="2019年",'Offer Statistics'!BD69,IF($AB$2="2020年",'Offer Statistics'!BD131)))</f>
        <v>299</v>
      </c>
      <c r="AG7" s="284">
        <f>IF($AB$2="2018年",'Offer Statistics'!BE7,IF($AB$2="2019年",'Offer Statistics'!BE69,IF($AB$2="2020年",'Offer Statistics'!BE131)))</f>
        <v>333</v>
      </c>
      <c r="AH7" s="284">
        <f>IF($AB$2="2018年",'Offer Statistics'!BF7,IF($AB$2="2019年",'Offer Statistics'!BF69,IF($AB$2="2020年",'Offer Statistics'!BF131)))</f>
        <v>246</v>
      </c>
      <c r="AI7" s="298"/>
      <c r="AJ7" s="338" t="str">
        <f t="shared" si="2"/>
        <v>JS4044</v>
      </c>
    </row>
    <row r="8" spans="1:36" s="11" customFormat="1" ht="18" customHeight="1">
      <c r="A8" s="175" t="s">
        <v>82</v>
      </c>
      <c r="B8" s="175" t="s">
        <v>287</v>
      </c>
      <c r="C8" s="175" t="s">
        <v>22</v>
      </c>
      <c r="D8" s="175" t="s">
        <v>1558</v>
      </c>
      <c r="E8" s="307" t="s">
        <v>189</v>
      </c>
      <c r="F8" s="176">
        <f>7+7+5.5+4+4</f>
        <v>27.5</v>
      </c>
      <c r="G8" s="176">
        <f>7+5.5+5.5+4+4</f>
        <v>26</v>
      </c>
      <c r="H8" s="176">
        <f>5.5+5.5+5.5+4+4</f>
        <v>24.5</v>
      </c>
      <c r="I8" s="193">
        <f>計分版!D171</f>
        <v>3.9500000000000006E-9</v>
      </c>
      <c r="J8" s="177">
        <f t="shared" si="0"/>
        <v>-25.999999996050001</v>
      </c>
      <c r="K8" s="178">
        <f t="shared" si="1"/>
        <v>-6582278480.0126572</v>
      </c>
      <c r="L8" s="295">
        <v>47</v>
      </c>
      <c r="M8" s="381">
        <f>入學要求!S153</f>
        <v>0</v>
      </c>
      <c r="N8" s="298" t="s">
        <v>792</v>
      </c>
      <c r="O8" s="296">
        <v>3</v>
      </c>
      <c r="P8" s="296">
        <v>3</v>
      </c>
      <c r="Q8" s="296">
        <v>2</v>
      </c>
      <c r="R8" s="296">
        <v>2</v>
      </c>
      <c r="S8" s="296">
        <v>3</v>
      </c>
      <c r="T8" s="296">
        <v>3</v>
      </c>
      <c r="U8" s="501"/>
      <c r="V8" s="295">
        <f>IF($U$2="2018年",'Offer Statistics'!BO8,IF($U$2="2019年",'Offer Statistics'!BO70,IF($U$2="2020年",'Offer Statistics'!BO132)))</f>
        <v>47</v>
      </c>
      <c r="W8" s="284">
        <f>IF($U$2="2018年",'Offer Statistics'!BJ8,IF($U$2="2019年",'Offer Statistics'!BJ70,IF($U$2="2020年",'Offer Statistics'!BJ132)))</f>
        <v>47</v>
      </c>
      <c r="X8" s="284">
        <f>IF($U$2="2018年",'Offer Statistics'!BK8,IF($U$2="2019年",'Offer Statistics'!BK70,IF($U$2="2020年",'Offer Statistics'!BK132)))</f>
        <v>0</v>
      </c>
      <c r="Y8" s="284">
        <f>IF($U$2="2018年",'Offer Statistics'!BL8,IF($U$2="2019年",'Offer Statistics'!BL70,IF($U$2="2020年",'Offer Statistics'!BL132)))</f>
        <v>0</v>
      </c>
      <c r="Z8" s="284">
        <f>IF($U$2="2018年",'Offer Statistics'!BM8,IF($U$2="2019年",'Offer Statistics'!BM70,IF($U$2="2020年",'Offer Statistics'!BM132)))</f>
        <v>0</v>
      </c>
      <c r="AA8" s="284">
        <f>IF($U$2="2018年",'Offer Statistics'!BN8,IF($U$2="2019年",'Offer Statistics'!BN70,IF($U$2="2020年",'Offer Statistics'!BN132)))</f>
        <v>0</v>
      </c>
      <c r="AB8" s="501"/>
      <c r="AC8" s="295">
        <f>IF($AB$2="2018年",'Offer Statistics'!BG8,IF($AB$2="2019年",'Offer Statistics'!BG70,IF($AB$2="2020年",'Offer Statistics'!BG132)))</f>
        <v>2006</v>
      </c>
      <c r="AD8" s="284">
        <f>IF($AB$2="2018年",'Offer Statistics'!BB8,IF($AB$2="2019年",'Offer Statistics'!BB70,IF($AB$2="2020年",'Offer Statistics'!BB132)))</f>
        <v>342</v>
      </c>
      <c r="AE8" s="284">
        <f>IF($AB$2="2018年",'Offer Statistics'!BC8,IF($AB$2="2019年",'Offer Statistics'!BC70,IF($AB$2="2020年",'Offer Statistics'!BC132)))</f>
        <v>253</v>
      </c>
      <c r="AF8" s="284">
        <f>IF($AB$2="2018年",'Offer Statistics'!BD8,IF($AB$2="2019年",'Offer Statistics'!BD70,IF($AB$2="2020年",'Offer Statistics'!BD132)))</f>
        <v>419</v>
      </c>
      <c r="AG8" s="284">
        <f>IF($AB$2="2018年",'Offer Statistics'!BE8,IF($AB$2="2019年",'Offer Statistics'!BE70,IF($AB$2="2020年",'Offer Statistics'!BE132)))</f>
        <v>531</v>
      </c>
      <c r="AH8" s="284">
        <f>IF($AB$2="2018年",'Offer Statistics'!BF8,IF($AB$2="2019年",'Offer Statistics'!BF70,IF($AB$2="2020年",'Offer Statistics'!BF132)))</f>
        <v>461</v>
      </c>
      <c r="AI8" s="298"/>
      <c r="AJ8" s="338" t="str">
        <f t="shared" si="2"/>
        <v>JS4056</v>
      </c>
    </row>
    <row r="9" spans="1:36" ht="18" customHeight="1">
      <c r="A9" s="175" t="s">
        <v>83</v>
      </c>
      <c r="B9" s="175" t="s">
        <v>287</v>
      </c>
      <c r="C9" s="175" t="s">
        <v>84</v>
      </c>
      <c r="D9" s="175" t="s">
        <v>1559</v>
      </c>
      <c r="E9" s="307" t="s">
        <v>189</v>
      </c>
      <c r="F9" s="176">
        <f>7+5.5+5.5+4+4</f>
        <v>26</v>
      </c>
      <c r="G9" s="176">
        <f>7+5.5+4+4+4</f>
        <v>24.5</v>
      </c>
      <c r="H9" s="176">
        <f>5.5+5.5+4+4+4</f>
        <v>23</v>
      </c>
      <c r="I9" s="193">
        <f>計分版!D172</f>
        <v>3.9500000000000006E-9</v>
      </c>
      <c r="J9" s="177">
        <f t="shared" si="0"/>
        <v>-24.499999996050001</v>
      </c>
      <c r="K9" s="178">
        <f t="shared" si="1"/>
        <v>-6202531644.5696192</v>
      </c>
      <c r="L9" s="295">
        <v>22</v>
      </c>
      <c r="M9" s="381">
        <f>入學要求!S154</f>
        <v>0</v>
      </c>
      <c r="N9" s="366" t="s">
        <v>2193</v>
      </c>
      <c r="O9" s="296">
        <v>3</v>
      </c>
      <c r="P9" s="296">
        <v>3</v>
      </c>
      <c r="Q9" s="296">
        <v>2</v>
      </c>
      <c r="R9" s="296">
        <v>2</v>
      </c>
      <c r="S9" s="296">
        <v>3</v>
      </c>
      <c r="T9" s="296">
        <v>3</v>
      </c>
      <c r="U9" s="501"/>
      <c r="V9" s="295">
        <f>IF($U$2="2018年",'Offer Statistics'!BO9,IF($U$2="2019年",'Offer Statistics'!BO71,IF($U$2="2020年",'Offer Statistics'!BO133)))</f>
        <v>21</v>
      </c>
      <c r="W9" s="284">
        <f>IF($U$2="2018年",'Offer Statistics'!BJ9,IF($U$2="2019年",'Offer Statistics'!BJ71,IF($U$2="2020年",'Offer Statistics'!BJ133)))</f>
        <v>21</v>
      </c>
      <c r="X9" s="284">
        <f>IF($U$2="2018年",'Offer Statistics'!BK9,IF($U$2="2019年",'Offer Statistics'!BK71,IF($U$2="2020年",'Offer Statistics'!BK133)))</f>
        <v>0</v>
      </c>
      <c r="Y9" s="284">
        <f>IF($U$2="2018年",'Offer Statistics'!BL9,IF($U$2="2019年",'Offer Statistics'!BL71,IF($U$2="2020年",'Offer Statistics'!BL133)))</f>
        <v>0</v>
      </c>
      <c r="Z9" s="284">
        <f>IF($U$2="2018年",'Offer Statistics'!BM9,IF($U$2="2019年",'Offer Statistics'!BM71,IF($U$2="2020年",'Offer Statistics'!BM133)))</f>
        <v>0</v>
      </c>
      <c r="AA9" s="284">
        <f>IF($U$2="2018年",'Offer Statistics'!BN9,IF($U$2="2019年",'Offer Statistics'!BN71,IF($U$2="2020年",'Offer Statistics'!BN133)))</f>
        <v>0</v>
      </c>
      <c r="AB9" s="501"/>
      <c r="AC9" s="295">
        <f>IF($AB$2="2018年",'Offer Statistics'!BG9,IF($AB$2="2019年",'Offer Statistics'!BG71,IF($AB$2="2020年",'Offer Statistics'!BG133)))</f>
        <v>2214</v>
      </c>
      <c r="AD9" s="284">
        <f>IF($AB$2="2018年",'Offer Statistics'!BB9,IF($AB$2="2019年",'Offer Statistics'!BB71,IF($AB$2="2020年",'Offer Statistics'!BB133)))</f>
        <v>469</v>
      </c>
      <c r="AE9" s="284">
        <f>IF($AB$2="2018年",'Offer Statistics'!BC9,IF($AB$2="2019年",'Offer Statistics'!BC71,IF($AB$2="2020年",'Offer Statistics'!BC133)))</f>
        <v>277</v>
      </c>
      <c r="AF9" s="284">
        <f>IF($AB$2="2018年",'Offer Statistics'!BD9,IF($AB$2="2019年",'Offer Statistics'!BD71,IF($AB$2="2020年",'Offer Statistics'!BD133)))</f>
        <v>456</v>
      </c>
      <c r="AG9" s="284">
        <f>IF($AB$2="2018年",'Offer Statistics'!BE9,IF($AB$2="2019年",'Offer Statistics'!BE71,IF($AB$2="2020年",'Offer Statistics'!BE133)))</f>
        <v>531</v>
      </c>
      <c r="AH9" s="284">
        <f>IF($AB$2="2018年",'Offer Statistics'!BF9,IF($AB$2="2019年",'Offer Statistics'!BF71,IF($AB$2="2020年",'Offer Statistics'!BF133)))</f>
        <v>481</v>
      </c>
      <c r="AI9" s="298"/>
      <c r="AJ9" s="338" t="str">
        <f t="shared" si="2"/>
        <v>JS4068</v>
      </c>
    </row>
    <row r="10" spans="1:36" s="11" customFormat="1" ht="18" customHeight="1">
      <c r="A10" s="175" t="s">
        <v>2325</v>
      </c>
      <c r="B10" s="175" t="s">
        <v>287</v>
      </c>
      <c r="C10" s="175" t="s">
        <v>146</v>
      </c>
      <c r="D10" s="175" t="s">
        <v>2130</v>
      </c>
      <c r="E10" s="307" t="s">
        <v>189</v>
      </c>
      <c r="F10" s="176">
        <f>7.5+5.5+5.5+4+4</f>
        <v>26.5</v>
      </c>
      <c r="G10" s="176">
        <f>8.5+5.5+4+4+4</f>
        <v>26</v>
      </c>
      <c r="H10" s="176">
        <f>7+5.5+4+4+4</f>
        <v>24.5</v>
      </c>
      <c r="I10" s="193">
        <f>計分版!D173</f>
        <v>3.9500000000000006E-9</v>
      </c>
      <c r="J10" s="177">
        <f t="shared" si="0"/>
        <v>-25.999999996050001</v>
      </c>
      <c r="K10" s="178">
        <f t="shared" si="1"/>
        <v>-6582278480.0126572</v>
      </c>
      <c r="L10" s="295">
        <v>20</v>
      </c>
      <c r="M10" s="381">
        <f>入學要求!S155</f>
        <v>0</v>
      </c>
      <c r="N10" s="298" t="s">
        <v>792</v>
      </c>
      <c r="O10" s="296">
        <v>3</v>
      </c>
      <c r="P10" s="296">
        <v>3</v>
      </c>
      <c r="Q10" s="296">
        <v>2</v>
      </c>
      <c r="R10" s="296">
        <v>2</v>
      </c>
      <c r="S10" s="296">
        <v>3</v>
      </c>
      <c r="T10" s="296">
        <v>3</v>
      </c>
      <c r="U10" s="501"/>
      <c r="V10" s="295">
        <f>IF($U$2="2018年",'Offer Statistics'!BO10,IF($U$2="2019年",'Offer Statistics'!BO72,IF($U$2="2020年",'Offer Statistics'!BO134)))</f>
        <v>19</v>
      </c>
      <c r="W10" s="284">
        <f>IF($U$2="2018年",'Offer Statistics'!BJ10,IF($U$2="2019年",'Offer Statistics'!BJ72,IF($U$2="2020年",'Offer Statistics'!BJ134)))</f>
        <v>19</v>
      </c>
      <c r="X10" s="284">
        <f>IF($U$2="2018年",'Offer Statistics'!BK10,IF($U$2="2019年",'Offer Statistics'!BK72,IF($U$2="2020年",'Offer Statistics'!BK134)))</f>
        <v>0</v>
      </c>
      <c r="Y10" s="284">
        <f>IF($U$2="2018年",'Offer Statistics'!BL10,IF($U$2="2019年",'Offer Statistics'!BL72,IF($U$2="2020年",'Offer Statistics'!BL134)))</f>
        <v>0</v>
      </c>
      <c r="Z10" s="284">
        <f>IF($U$2="2018年",'Offer Statistics'!BM10,IF($U$2="2019年",'Offer Statistics'!BM72,IF($U$2="2020年",'Offer Statistics'!BM134)))</f>
        <v>0</v>
      </c>
      <c r="AA10" s="284">
        <f>IF($U$2="2018年",'Offer Statistics'!BN10,IF($U$2="2019年",'Offer Statistics'!BN72,IF($U$2="2020年",'Offer Statistics'!BN134)))</f>
        <v>0</v>
      </c>
      <c r="AB10" s="501"/>
      <c r="AC10" s="295">
        <f>IF($AB$2="2018年",'Offer Statistics'!BG10,IF($AB$2="2019年",'Offer Statistics'!BG72,IF($AB$2="2020年",'Offer Statistics'!BG134)))</f>
        <v>1503</v>
      </c>
      <c r="AD10" s="284">
        <f>IF($AB$2="2018年",'Offer Statistics'!BB10,IF($AB$2="2019年",'Offer Statistics'!BB72,IF($AB$2="2020年",'Offer Statistics'!BB134)))</f>
        <v>141</v>
      </c>
      <c r="AE10" s="284">
        <f>IF($AB$2="2018年",'Offer Statistics'!BC10,IF($AB$2="2019年",'Offer Statistics'!BC72,IF($AB$2="2020年",'Offer Statistics'!BC134)))</f>
        <v>167</v>
      </c>
      <c r="AF10" s="284">
        <f>IF($AB$2="2018年",'Offer Statistics'!BD10,IF($AB$2="2019年",'Offer Statistics'!BD72,IF($AB$2="2020年",'Offer Statistics'!BD134)))</f>
        <v>339</v>
      </c>
      <c r="AG10" s="284">
        <f>IF($AB$2="2018年",'Offer Statistics'!BE10,IF($AB$2="2019年",'Offer Statistics'!BE72,IF($AB$2="2020年",'Offer Statistics'!BE134)))</f>
        <v>472</v>
      </c>
      <c r="AH10" s="284">
        <f>IF($AB$2="2018年",'Offer Statistics'!BF10,IF($AB$2="2019年",'Offer Statistics'!BF72,IF($AB$2="2020年",'Offer Statistics'!BF134)))</f>
        <v>384</v>
      </c>
      <c r="AI10" s="298"/>
      <c r="AJ10" s="338" t="str">
        <f t="shared" si="2"/>
        <v>JS4070</v>
      </c>
    </row>
    <row r="11" spans="1:36" ht="18" customHeight="1">
      <c r="A11" s="175" t="s">
        <v>86</v>
      </c>
      <c r="B11" s="175" t="s">
        <v>287</v>
      </c>
      <c r="C11" s="175" t="s">
        <v>21</v>
      </c>
      <c r="D11" s="175" t="s">
        <v>2131</v>
      </c>
      <c r="E11" s="307" t="s">
        <v>59</v>
      </c>
      <c r="F11" s="176">
        <f>7+7+5.5+5.5+4</f>
        <v>29</v>
      </c>
      <c r="G11" s="176">
        <f>7+5.5+4+4+4</f>
        <v>24.5</v>
      </c>
      <c r="H11" s="176">
        <f>5.5+4+4+4+4</f>
        <v>21.5</v>
      </c>
      <c r="I11" s="193">
        <f>計分版!D174</f>
        <v>3.9500000000000006E-9</v>
      </c>
      <c r="J11" s="177">
        <f t="shared" si="0"/>
        <v>-24.499999996050001</v>
      </c>
      <c r="K11" s="178">
        <f t="shared" si="1"/>
        <v>-6202531644.5696192</v>
      </c>
      <c r="L11" s="295">
        <v>28</v>
      </c>
      <c r="M11" s="381">
        <f>入學要求!S156</f>
        <v>0</v>
      </c>
      <c r="N11" s="298" t="s">
        <v>2188</v>
      </c>
      <c r="O11" s="296">
        <v>3</v>
      </c>
      <c r="P11" s="296">
        <v>3</v>
      </c>
      <c r="Q11" s="296">
        <v>2</v>
      </c>
      <c r="R11" s="296">
        <v>2</v>
      </c>
      <c r="S11" s="296">
        <v>3</v>
      </c>
      <c r="T11" s="296">
        <v>3</v>
      </c>
      <c r="U11" s="501"/>
      <c r="V11" s="295">
        <f>IF($U$2="2018年",'Offer Statistics'!BO11,IF($U$2="2019年",'Offer Statistics'!BO73,IF($U$2="2020年",'Offer Statistics'!BO135)))</f>
        <v>25</v>
      </c>
      <c r="W11" s="284">
        <f>IF($U$2="2018年",'Offer Statistics'!BJ11,IF($U$2="2019年",'Offer Statistics'!BJ73,IF($U$2="2020年",'Offer Statistics'!BJ135)))</f>
        <v>25</v>
      </c>
      <c r="X11" s="284">
        <f>IF($U$2="2018年",'Offer Statistics'!BK11,IF($U$2="2019年",'Offer Statistics'!BK73,IF($U$2="2020年",'Offer Statistics'!BK135)))</f>
        <v>0</v>
      </c>
      <c r="Y11" s="284">
        <f>IF($U$2="2018年",'Offer Statistics'!BL11,IF($U$2="2019年",'Offer Statistics'!BL73,IF($U$2="2020年",'Offer Statistics'!BL135)))</f>
        <v>0</v>
      </c>
      <c r="Z11" s="284">
        <f>IF($U$2="2018年",'Offer Statistics'!BM11,IF($U$2="2019年",'Offer Statistics'!BM73,IF($U$2="2020年",'Offer Statistics'!BM135)))</f>
        <v>0</v>
      </c>
      <c r="AA11" s="284">
        <f>IF($U$2="2018年",'Offer Statistics'!BN11,IF($U$2="2019年",'Offer Statistics'!BN73,IF($U$2="2020年",'Offer Statistics'!BN135)))</f>
        <v>0</v>
      </c>
      <c r="AB11" s="501"/>
      <c r="AC11" s="295">
        <f>IF($AB$2="2018年",'Offer Statistics'!BG11,IF($AB$2="2019年",'Offer Statistics'!BG73,IF($AB$2="2020年",'Offer Statistics'!BG135)))</f>
        <v>871</v>
      </c>
      <c r="AD11" s="284">
        <f>IF($AB$2="2018年",'Offer Statistics'!BB11,IF($AB$2="2019年",'Offer Statistics'!BB73,IF($AB$2="2020年",'Offer Statistics'!BB135)))</f>
        <v>187</v>
      </c>
      <c r="AE11" s="284">
        <f>IF($AB$2="2018年",'Offer Statistics'!BC11,IF($AB$2="2019年",'Offer Statistics'!BC73,IF($AB$2="2020年",'Offer Statistics'!BC135)))</f>
        <v>124</v>
      </c>
      <c r="AF11" s="284">
        <f>IF($AB$2="2018年",'Offer Statistics'!BD11,IF($AB$2="2019年",'Offer Statistics'!BD73,IF($AB$2="2020年",'Offer Statistics'!BD135)))</f>
        <v>144</v>
      </c>
      <c r="AG11" s="284">
        <f>IF($AB$2="2018年",'Offer Statistics'!BE11,IF($AB$2="2019年",'Offer Statistics'!BE73,IF($AB$2="2020年",'Offer Statistics'!BE135)))</f>
        <v>197</v>
      </c>
      <c r="AH11" s="284">
        <f>IF($AB$2="2018年",'Offer Statistics'!BF11,IF($AB$2="2019年",'Offer Statistics'!BF73,IF($AB$2="2020年",'Offer Statistics'!BF135)))</f>
        <v>219</v>
      </c>
      <c r="AI11" s="298"/>
      <c r="AJ11" s="338" t="str">
        <f t="shared" si="2"/>
        <v>JS4082</v>
      </c>
    </row>
    <row r="12" spans="1:36" s="11" customFormat="1" ht="18" customHeight="1">
      <c r="A12" s="175" t="s">
        <v>87</v>
      </c>
      <c r="B12" s="175" t="s">
        <v>287</v>
      </c>
      <c r="C12" s="175" t="s">
        <v>147</v>
      </c>
      <c r="D12" s="175" t="s">
        <v>2132</v>
      </c>
      <c r="E12" s="307" t="s">
        <v>189</v>
      </c>
      <c r="F12" s="176">
        <f>4+4+5.5+5.5+5.5</f>
        <v>24.5</v>
      </c>
      <c r="G12" s="176">
        <f>5.5+5.5+5.5+4+4</f>
        <v>24.5</v>
      </c>
      <c r="H12" s="176">
        <f>5.5+5.5+4+4+4</f>
        <v>23</v>
      </c>
      <c r="I12" s="193">
        <f>計分版!D175</f>
        <v>2.9500000000000004E-9</v>
      </c>
      <c r="J12" s="177">
        <f t="shared" si="0"/>
        <v>-24.499999997050001</v>
      </c>
      <c r="K12" s="178">
        <f t="shared" si="1"/>
        <v>-8305084744.7627115</v>
      </c>
      <c r="L12" s="295">
        <v>21</v>
      </c>
      <c r="M12" s="381">
        <f>入學要求!S157</f>
        <v>0</v>
      </c>
      <c r="N12" s="366" t="s">
        <v>2193</v>
      </c>
      <c r="O12" s="296">
        <v>3</v>
      </c>
      <c r="P12" s="296">
        <v>3</v>
      </c>
      <c r="Q12" s="296">
        <v>2</v>
      </c>
      <c r="R12" s="296">
        <v>2</v>
      </c>
      <c r="S12" s="296">
        <v>3</v>
      </c>
      <c r="T12" s="296">
        <v>3</v>
      </c>
      <c r="U12" s="501"/>
      <c r="V12" s="295">
        <f>IF($U$2="2018年",'Offer Statistics'!BO12,IF($U$2="2019年",'Offer Statistics'!BO74,IF($U$2="2020年",'Offer Statistics'!BO136)))</f>
        <v>22</v>
      </c>
      <c r="W12" s="284">
        <f>IF($U$2="2018年",'Offer Statistics'!BJ12,IF($U$2="2019年",'Offer Statistics'!BJ74,IF($U$2="2020年",'Offer Statistics'!BJ136)))</f>
        <v>22</v>
      </c>
      <c r="X12" s="284">
        <f>IF($U$2="2018年",'Offer Statistics'!BK12,IF($U$2="2019年",'Offer Statistics'!BK74,IF($U$2="2020年",'Offer Statistics'!BK136)))</f>
        <v>0</v>
      </c>
      <c r="Y12" s="284">
        <f>IF($U$2="2018年",'Offer Statistics'!BL12,IF($U$2="2019年",'Offer Statistics'!BL74,IF($U$2="2020年",'Offer Statistics'!BL136)))</f>
        <v>0</v>
      </c>
      <c r="Z12" s="284">
        <f>IF($U$2="2018年",'Offer Statistics'!BM12,IF($U$2="2019年",'Offer Statistics'!BM74,IF($U$2="2020年",'Offer Statistics'!BM136)))</f>
        <v>0</v>
      </c>
      <c r="AA12" s="284">
        <f>IF($U$2="2018年",'Offer Statistics'!BN12,IF($U$2="2019年",'Offer Statistics'!BN74,IF($U$2="2020年",'Offer Statistics'!BN136)))</f>
        <v>0</v>
      </c>
      <c r="AB12" s="501"/>
      <c r="AC12" s="295">
        <f>IF($AB$2="2018年",'Offer Statistics'!BG12,IF($AB$2="2019年",'Offer Statistics'!BG74,IF($AB$2="2020年",'Offer Statistics'!BG136)))</f>
        <v>2220</v>
      </c>
      <c r="AD12" s="284">
        <f>IF($AB$2="2018年",'Offer Statistics'!BB12,IF($AB$2="2019年",'Offer Statistics'!BB74,IF($AB$2="2020年",'Offer Statistics'!BB136)))</f>
        <v>283</v>
      </c>
      <c r="AE12" s="284">
        <f>IF($AB$2="2018年",'Offer Statistics'!BC12,IF($AB$2="2019年",'Offer Statistics'!BC74,IF($AB$2="2020年",'Offer Statistics'!BC136)))</f>
        <v>280</v>
      </c>
      <c r="AF12" s="284">
        <f>IF($AB$2="2018年",'Offer Statistics'!BD12,IF($AB$2="2019年",'Offer Statistics'!BD74,IF($AB$2="2020年",'Offer Statistics'!BD136)))</f>
        <v>482</v>
      </c>
      <c r="AG12" s="284">
        <f>IF($AB$2="2018年",'Offer Statistics'!BE12,IF($AB$2="2019年",'Offer Statistics'!BE74,IF($AB$2="2020年",'Offer Statistics'!BE136)))</f>
        <v>595</v>
      </c>
      <c r="AH12" s="284">
        <f>IF($AB$2="2018年",'Offer Statistics'!BF12,IF($AB$2="2019年",'Offer Statistics'!BF74,IF($AB$2="2020年",'Offer Statistics'!BF136)))</f>
        <v>580</v>
      </c>
      <c r="AI12" s="298"/>
      <c r="AJ12" s="338" t="str">
        <f t="shared" si="2"/>
        <v>JS4094</v>
      </c>
    </row>
    <row r="13" spans="1:36" ht="18" customHeight="1">
      <c r="A13" s="175" t="s">
        <v>88</v>
      </c>
      <c r="B13" s="175" t="s">
        <v>287</v>
      </c>
      <c r="C13" s="175" t="s">
        <v>148</v>
      </c>
      <c r="D13" s="175" t="s">
        <v>2133</v>
      </c>
      <c r="E13" s="307" t="s">
        <v>189</v>
      </c>
      <c r="F13" s="176">
        <f>5.5+5.5+4+4+4</f>
        <v>23</v>
      </c>
      <c r="G13" s="176">
        <f>5.5+5.5+4+4+3</f>
        <v>22</v>
      </c>
      <c r="H13" s="176">
        <f>5.5+4+4+4+4</f>
        <v>21.5</v>
      </c>
      <c r="I13" s="193">
        <f>計分版!D176</f>
        <v>3.9500000000000006E-9</v>
      </c>
      <c r="J13" s="177">
        <f t="shared" si="0"/>
        <v>-21.999999996050001</v>
      </c>
      <c r="K13" s="178">
        <f t="shared" si="1"/>
        <v>-5569620252.1645565</v>
      </c>
      <c r="L13" s="501" t="s">
        <v>2441</v>
      </c>
      <c r="M13" s="381">
        <f>入學要求!S158</f>
        <v>0</v>
      </c>
      <c r="N13" s="370" t="s">
        <v>2194</v>
      </c>
      <c r="O13" s="296">
        <v>3</v>
      </c>
      <c r="P13" s="296">
        <v>3</v>
      </c>
      <c r="Q13" s="296">
        <v>2</v>
      </c>
      <c r="R13" s="296">
        <v>2</v>
      </c>
      <c r="S13" s="296">
        <v>3</v>
      </c>
      <c r="T13" s="296">
        <v>3</v>
      </c>
      <c r="U13" s="501"/>
      <c r="V13" s="295">
        <f>IF($U$2="2018年",'Offer Statistics'!BO13,IF($U$2="2019年",'Offer Statistics'!BO75,IF($U$2="2020年",'Offer Statistics'!BO137)))</f>
        <v>19</v>
      </c>
      <c r="W13" s="284">
        <f>IF($U$2="2018年",'Offer Statistics'!BJ13,IF($U$2="2019年",'Offer Statistics'!BJ75,IF($U$2="2020年",'Offer Statistics'!BJ137)))</f>
        <v>19</v>
      </c>
      <c r="X13" s="284">
        <f>IF($U$2="2018年",'Offer Statistics'!BK13,IF($U$2="2019年",'Offer Statistics'!BK75,IF($U$2="2020年",'Offer Statistics'!BK137)))</f>
        <v>0</v>
      </c>
      <c r="Y13" s="284">
        <f>IF($U$2="2018年",'Offer Statistics'!BL13,IF($U$2="2019年",'Offer Statistics'!BL75,IF($U$2="2020年",'Offer Statistics'!BL137)))</f>
        <v>0</v>
      </c>
      <c r="Z13" s="284">
        <f>IF($U$2="2018年",'Offer Statistics'!BM13,IF($U$2="2019年",'Offer Statistics'!BM75,IF($U$2="2020年",'Offer Statistics'!BM137)))</f>
        <v>0</v>
      </c>
      <c r="AA13" s="284">
        <f>IF($U$2="2018年",'Offer Statistics'!BN13,IF($U$2="2019年",'Offer Statistics'!BN75,IF($U$2="2020年",'Offer Statistics'!BN137)))</f>
        <v>0</v>
      </c>
      <c r="AB13" s="501"/>
      <c r="AC13" s="295">
        <f>IF($AB$2="2018年",'Offer Statistics'!BG13,IF($AB$2="2019年",'Offer Statistics'!BG75,IF($AB$2="2020年",'Offer Statistics'!BG137)))</f>
        <v>865</v>
      </c>
      <c r="AD13" s="284">
        <f>IF($AB$2="2018年",'Offer Statistics'!BB13,IF($AB$2="2019年",'Offer Statistics'!BB75,IF($AB$2="2020年",'Offer Statistics'!BB137)))</f>
        <v>135</v>
      </c>
      <c r="AE13" s="284">
        <f>IF($AB$2="2018年",'Offer Statistics'!BC13,IF($AB$2="2019年",'Offer Statistics'!BC75,IF($AB$2="2020年",'Offer Statistics'!BC137)))</f>
        <v>119</v>
      </c>
      <c r="AF13" s="284">
        <f>IF($AB$2="2018年",'Offer Statistics'!BD13,IF($AB$2="2019年",'Offer Statistics'!BD75,IF($AB$2="2020年",'Offer Statistics'!BD137)))</f>
        <v>155</v>
      </c>
      <c r="AG13" s="284">
        <f>IF($AB$2="2018年",'Offer Statistics'!BE13,IF($AB$2="2019年",'Offer Statistics'!BE75,IF($AB$2="2020年",'Offer Statistics'!BE137)))</f>
        <v>206</v>
      </c>
      <c r="AH13" s="284">
        <f>IF($AB$2="2018年",'Offer Statistics'!BF13,IF($AB$2="2019年",'Offer Statistics'!BF75,IF($AB$2="2020年",'Offer Statistics'!BF137)))</f>
        <v>250</v>
      </c>
      <c r="AI13" s="298"/>
      <c r="AJ13" s="338" t="str">
        <f t="shared" si="2"/>
        <v>JS4109</v>
      </c>
    </row>
    <row r="14" spans="1:36" s="11" customFormat="1" ht="18" customHeight="1">
      <c r="A14" s="175" t="s">
        <v>89</v>
      </c>
      <c r="B14" s="175" t="s">
        <v>287</v>
      </c>
      <c r="C14" s="175" t="s">
        <v>149</v>
      </c>
      <c r="D14" s="175" t="s">
        <v>1564</v>
      </c>
      <c r="E14" s="307" t="s">
        <v>189</v>
      </c>
      <c r="F14" s="176" t="s">
        <v>360</v>
      </c>
      <c r="G14" s="176" t="s">
        <v>360</v>
      </c>
      <c r="H14" s="176" t="s">
        <v>360</v>
      </c>
      <c r="I14" s="193">
        <f>計分版!D177</f>
        <v>3.9500000000000006E-9</v>
      </c>
      <c r="J14" s="177" t="s">
        <v>360</v>
      </c>
      <c r="K14" s="178" t="s">
        <v>360</v>
      </c>
      <c r="L14" s="501"/>
      <c r="M14" s="381">
        <f>入學要求!S159</f>
        <v>0</v>
      </c>
      <c r="N14" s="366" t="s">
        <v>2193</v>
      </c>
      <c r="O14" s="296">
        <v>3</v>
      </c>
      <c r="P14" s="296">
        <v>3</v>
      </c>
      <c r="Q14" s="296">
        <v>2</v>
      </c>
      <c r="R14" s="296">
        <v>2</v>
      </c>
      <c r="S14" s="296">
        <v>3</v>
      </c>
      <c r="T14" s="296">
        <v>3</v>
      </c>
      <c r="U14" s="501"/>
      <c r="V14" s="295">
        <f>IF($U$2="2018年",'Offer Statistics'!BO14,IF($U$2="2019年",'Offer Statistics'!BO76,IF($U$2="2020年",'Offer Statistics'!BO138)))</f>
        <v>0</v>
      </c>
      <c r="W14" s="284">
        <f>IF($U$2="2018年",'Offer Statistics'!BJ14,IF($U$2="2019年",'Offer Statistics'!BJ76,IF($U$2="2020年",'Offer Statistics'!BJ138)))</f>
        <v>0</v>
      </c>
      <c r="X14" s="284">
        <f>IF($U$2="2018年",'Offer Statistics'!BK14,IF($U$2="2019年",'Offer Statistics'!BK76,IF($U$2="2020年",'Offer Statistics'!BK138)))</f>
        <v>0</v>
      </c>
      <c r="Y14" s="284">
        <f>IF($U$2="2018年",'Offer Statistics'!BL14,IF($U$2="2019年",'Offer Statistics'!BL76,IF($U$2="2020年",'Offer Statistics'!BL138)))</f>
        <v>0</v>
      </c>
      <c r="Z14" s="284">
        <f>IF($U$2="2018年",'Offer Statistics'!BM14,IF($U$2="2019年",'Offer Statistics'!BM76,IF($U$2="2020年",'Offer Statistics'!BM138)))</f>
        <v>0</v>
      </c>
      <c r="AA14" s="284">
        <f>IF($U$2="2018年",'Offer Statistics'!BN14,IF($U$2="2019年",'Offer Statistics'!BN76,IF($U$2="2020年",'Offer Statistics'!BN138)))</f>
        <v>0</v>
      </c>
      <c r="AB14" s="501"/>
      <c r="AC14" s="295">
        <f>IF($AB$2="2018年",'Offer Statistics'!BG14,IF($AB$2="2019年",'Offer Statistics'!BG76,IF($AB$2="2020年",'Offer Statistics'!BG138)))</f>
        <v>398</v>
      </c>
      <c r="AD14" s="284">
        <f>IF($AB$2="2018年",'Offer Statistics'!BB14,IF($AB$2="2019年",'Offer Statistics'!BB76,IF($AB$2="2020年",'Offer Statistics'!BB138)))</f>
        <v>26</v>
      </c>
      <c r="AE14" s="284">
        <f>IF($AB$2="2018年",'Offer Statistics'!BC14,IF($AB$2="2019年",'Offer Statistics'!BC76,IF($AB$2="2020年",'Offer Statistics'!BC138)))</f>
        <v>38</v>
      </c>
      <c r="AF14" s="284">
        <f>IF($AB$2="2018年",'Offer Statistics'!BD14,IF($AB$2="2019年",'Offer Statistics'!BD76,IF($AB$2="2020年",'Offer Statistics'!BD138)))</f>
        <v>73</v>
      </c>
      <c r="AG14" s="284">
        <f>IF($AB$2="2018年",'Offer Statistics'!BE14,IF($AB$2="2019年",'Offer Statistics'!BE76,IF($AB$2="2020年",'Offer Statistics'!BE138)))</f>
        <v>98</v>
      </c>
      <c r="AH14" s="284">
        <f>IF($AB$2="2018年",'Offer Statistics'!BF14,IF($AB$2="2019年",'Offer Statistics'!BF76,IF($AB$2="2020年",'Offer Statistics'!BF138)))</f>
        <v>163</v>
      </c>
      <c r="AI14" s="298"/>
      <c r="AJ14" s="338" t="str">
        <f t="shared" si="2"/>
        <v>JS4111</v>
      </c>
    </row>
    <row r="15" spans="1:36" ht="18" customHeight="1">
      <c r="A15" s="175" t="s">
        <v>90</v>
      </c>
      <c r="B15" s="175" t="s">
        <v>287</v>
      </c>
      <c r="C15" s="175" t="s">
        <v>91</v>
      </c>
      <c r="D15" s="175" t="s">
        <v>1565</v>
      </c>
      <c r="E15" s="307" t="s">
        <v>189</v>
      </c>
      <c r="F15" s="176">
        <f>5.5+8.5+7+7+5.5</f>
        <v>33.5</v>
      </c>
      <c r="G15" s="176">
        <f>7+7+5.5+5.5+4</f>
        <v>29</v>
      </c>
      <c r="H15" s="176">
        <f>5.5+7+5.5+4+4</f>
        <v>26</v>
      </c>
      <c r="I15" s="193">
        <f>計分版!D178</f>
        <v>3.9500000000000006E-9</v>
      </c>
      <c r="J15" s="177">
        <f t="shared" ref="J15:J62" si="3">IF(J$1="差距(Median)",I15-G15,IF(J$1="差距(UQ)",I15-F15,IF(J$1="差距(LQ)",I15-H15)))</f>
        <v>-28.999999996050001</v>
      </c>
      <c r="K15" s="178">
        <f t="shared" ref="K15:K62" si="4">IF(J$1="差距(Median)",(I15-G15)/I15,IF(J$1="差距(UQ)",(I15-F15)/I15,IF(J$1="差距(LQ)",(I15-H15)/I15)))</f>
        <v>-7341772150.8987331</v>
      </c>
      <c r="L15" s="295">
        <v>32</v>
      </c>
      <c r="M15" s="381">
        <f>入學要求!S160</f>
        <v>0</v>
      </c>
      <c r="N15" s="298" t="s">
        <v>792</v>
      </c>
      <c r="O15" s="296">
        <v>3</v>
      </c>
      <c r="P15" s="296">
        <v>3</v>
      </c>
      <c r="Q15" s="296">
        <v>3</v>
      </c>
      <c r="R15" s="296">
        <v>3</v>
      </c>
      <c r="S15" s="296">
        <v>3</v>
      </c>
      <c r="T15" s="296">
        <v>3</v>
      </c>
      <c r="U15" s="501"/>
      <c r="V15" s="295">
        <f>IF($U$2="2018年",'Offer Statistics'!BO15,IF($U$2="2019年",'Offer Statistics'!BO77,IF($U$2="2020年",'Offer Statistics'!BO139)))</f>
        <v>21</v>
      </c>
      <c r="W15" s="284">
        <f>IF($U$2="2018年",'Offer Statistics'!BJ15,IF($U$2="2019年",'Offer Statistics'!BJ77,IF($U$2="2020年",'Offer Statistics'!BJ139)))</f>
        <v>19</v>
      </c>
      <c r="X15" s="284">
        <f>IF($U$2="2018年",'Offer Statistics'!BK15,IF($U$2="2019年",'Offer Statistics'!BK77,IF($U$2="2020年",'Offer Statistics'!BK139)))</f>
        <v>1</v>
      </c>
      <c r="Y15" s="284">
        <f>IF($U$2="2018年",'Offer Statistics'!BL15,IF($U$2="2019年",'Offer Statistics'!BL77,IF($U$2="2020年",'Offer Statistics'!BL139)))</f>
        <v>1</v>
      </c>
      <c r="Z15" s="284">
        <f>IF($U$2="2018年",'Offer Statistics'!BM15,IF($U$2="2019年",'Offer Statistics'!BM77,IF($U$2="2020年",'Offer Statistics'!BM139)))</f>
        <v>0</v>
      </c>
      <c r="AA15" s="284">
        <f>IF($U$2="2018年",'Offer Statistics'!BN15,IF($U$2="2019年",'Offer Statistics'!BN77,IF($U$2="2020年",'Offer Statistics'!BN139)))</f>
        <v>0</v>
      </c>
      <c r="AB15" s="501"/>
      <c r="AC15" s="295">
        <f>IF($AB$2="2018年",'Offer Statistics'!BG15,IF($AB$2="2019年",'Offer Statistics'!BG77,IF($AB$2="2020年",'Offer Statistics'!BG139)))</f>
        <v>1536</v>
      </c>
      <c r="AD15" s="284">
        <f>IF($AB$2="2018年",'Offer Statistics'!BB15,IF($AB$2="2019年",'Offer Statistics'!BB77,IF($AB$2="2020年",'Offer Statistics'!BB139)))</f>
        <v>118</v>
      </c>
      <c r="AE15" s="284">
        <f>IF($AB$2="2018年",'Offer Statistics'!BC15,IF($AB$2="2019年",'Offer Statistics'!BC77,IF($AB$2="2020年",'Offer Statistics'!BC139)))</f>
        <v>157</v>
      </c>
      <c r="AF15" s="284">
        <f>IF($AB$2="2018年",'Offer Statistics'!BD15,IF($AB$2="2019年",'Offer Statistics'!BD77,IF($AB$2="2020年",'Offer Statistics'!BD139)))</f>
        <v>285</v>
      </c>
      <c r="AG15" s="284">
        <f>IF($AB$2="2018年",'Offer Statistics'!BE15,IF($AB$2="2019年",'Offer Statistics'!BE77,IF($AB$2="2020年",'Offer Statistics'!BE139)))</f>
        <v>449</v>
      </c>
      <c r="AH15" s="284">
        <f>IF($AB$2="2018年",'Offer Statistics'!BF15,IF($AB$2="2019年",'Offer Statistics'!BF77,IF($AB$2="2020年",'Offer Statistics'!BF139)))</f>
        <v>527</v>
      </c>
      <c r="AI15" s="298"/>
      <c r="AJ15" s="338" t="str">
        <f t="shared" si="2"/>
        <v>JS4123</v>
      </c>
    </row>
    <row r="16" spans="1:36" s="11" customFormat="1" ht="18" customHeight="1">
      <c r="A16" s="175" t="s">
        <v>183</v>
      </c>
      <c r="B16" s="175" t="s">
        <v>287</v>
      </c>
      <c r="C16" s="42" t="s">
        <v>184</v>
      </c>
      <c r="D16" s="175" t="s">
        <v>2134</v>
      </c>
      <c r="E16" s="307" t="s">
        <v>189</v>
      </c>
      <c r="F16" s="176">
        <f>4+7+5.5+4+4</f>
        <v>24.5</v>
      </c>
      <c r="G16" s="176">
        <f>7+5.5+4+4+3</f>
        <v>23.5</v>
      </c>
      <c r="H16" s="176">
        <f>7+4+4+4+4</f>
        <v>23</v>
      </c>
      <c r="I16" s="193">
        <f>計分版!D179</f>
        <v>3.9500000000000006E-9</v>
      </c>
      <c r="J16" s="177">
        <f t="shared" si="3"/>
        <v>-23.499999996050001</v>
      </c>
      <c r="K16" s="178">
        <f t="shared" si="4"/>
        <v>-5949367087.6075945</v>
      </c>
      <c r="L16" s="295">
        <v>15</v>
      </c>
      <c r="M16" s="381">
        <f>入學要求!S161</f>
        <v>0</v>
      </c>
      <c r="N16" s="370" t="s">
        <v>2188</v>
      </c>
      <c r="O16" s="296">
        <v>3</v>
      </c>
      <c r="P16" s="296">
        <v>3</v>
      </c>
      <c r="Q16" s="296">
        <v>2</v>
      </c>
      <c r="R16" s="296">
        <v>2</v>
      </c>
      <c r="S16" s="296">
        <v>3</v>
      </c>
      <c r="T16" s="296">
        <v>3</v>
      </c>
      <c r="U16" s="501"/>
      <c r="V16" s="295">
        <f>IF($U$2="2018年",'Offer Statistics'!BO16,IF($U$2="2019年",'Offer Statistics'!BO78,IF($U$2="2020年",'Offer Statistics'!BO140)))</f>
        <v>14</v>
      </c>
      <c r="W16" s="284">
        <f>IF($U$2="2018年",'Offer Statistics'!BJ16,IF($U$2="2019年",'Offer Statistics'!BJ78,IF($U$2="2020年",'Offer Statistics'!BJ140)))</f>
        <v>14</v>
      </c>
      <c r="X16" s="284">
        <f>IF($U$2="2018年",'Offer Statistics'!BK16,IF($U$2="2019年",'Offer Statistics'!BK78,IF($U$2="2020年",'Offer Statistics'!BK140)))</f>
        <v>0</v>
      </c>
      <c r="Y16" s="284">
        <f>IF($U$2="2018年",'Offer Statistics'!BL16,IF($U$2="2019年",'Offer Statistics'!BL78,IF($U$2="2020年",'Offer Statistics'!BL140)))</f>
        <v>0</v>
      </c>
      <c r="Z16" s="284">
        <f>IF($U$2="2018年",'Offer Statistics'!BM16,IF($U$2="2019年",'Offer Statistics'!BM78,IF($U$2="2020年",'Offer Statistics'!BM140)))</f>
        <v>0</v>
      </c>
      <c r="AA16" s="284">
        <f>IF($U$2="2018年",'Offer Statistics'!BN16,IF($U$2="2019年",'Offer Statistics'!BN78,IF($U$2="2020年",'Offer Statistics'!BN140)))</f>
        <v>0</v>
      </c>
      <c r="AB16" s="501"/>
      <c r="AC16" s="295">
        <f>IF($AB$2="2018年",'Offer Statistics'!BG16,IF($AB$2="2019年",'Offer Statistics'!BG78,IF($AB$2="2020年",'Offer Statistics'!BG140)))</f>
        <v>1585</v>
      </c>
      <c r="AD16" s="284">
        <f>IF($AB$2="2018年",'Offer Statistics'!BB16,IF($AB$2="2019年",'Offer Statistics'!BB78,IF($AB$2="2020年",'Offer Statistics'!BB140)))</f>
        <v>318</v>
      </c>
      <c r="AE16" s="284">
        <f>IF($AB$2="2018年",'Offer Statistics'!BC16,IF($AB$2="2019年",'Offer Statistics'!BC78,IF($AB$2="2020年",'Offer Statistics'!BC140)))</f>
        <v>217</v>
      </c>
      <c r="AF16" s="284">
        <f>IF($AB$2="2018年",'Offer Statistics'!BD16,IF($AB$2="2019年",'Offer Statistics'!BD78,IF($AB$2="2020年",'Offer Statistics'!BD140)))</f>
        <v>335</v>
      </c>
      <c r="AG16" s="284">
        <f>IF($AB$2="2018年",'Offer Statistics'!BE16,IF($AB$2="2019年",'Offer Statistics'!BE78,IF($AB$2="2020年",'Offer Statistics'!BE140)))</f>
        <v>386</v>
      </c>
      <c r="AH16" s="284">
        <f>IF($AB$2="2018年",'Offer Statistics'!BF16,IF($AB$2="2019年",'Offer Statistics'!BF78,IF($AB$2="2020年",'Offer Statistics'!BF140)))</f>
        <v>329</v>
      </c>
      <c r="AI16" s="298"/>
      <c r="AJ16" s="338" t="str">
        <f t="shared" si="2"/>
        <v>JS4136</v>
      </c>
    </row>
    <row r="17" spans="1:36" ht="18" customHeight="1">
      <c r="A17" s="175" t="s">
        <v>92</v>
      </c>
      <c r="B17" s="175" t="s">
        <v>288</v>
      </c>
      <c r="C17" s="175" t="s">
        <v>93</v>
      </c>
      <c r="D17" s="175" t="s">
        <v>2135</v>
      </c>
      <c r="E17" s="307" t="s">
        <v>189</v>
      </c>
      <c r="F17" s="176">
        <f>7+7+5.5+4+4</f>
        <v>27.5</v>
      </c>
      <c r="G17" s="176">
        <f>7+5.5+5.5+4+4</f>
        <v>26</v>
      </c>
      <c r="H17" s="176">
        <f>7+5.5+4+4+4</f>
        <v>24.5</v>
      </c>
      <c r="I17" s="193">
        <f>計分版!D180</f>
        <v>3.9500000000000006E-9</v>
      </c>
      <c r="J17" s="177">
        <f t="shared" si="3"/>
        <v>-25.999999996050001</v>
      </c>
      <c r="K17" s="178">
        <f t="shared" si="4"/>
        <v>-6582278480.0126572</v>
      </c>
      <c r="L17" s="295">
        <v>253</v>
      </c>
      <c r="M17" s="381">
        <f>入學要求!S162</f>
        <v>0</v>
      </c>
      <c r="N17" s="370" t="s">
        <v>2194</v>
      </c>
      <c r="O17" s="296">
        <v>3</v>
      </c>
      <c r="P17" s="296">
        <v>3</v>
      </c>
      <c r="Q17" s="296">
        <v>2</v>
      </c>
      <c r="R17" s="296">
        <v>2</v>
      </c>
      <c r="S17" s="296">
        <v>3</v>
      </c>
      <c r="T17" s="296">
        <v>3</v>
      </c>
      <c r="U17" s="501"/>
      <c r="V17" s="295">
        <f>IF($U$2="2018年",'Offer Statistics'!BO17,IF($U$2="2019年",'Offer Statistics'!BO79,IF($U$2="2020年",'Offer Statistics'!BO141)))</f>
        <v>220</v>
      </c>
      <c r="W17" s="284">
        <f>IF($U$2="2018年",'Offer Statistics'!BJ17,IF($U$2="2019年",'Offer Statistics'!BJ79,IF($U$2="2020年",'Offer Statistics'!BJ141)))</f>
        <v>220</v>
      </c>
      <c r="X17" s="284">
        <f>IF($U$2="2018年",'Offer Statistics'!BK17,IF($U$2="2019年",'Offer Statistics'!BK79,IF($U$2="2020年",'Offer Statistics'!BK141)))</f>
        <v>0</v>
      </c>
      <c r="Y17" s="284">
        <f>IF($U$2="2018年",'Offer Statistics'!BL17,IF($U$2="2019年",'Offer Statistics'!BL79,IF($U$2="2020年",'Offer Statistics'!BL141)))</f>
        <v>0</v>
      </c>
      <c r="Z17" s="284">
        <f>IF($U$2="2018年",'Offer Statistics'!BM17,IF($U$2="2019年",'Offer Statistics'!BM79,IF($U$2="2020年",'Offer Statistics'!BM141)))</f>
        <v>0</v>
      </c>
      <c r="AA17" s="284">
        <f>IF($U$2="2018年",'Offer Statistics'!BN17,IF($U$2="2019年",'Offer Statistics'!BN79,IF($U$2="2020年",'Offer Statistics'!BN141)))</f>
        <v>0</v>
      </c>
      <c r="AB17" s="501"/>
      <c r="AC17" s="295">
        <f>IF($AB$2="2018年",'Offer Statistics'!BG17,IF($AB$2="2019年",'Offer Statistics'!BG79,IF($AB$2="2020年",'Offer Statistics'!BG141)))</f>
        <v>4010</v>
      </c>
      <c r="AD17" s="284">
        <f>IF($AB$2="2018年",'Offer Statistics'!BB17,IF($AB$2="2019年",'Offer Statistics'!BB79,IF($AB$2="2020年",'Offer Statistics'!BB141)))</f>
        <v>1062</v>
      </c>
      <c r="AE17" s="284">
        <f>IF($AB$2="2018年",'Offer Statistics'!BC17,IF($AB$2="2019年",'Offer Statistics'!BC79,IF($AB$2="2020年",'Offer Statistics'!BC141)))</f>
        <v>498</v>
      </c>
      <c r="AF17" s="284">
        <f>IF($AB$2="2018年",'Offer Statistics'!BD17,IF($AB$2="2019年",'Offer Statistics'!BD79,IF($AB$2="2020年",'Offer Statistics'!BD141)))</f>
        <v>774</v>
      </c>
      <c r="AG17" s="284">
        <f>IF($AB$2="2018年",'Offer Statistics'!BE17,IF($AB$2="2019年",'Offer Statistics'!BE79,IF($AB$2="2020年",'Offer Statistics'!BE141)))</f>
        <v>902</v>
      </c>
      <c r="AH17" s="284">
        <f>IF($AB$2="2018年",'Offer Statistics'!BF17,IF($AB$2="2019年",'Offer Statistics'!BF79,IF($AB$2="2020年",'Offer Statistics'!BF141)))</f>
        <v>774</v>
      </c>
      <c r="AI17" s="298"/>
      <c r="AJ17" s="338" t="str">
        <f t="shared" si="2"/>
        <v>JS4202</v>
      </c>
    </row>
    <row r="18" spans="1:36" s="11" customFormat="1" ht="18" customHeight="1">
      <c r="A18" s="175" t="s">
        <v>94</v>
      </c>
      <c r="B18" s="175" t="s">
        <v>288</v>
      </c>
      <c r="C18" s="175" t="s">
        <v>95</v>
      </c>
      <c r="D18" s="175" t="s">
        <v>1568</v>
      </c>
      <c r="E18" s="307" t="s">
        <v>190</v>
      </c>
      <c r="F18" s="176">
        <f>8.5+8.5+7+8.5+8.5+7</f>
        <v>48</v>
      </c>
      <c r="G18" s="176">
        <f>8.5+5.5+8.5+5.5+8.5+8.5</f>
        <v>45</v>
      </c>
      <c r="H18" s="176">
        <f>7+5.5+7+8.5+8.5+8.5</f>
        <v>45</v>
      </c>
      <c r="I18" s="193">
        <f>計分版!D181</f>
        <v>2.8499999999999999E-9</v>
      </c>
      <c r="J18" s="177">
        <f t="shared" si="3"/>
        <v>-44.999999997149999</v>
      </c>
      <c r="K18" s="178">
        <f t="shared" si="4"/>
        <v>-15789473683.210527</v>
      </c>
      <c r="L18" s="295">
        <v>15</v>
      </c>
      <c r="M18" s="381">
        <f>入學要求!S163</f>
        <v>0</v>
      </c>
      <c r="N18" s="370" t="s">
        <v>2194</v>
      </c>
      <c r="O18" s="296">
        <v>4</v>
      </c>
      <c r="P18" s="296">
        <v>5</v>
      </c>
      <c r="Q18" s="296">
        <v>3</v>
      </c>
      <c r="R18" s="296">
        <v>3</v>
      </c>
      <c r="S18" s="296">
        <v>3</v>
      </c>
      <c r="T18" s="296">
        <v>3</v>
      </c>
      <c r="U18" s="501"/>
      <c r="V18" s="295">
        <f>IF($U$2="2018年",'Offer Statistics'!BO18,IF($U$2="2019年",'Offer Statistics'!BO80,IF($U$2="2020年",'Offer Statistics'!BO142)))</f>
        <v>10</v>
      </c>
      <c r="W18" s="284">
        <f>IF($U$2="2018年",'Offer Statistics'!BJ18,IF($U$2="2019年",'Offer Statistics'!BJ80,IF($U$2="2020年",'Offer Statistics'!BJ142)))</f>
        <v>10</v>
      </c>
      <c r="X18" s="284">
        <f>IF($U$2="2018年",'Offer Statistics'!BK18,IF($U$2="2019年",'Offer Statistics'!BK80,IF($U$2="2020年",'Offer Statistics'!BK142)))</f>
        <v>0</v>
      </c>
      <c r="Y18" s="284">
        <f>IF($U$2="2018年",'Offer Statistics'!BL18,IF($U$2="2019年",'Offer Statistics'!BL80,IF($U$2="2020年",'Offer Statistics'!BL142)))</f>
        <v>0</v>
      </c>
      <c r="Z18" s="284">
        <f>IF($U$2="2018年",'Offer Statistics'!BM18,IF($U$2="2019年",'Offer Statistics'!BM80,IF($U$2="2020年",'Offer Statistics'!BM142)))</f>
        <v>0</v>
      </c>
      <c r="AA18" s="284">
        <f>IF($U$2="2018年",'Offer Statistics'!BN18,IF($U$2="2019年",'Offer Statistics'!BN80,IF($U$2="2020年",'Offer Statistics'!BN142)))</f>
        <v>0</v>
      </c>
      <c r="AB18" s="501"/>
      <c r="AC18" s="295">
        <f>IF($AB$2="2018年",'Offer Statistics'!BG18,IF($AB$2="2019年",'Offer Statistics'!BG80,IF($AB$2="2020年",'Offer Statistics'!BG142)))</f>
        <v>510</v>
      </c>
      <c r="AD18" s="284">
        <f>IF($AB$2="2018年",'Offer Statistics'!BB18,IF($AB$2="2019年",'Offer Statistics'!BB80,IF($AB$2="2020年",'Offer Statistics'!BB142)))</f>
        <v>39</v>
      </c>
      <c r="AE18" s="284">
        <f>IF($AB$2="2018年",'Offer Statistics'!BC18,IF($AB$2="2019年",'Offer Statistics'!BC80,IF($AB$2="2020年",'Offer Statistics'!BC142)))</f>
        <v>52</v>
      </c>
      <c r="AF18" s="284">
        <f>IF($AB$2="2018年",'Offer Statistics'!BD18,IF($AB$2="2019年",'Offer Statistics'!BD80,IF($AB$2="2020年",'Offer Statistics'!BD142)))</f>
        <v>90</v>
      </c>
      <c r="AG18" s="284">
        <f>IF($AB$2="2018年",'Offer Statistics'!BE18,IF($AB$2="2019年",'Offer Statistics'!BE80,IF($AB$2="2020年",'Offer Statistics'!BE142)))</f>
        <v>133</v>
      </c>
      <c r="AH18" s="284">
        <f>IF($AB$2="2018年",'Offer Statistics'!BF18,IF($AB$2="2019年",'Offer Statistics'!BF80,IF($AB$2="2020年",'Offer Statistics'!BF142)))</f>
        <v>196</v>
      </c>
      <c r="AI18" s="298"/>
      <c r="AJ18" s="338" t="str">
        <f t="shared" si="2"/>
        <v>JS4214</v>
      </c>
    </row>
    <row r="19" spans="1:36" ht="18" customHeight="1">
      <c r="A19" s="10" t="s">
        <v>96</v>
      </c>
      <c r="B19" s="10" t="s">
        <v>288</v>
      </c>
      <c r="C19" s="10" t="s">
        <v>150</v>
      </c>
      <c r="D19" s="10" t="s">
        <v>1569</v>
      </c>
      <c r="E19" s="313" t="s">
        <v>189</v>
      </c>
      <c r="F19" s="176">
        <f>7+5.5+5.5+4+4</f>
        <v>26</v>
      </c>
      <c r="G19" s="119">
        <f>5.5+4+7+5.5+4</f>
        <v>26</v>
      </c>
      <c r="H19" s="176">
        <f>5.5+7+4+4+4</f>
        <v>24.5</v>
      </c>
      <c r="I19" s="193">
        <f>計分版!D182</f>
        <v>3.9500000000000006E-9</v>
      </c>
      <c r="J19" s="177">
        <f t="shared" si="3"/>
        <v>-25.999999996050001</v>
      </c>
      <c r="K19" s="178">
        <f t="shared" si="4"/>
        <v>-6582278480.0126572</v>
      </c>
      <c r="L19" s="295">
        <v>66</v>
      </c>
      <c r="M19" s="381">
        <f>入學要求!S164</f>
        <v>0</v>
      </c>
      <c r="N19" s="370" t="s">
        <v>2188</v>
      </c>
      <c r="O19" s="296">
        <v>3</v>
      </c>
      <c r="P19" s="296">
        <v>3</v>
      </c>
      <c r="Q19" s="296">
        <v>2</v>
      </c>
      <c r="R19" s="296">
        <v>2</v>
      </c>
      <c r="S19" s="296">
        <v>3</v>
      </c>
      <c r="T19" s="296">
        <v>3</v>
      </c>
      <c r="U19" s="501"/>
      <c r="V19" s="295">
        <f>IF($U$2="2018年",'Offer Statistics'!BO19,IF($U$2="2019年",'Offer Statistics'!BO81,IF($U$2="2020年",'Offer Statistics'!BO143)))</f>
        <v>42</v>
      </c>
      <c r="W19" s="284">
        <f>IF($U$2="2018年",'Offer Statistics'!BJ19,IF($U$2="2019年",'Offer Statistics'!BJ81,IF($U$2="2020年",'Offer Statistics'!BJ143)))</f>
        <v>42</v>
      </c>
      <c r="X19" s="284">
        <f>IF($U$2="2018年",'Offer Statistics'!BK19,IF($U$2="2019年",'Offer Statistics'!BK81,IF($U$2="2020年",'Offer Statistics'!BK143)))</f>
        <v>0</v>
      </c>
      <c r="Y19" s="284">
        <f>IF($U$2="2018年",'Offer Statistics'!BL19,IF($U$2="2019年",'Offer Statistics'!BL81,IF($U$2="2020年",'Offer Statistics'!BL143)))</f>
        <v>0</v>
      </c>
      <c r="Z19" s="284">
        <f>IF($U$2="2018年",'Offer Statistics'!BM19,IF($U$2="2019年",'Offer Statistics'!BM81,IF($U$2="2020年",'Offer Statistics'!BM143)))</f>
        <v>0</v>
      </c>
      <c r="AA19" s="284">
        <f>IF($U$2="2018年",'Offer Statistics'!BN19,IF($U$2="2019年",'Offer Statistics'!BN81,IF($U$2="2020年",'Offer Statistics'!BN143)))</f>
        <v>0</v>
      </c>
      <c r="AB19" s="501"/>
      <c r="AC19" s="295">
        <f>IF($AB$2="2018年",'Offer Statistics'!BG19,IF($AB$2="2019年",'Offer Statistics'!BG81,IF($AB$2="2020年",'Offer Statistics'!BG143)))</f>
        <v>3963</v>
      </c>
      <c r="AD19" s="284">
        <f>IF($AB$2="2018年",'Offer Statistics'!BB19,IF($AB$2="2019年",'Offer Statistics'!BB81,IF($AB$2="2020年",'Offer Statistics'!BB143)))</f>
        <v>665</v>
      </c>
      <c r="AE19" s="284">
        <f>IF($AB$2="2018年",'Offer Statistics'!BC19,IF($AB$2="2019年",'Offer Statistics'!BC81,IF($AB$2="2020年",'Offer Statistics'!BC143)))</f>
        <v>553</v>
      </c>
      <c r="AF19" s="284">
        <f>IF($AB$2="2018年",'Offer Statistics'!BD19,IF($AB$2="2019年",'Offer Statistics'!BD81,IF($AB$2="2020年",'Offer Statistics'!BD143)))</f>
        <v>752</v>
      </c>
      <c r="AG19" s="284">
        <f>IF($AB$2="2018年",'Offer Statistics'!BE19,IF($AB$2="2019年",'Offer Statistics'!BE81,IF($AB$2="2020年",'Offer Statistics'!BE143)))</f>
        <v>1051</v>
      </c>
      <c r="AH19" s="284">
        <f>IF($AB$2="2018年",'Offer Statistics'!BF19,IF($AB$2="2019年",'Offer Statistics'!BF81,IF($AB$2="2020年",'Offer Statistics'!BF143)))</f>
        <v>942</v>
      </c>
      <c r="AI19" s="298"/>
      <c r="AJ19" s="338" t="str">
        <f t="shared" si="2"/>
        <v>JS4226</v>
      </c>
    </row>
    <row r="20" spans="1:36" s="11" customFormat="1" ht="18" customHeight="1">
      <c r="A20" s="10" t="s">
        <v>151</v>
      </c>
      <c r="B20" s="10" t="s">
        <v>288</v>
      </c>
      <c r="C20" s="10" t="s">
        <v>152</v>
      </c>
      <c r="D20" s="10" t="s">
        <v>2136</v>
      </c>
      <c r="E20" s="41" t="s">
        <v>189</v>
      </c>
      <c r="F20" s="176">
        <f>5.5+5.5+7+7+7</f>
        <v>32</v>
      </c>
      <c r="G20" s="176">
        <f>5.5+7+7+5.5+5.5</f>
        <v>30.5</v>
      </c>
      <c r="H20" s="176">
        <f>5.5+5.5+7+5.5+5.5</f>
        <v>29</v>
      </c>
      <c r="I20" s="193">
        <f>計分版!D183</f>
        <v>3.3500000000000002E-9</v>
      </c>
      <c r="J20" s="177">
        <f t="shared" si="3"/>
        <v>-30.499999996650001</v>
      </c>
      <c r="K20" s="178">
        <f t="shared" si="4"/>
        <v>-9104477610.9402981</v>
      </c>
      <c r="L20" s="295">
        <v>36</v>
      </c>
      <c r="M20" s="381">
        <f>入學要求!S165</f>
        <v>0</v>
      </c>
      <c r="N20" s="370" t="s">
        <v>2194</v>
      </c>
      <c r="O20" s="296">
        <v>3</v>
      </c>
      <c r="P20" s="296">
        <v>3</v>
      </c>
      <c r="Q20" s="296">
        <v>5</v>
      </c>
      <c r="R20" s="296">
        <v>2</v>
      </c>
      <c r="S20" s="296">
        <v>3</v>
      </c>
      <c r="T20" s="296">
        <v>3</v>
      </c>
      <c r="U20" s="501"/>
      <c r="V20" s="295">
        <f>IF($U$2="2018年",'Offer Statistics'!BO20,IF($U$2="2019年",'Offer Statistics'!BO82,IF($U$2="2020年",'Offer Statistics'!BO144)))</f>
        <v>45</v>
      </c>
      <c r="W20" s="284">
        <f>IF($U$2="2018年",'Offer Statistics'!BJ20,IF($U$2="2019年",'Offer Statistics'!BJ82,IF($U$2="2020年",'Offer Statistics'!BJ144)))</f>
        <v>45</v>
      </c>
      <c r="X20" s="284">
        <f>IF($U$2="2018年",'Offer Statistics'!BK20,IF($U$2="2019年",'Offer Statistics'!BK82,IF($U$2="2020年",'Offer Statistics'!BK144)))</f>
        <v>0</v>
      </c>
      <c r="Y20" s="284">
        <f>IF($U$2="2018年",'Offer Statistics'!BL20,IF($U$2="2019年",'Offer Statistics'!BL82,IF($U$2="2020年",'Offer Statistics'!BL144)))</f>
        <v>0</v>
      </c>
      <c r="Z20" s="284">
        <f>IF($U$2="2018年",'Offer Statistics'!BM20,IF($U$2="2019年",'Offer Statistics'!BM82,IF($U$2="2020年",'Offer Statistics'!BM144)))</f>
        <v>0</v>
      </c>
      <c r="AA20" s="284">
        <f>IF($U$2="2018年",'Offer Statistics'!BN20,IF($U$2="2019年",'Offer Statistics'!BN82,IF($U$2="2020年",'Offer Statistics'!BN144)))</f>
        <v>0</v>
      </c>
      <c r="AB20" s="501"/>
      <c r="AC20" s="295">
        <f>IF($AB$2="2018年",'Offer Statistics'!BG20,IF($AB$2="2019年",'Offer Statistics'!BG82,IF($AB$2="2020年",'Offer Statistics'!BG144)))</f>
        <v>711</v>
      </c>
      <c r="AD20" s="284">
        <f>IF($AB$2="2018年",'Offer Statistics'!BB20,IF($AB$2="2019年",'Offer Statistics'!BB82,IF($AB$2="2020年",'Offer Statistics'!BB144)))</f>
        <v>104</v>
      </c>
      <c r="AE20" s="284">
        <f>IF($AB$2="2018年",'Offer Statistics'!BC20,IF($AB$2="2019年",'Offer Statistics'!BC82,IF($AB$2="2020年",'Offer Statistics'!BC144)))</f>
        <v>70</v>
      </c>
      <c r="AF20" s="284">
        <f>IF($AB$2="2018年",'Offer Statistics'!BD20,IF($AB$2="2019年",'Offer Statistics'!BD82,IF($AB$2="2020年",'Offer Statistics'!BD144)))</f>
        <v>138</v>
      </c>
      <c r="AG20" s="284">
        <f>IF($AB$2="2018年",'Offer Statistics'!BE20,IF($AB$2="2019年",'Offer Statistics'!BE82,IF($AB$2="2020年",'Offer Statistics'!BE144)))</f>
        <v>206</v>
      </c>
      <c r="AH20" s="284">
        <f>IF($AB$2="2018年",'Offer Statistics'!BF20,IF($AB$2="2019年",'Offer Statistics'!BF82,IF($AB$2="2020年",'Offer Statistics'!BF144)))</f>
        <v>193</v>
      </c>
      <c r="AI20" s="298"/>
      <c r="AJ20" s="338" t="str">
        <f t="shared" si="2"/>
        <v>JS4238</v>
      </c>
    </row>
    <row r="21" spans="1:36" ht="18" customHeight="1">
      <c r="A21" s="10" t="s">
        <v>97</v>
      </c>
      <c r="B21" s="10" t="s">
        <v>288</v>
      </c>
      <c r="C21" s="10" t="s">
        <v>2041</v>
      </c>
      <c r="D21" s="10" t="s">
        <v>2137</v>
      </c>
      <c r="E21" s="41" t="s">
        <v>189</v>
      </c>
      <c r="F21" s="176">
        <f>7+5.5+7+7+4</f>
        <v>30.5</v>
      </c>
      <c r="G21" s="176">
        <f>7+5.5+5.5+5.5+4</f>
        <v>27.5</v>
      </c>
      <c r="H21" s="176">
        <f>7+5.5+5.5+4+4</f>
        <v>26</v>
      </c>
      <c r="I21" s="193">
        <f>計分版!D184</f>
        <v>3.9500000000000006E-9</v>
      </c>
      <c r="J21" s="177">
        <f t="shared" si="3"/>
        <v>-27.499999996050001</v>
      </c>
      <c r="K21" s="178">
        <f t="shared" si="4"/>
        <v>-6962025315.4556952</v>
      </c>
      <c r="L21" s="295">
        <v>126</v>
      </c>
      <c r="M21" s="381">
        <f>入學要求!S166</f>
        <v>0</v>
      </c>
      <c r="N21" s="370" t="s">
        <v>2194</v>
      </c>
      <c r="O21" s="296">
        <v>3</v>
      </c>
      <c r="P21" s="296">
        <v>3</v>
      </c>
      <c r="Q21" s="296">
        <v>3</v>
      </c>
      <c r="R21" s="296">
        <v>2</v>
      </c>
      <c r="S21" s="296">
        <v>3</v>
      </c>
      <c r="T21" s="296">
        <v>3</v>
      </c>
      <c r="U21" s="501"/>
      <c r="V21" s="295">
        <f>IF($U$2="2018年",'Offer Statistics'!BO21,IF($U$2="2019年",'Offer Statistics'!BO83,IF($U$2="2020年",'Offer Statistics'!BO145)))</f>
        <v>122</v>
      </c>
      <c r="W21" s="284">
        <f>IF($U$2="2018年",'Offer Statistics'!BJ21,IF($U$2="2019年",'Offer Statistics'!BJ83,IF($U$2="2020年",'Offer Statistics'!BJ145)))</f>
        <v>122</v>
      </c>
      <c r="X21" s="284">
        <f>IF($U$2="2018年",'Offer Statistics'!BK21,IF($U$2="2019年",'Offer Statistics'!BK83,IF($U$2="2020年",'Offer Statistics'!BK145)))</f>
        <v>0</v>
      </c>
      <c r="Y21" s="284">
        <f>IF($U$2="2018年",'Offer Statistics'!BL21,IF($U$2="2019年",'Offer Statistics'!BL83,IF($U$2="2020年",'Offer Statistics'!BL145)))</f>
        <v>0</v>
      </c>
      <c r="Z21" s="284">
        <f>IF($U$2="2018年",'Offer Statistics'!BM21,IF($U$2="2019年",'Offer Statistics'!BM83,IF($U$2="2020年",'Offer Statistics'!BM145)))</f>
        <v>0</v>
      </c>
      <c r="AA21" s="284">
        <f>IF($U$2="2018年",'Offer Statistics'!BN21,IF($U$2="2019年",'Offer Statistics'!BN83,IF($U$2="2020年",'Offer Statistics'!BN145)))</f>
        <v>0</v>
      </c>
      <c r="AB21" s="501"/>
      <c r="AC21" s="295">
        <f>IF($AB$2="2018年",'Offer Statistics'!BG21,IF($AB$2="2019年",'Offer Statistics'!BG83,IF($AB$2="2020年",'Offer Statistics'!BG145)))</f>
        <v>1751</v>
      </c>
      <c r="AD21" s="284">
        <f>IF($AB$2="2018年",'Offer Statistics'!BB21,IF($AB$2="2019年",'Offer Statistics'!BB83,IF($AB$2="2020年",'Offer Statistics'!BB145)))</f>
        <v>339</v>
      </c>
      <c r="AE21" s="284">
        <f>IF($AB$2="2018年",'Offer Statistics'!BC21,IF($AB$2="2019年",'Offer Statistics'!BC83,IF($AB$2="2020年",'Offer Statistics'!BC145)))</f>
        <v>255</v>
      </c>
      <c r="AF21" s="284">
        <f>IF($AB$2="2018年",'Offer Statistics'!BD21,IF($AB$2="2019年",'Offer Statistics'!BD83,IF($AB$2="2020年",'Offer Statistics'!BD145)))</f>
        <v>365</v>
      </c>
      <c r="AG21" s="284">
        <f>IF($AB$2="2018年",'Offer Statistics'!BE21,IF($AB$2="2019年",'Offer Statistics'!BE83,IF($AB$2="2020年",'Offer Statistics'!BE145)))</f>
        <v>411</v>
      </c>
      <c r="AH21" s="284">
        <f>IF($AB$2="2018年",'Offer Statistics'!BF21,IF($AB$2="2019年",'Offer Statistics'!BF83,IF($AB$2="2020年",'Offer Statistics'!BF145)))</f>
        <v>381</v>
      </c>
      <c r="AI21" s="298"/>
      <c r="AJ21" s="338" t="str">
        <f t="shared" si="2"/>
        <v>JS4240</v>
      </c>
    </row>
    <row r="22" spans="1:36" s="11" customFormat="1" ht="18" customHeight="1">
      <c r="A22" s="10" t="s">
        <v>154</v>
      </c>
      <c r="B22" s="10" t="s">
        <v>288</v>
      </c>
      <c r="C22" s="10" t="s">
        <v>155</v>
      </c>
      <c r="D22" s="10" t="s">
        <v>2138</v>
      </c>
      <c r="E22" s="313" t="s">
        <v>189</v>
      </c>
      <c r="F22" s="176">
        <f>5.5*2+7*2+8.5*1.5+8.5+7</f>
        <v>53.25</v>
      </c>
      <c r="G22" s="176">
        <f>4*2+8.5*2+8.5*1.5+7+5.5</f>
        <v>50.25</v>
      </c>
      <c r="H22" s="176">
        <f>5.5*2+8.5*2+7+7+7</f>
        <v>49</v>
      </c>
      <c r="I22" s="193">
        <f>計分版!D185</f>
        <v>4.1000000000000003E-9</v>
      </c>
      <c r="J22" s="177">
        <f t="shared" si="3"/>
        <v>-50.249999995899998</v>
      </c>
      <c r="K22" s="178">
        <f t="shared" si="4"/>
        <v>-12256097559.975609</v>
      </c>
      <c r="L22" s="295">
        <v>37</v>
      </c>
      <c r="M22" s="381">
        <f>入學要求!S167</f>
        <v>0</v>
      </c>
      <c r="N22" s="370" t="s">
        <v>2194</v>
      </c>
      <c r="O22" s="296">
        <v>3</v>
      </c>
      <c r="P22" s="296">
        <v>3</v>
      </c>
      <c r="Q22" s="296">
        <v>3</v>
      </c>
      <c r="R22" s="296">
        <v>2</v>
      </c>
      <c r="S22" s="296">
        <v>3</v>
      </c>
      <c r="T22" s="296">
        <v>3</v>
      </c>
      <c r="U22" s="501"/>
      <c r="V22" s="295">
        <f>IF($U$2="2018年",'Offer Statistics'!BO22,IF($U$2="2019年",'Offer Statistics'!BO84,IF($U$2="2020年",'Offer Statistics'!BO146)))</f>
        <v>33</v>
      </c>
      <c r="W22" s="284">
        <f>IF($U$2="2018年",'Offer Statistics'!BJ22,IF($U$2="2019年",'Offer Statistics'!BJ84,IF($U$2="2020年",'Offer Statistics'!BJ146)))</f>
        <v>33</v>
      </c>
      <c r="X22" s="284">
        <f>IF($U$2="2018年",'Offer Statistics'!BK22,IF($U$2="2019年",'Offer Statistics'!BK84,IF($U$2="2020年",'Offer Statistics'!BK146)))</f>
        <v>0</v>
      </c>
      <c r="Y22" s="284">
        <f>IF($U$2="2018年",'Offer Statistics'!BL22,IF($U$2="2019年",'Offer Statistics'!BL84,IF($U$2="2020年",'Offer Statistics'!BL146)))</f>
        <v>0</v>
      </c>
      <c r="Z22" s="284">
        <f>IF($U$2="2018年",'Offer Statistics'!BM22,IF($U$2="2019年",'Offer Statistics'!BM84,IF($U$2="2020年",'Offer Statistics'!BM146)))</f>
        <v>0</v>
      </c>
      <c r="AA22" s="284">
        <f>IF($U$2="2018年",'Offer Statistics'!BN22,IF($U$2="2019年",'Offer Statistics'!BN84,IF($U$2="2020年",'Offer Statistics'!BN146)))</f>
        <v>0</v>
      </c>
      <c r="AB22" s="501"/>
      <c r="AC22" s="295">
        <f>IF($AB$2="2018年",'Offer Statistics'!BG22,IF($AB$2="2019年",'Offer Statistics'!BG84,IF($AB$2="2020年",'Offer Statistics'!BG146)))</f>
        <v>627</v>
      </c>
      <c r="AD22" s="284">
        <f>IF($AB$2="2018年",'Offer Statistics'!BB22,IF($AB$2="2019年",'Offer Statistics'!BB84,IF($AB$2="2020年",'Offer Statistics'!BB146)))</f>
        <v>130</v>
      </c>
      <c r="AE22" s="284">
        <f>IF($AB$2="2018年",'Offer Statistics'!BC22,IF($AB$2="2019年",'Offer Statistics'!BC84,IF($AB$2="2020年",'Offer Statistics'!BC146)))</f>
        <v>66</v>
      </c>
      <c r="AF22" s="284">
        <f>IF($AB$2="2018年",'Offer Statistics'!BD22,IF($AB$2="2019年",'Offer Statistics'!BD84,IF($AB$2="2020年",'Offer Statistics'!BD146)))</f>
        <v>119</v>
      </c>
      <c r="AG22" s="284">
        <f>IF($AB$2="2018年",'Offer Statistics'!BE22,IF($AB$2="2019年",'Offer Statistics'!BE84,IF($AB$2="2020年",'Offer Statistics'!BE146)))</f>
        <v>154</v>
      </c>
      <c r="AH22" s="284">
        <f>IF($AB$2="2018年",'Offer Statistics'!BF22,IF($AB$2="2019年",'Offer Statistics'!BF84,IF($AB$2="2020年",'Offer Statistics'!BF146)))</f>
        <v>158</v>
      </c>
      <c r="AI22" s="298"/>
      <c r="AJ22" s="338" t="str">
        <f t="shared" si="2"/>
        <v>JS4252</v>
      </c>
    </row>
    <row r="23" spans="1:36" ht="18" customHeight="1">
      <c r="A23" s="10" t="s">
        <v>98</v>
      </c>
      <c r="B23" s="10" t="s">
        <v>289</v>
      </c>
      <c r="C23" s="10" t="s">
        <v>99</v>
      </c>
      <c r="D23" s="10" t="s">
        <v>1574</v>
      </c>
      <c r="E23" s="366" t="s">
        <v>190</v>
      </c>
      <c r="F23" s="176">
        <f>5.5+5.5+7+5.5+8.5+7</f>
        <v>39</v>
      </c>
      <c r="G23" s="176">
        <f>7+5.5+5.5+7+5.5+5.5</f>
        <v>36</v>
      </c>
      <c r="H23" s="176">
        <f>5.5+5.5+5.5+7+5.5+5.5</f>
        <v>34.5</v>
      </c>
      <c r="I23" s="193">
        <f>計分版!D186</f>
        <v>2.8499999999999999E-9</v>
      </c>
      <c r="J23" s="177">
        <f t="shared" si="3"/>
        <v>-35.999999997149999</v>
      </c>
      <c r="K23" s="178">
        <f t="shared" si="4"/>
        <v>-12631578946.368422</v>
      </c>
      <c r="L23" s="295">
        <v>24</v>
      </c>
      <c r="M23" s="381">
        <f>入學要求!S168</f>
        <v>0</v>
      </c>
      <c r="N23" s="370" t="s">
        <v>2194</v>
      </c>
      <c r="O23" s="296">
        <v>4</v>
      </c>
      <c r="P23" s="296">
        <v>5</v>
      </c>
      <c r="Q23" s="296">
        <v>3</v>
      </c>
      <c r="R23" s="296">
        <v>2</v>
      </c>
      <c r="S23" s="296">
        <v>3</v>
      </c>
      <c r="T23" s="296">
        <v>3</v>
      </c>
      <c r="U23" s="501"/>
      <c r="V23" s="295">
        <f>IF($U$2="2018年",'Offer Statistics'!BO23,IF($U$2="2019年",'Offer Statistics'!BO85,IF($U$2="2020年",'Offer Statistics'!BO147)))</f>
        <v>21</v>
      </c>
      <c r="W23" s="284">
        <f>IF($U$2="2018年",'Offer Statistics'!BJ23,IF($U$2="2019年",'Offer Statistics'!BJ85,IF($U$2="2020年",'Offer Statistics'!BJ147)))</f>
        <v>21</v>
      </c>
      <c r="X23" s="284">
        <f>IF($U$2="2018年",'Offer Statistics'!BK23,IF($U$2="2019年",'Offer Statistics'!BK85,IF($U$2="2020年",'Offer Statistics'!BK147)))</f>
        <v>0</v>
      </c>
      <c r="Y23" s="284">
        <f>IF($U$2="2018年",'Offer Statistics'!BL23,IF($U$2="2019年",'Offer Statistics'!BL85,IF($U$2="2020年",'Offer Statistics'!BL147)))</f>
        <v>0</v>
      </c>
      <c r="Z23" s="284">
        <f>IF($U$2="2018年",'Offer Statistics'!BM23,IF($U$2="2019年",'Offer Statistics'!BM85,IF($U$2="2020年",'Offer Statistics'!BM147)))</f>
        <v>0</v>
      </c>
      <c r="AA23" s="284">
        <f>IF($U$2="2018年",'Offer Statistics'!BN23,IF($U$2="2019年",'Offer Statistics'!BN85,IF($U$2="2020年",'Offer Statistics'!BN147)))</f>
        <v>0</v>
      </c>
      <c r="AB23" s="501"/>
      <c r="AC23" s="295">
        <f>IF($AB$2="2018年",'Offer Statistics'!BG23,IF($AB$2="2019年",'Offer Statistics'!BG85,IF($AB$2="2020年",'Offer Statistics'!BG147)))</f>
        <v>428</v>
      </c>
      <c r="AD23" s="284">
        <f>IF($AB$2="2018年",'Offer Statistics'!BB23,IF($AB$2="2019年",'Offer Statistics'!BB85,IF($AB$2="2020年",'Offer Statistics'!BB147)))</f>
        <v>55</v>
      </c>
      <c r="AE23" s="284">
        <f>IF($AB$2="2018年",'Offer Statistics'!BC23,IF($AB$2="2019年",'Offer Statistics'!BC85,IF($AB$2="2020年",'Offer Statistics'!BC147)))</f>
        <v>51</v>
      </c>
      <c r="AF23" s="284">
        <f>IF($AB$2="2018年",'Offer Statistics'!BD23,IF($AB$2="2019年",'Offer Statistics'!BD85,IF($AB$2="2020年",'Offer Statistics'!BD147)))</f>
        <v>90</v>
      </c>
      <c r="AG23" s="284">
        <f>IF($AB$2="2018年",'Offer Statistics'!BE23,IF($AB$2="2019年",'Offer Statistics'!BE85,IF($AB$2="2020年",'Offer Statistics'!BE147)))</f>
        <v>107</v>
      </c>
      <c r="AH23" s="284">
        <f>IF($AB$2="2018年",'Offer Statistics'!BF23,IF($AB$2="2019年",'Offer Statistics'!BF85,IF($AB$2="2020年",'Offer Statistics'!BF147)))</f>
        <v>125</v>
      </c>
      <c r="AI23" s="298"/>
      <c r="AJ23" s="338" t="str">
        <f t="shared" si="2"/>
        <v>JS4254</v>
      </c>
    </row>
    <row r="24" spans="1:36" s="11" customFormat="1" ht="18" customHeight="1">
      <c r="A24" s="10" t="s">
        <v>156</v>
      </c>
      <c r="B24" s="10" t="s">
        <v>290</v>
      </c>
      <c r="C24" s="10" t="s">
        <v>157</v>
      </c>
      <c r="D24" s="10" t="s">
        <v>2139</v>
      </c>
      <c r="E24" s="439" t="s">
        <v>190</v>
      </c>
      <c r="F24" s="176">
        <f>4*1.5+7*2+5.5+5.5*2+8.5+7</f>
        <v>52</v>
      </c>
      <c r="G24" s="176">
        <f>5.5*1.5+5.5*2+5.5+7*2+7+5.5</f>
        <v>51.25</v>
      </c>
      <c r="H24" s="176">
        <f>7*1.5+7*2+5.5+4*2+7+4</f>
        <v>49</v>
      </c>
      <c r="I24" s="193">
        <f>計分版!D187</f>
        <v>3.4999999999999999E-9</v>
      </c>
      <c r="J24" s="177">
        <f t="shared" si="3"/>
        <v>-51.249999996500001</v>
      </c>
      <c r="K24" s="178">
        <f t="shared" si="4"/>
        <v>-14642857141.857143</v>
      </c>
      <c r="L24" s="295">
        <v>25</v>
      </c>
      <c r="M24" s="381">
        <f>入學要求!S169</f>
        <v>0</v>
      </c>
      <c r="N24" s="370" t="s">
        <v>2194</v>
      </c>
      <c r="O24" s="296">
        <v>4</v>
      </c>
      <c r="P24" s="296">
        <v>5</v>
      </c>
      <c r="Q24" s="296">
        <v>3</v>
      </c>
      <c r="R24" s="296">
        <v>2</v>
      </c>
      <c r="S24" s="296">
        <v>3</v>
      </c>
      <c r="T24" s="296">
        <v>3</v>
      </c>
      <c r="U24" s="501"/>
      <c r="V24" s="295">
        <f>IF($U$2="2018年",'Offer Statistics'!BO24,IF($U$2="2019年",'Offer Statistics'!BO86,IF($U$2="2020年",'Offer Statistics'!BO148)))</f>
        <v>20</v>
      </c>
      <c r="W24" s="284">
        <f>IF($U$2="2018年",'Offer Statistics'!BJ24,IF($U$2="2019年",'Offer Statistics'!BJ86,IF($U$2="2020年",'Offer Statistics'!BJ148)))</f>
        <v>20</v>
      </c>
      <c r="X24" s="284">
        <f>IF($U$2="2018年",'Offer Statistics'!BK24,IF($U$2="2019年",'Offer Statistics'!BK86,IF($U$2="2020年",'Offer Statistics'!BK148)))</f>
        <v>0</v>
      </c>
      <c r="Y24" s="284">
        <f>IF($U$2="2018年",'Offer Statistics'!BL24,IF($U$2="2019年",'Offer Statistics'!BL86,IF($U$2="2020年",'Offer Statistics'!BL148)))</f>
        <v>0</v>
      </c>
      <c r="Z24" s="284">
        <f>IF($U$2="2018年",'Offer Statistics'!BM24,IF($U$2="2019年",'Offer Statistics'!BM86,IF($U$2="2020年",'Offer Statistics'!BM148)))</f>
        <v>0</v>
      </c>
      <c r="AA24" s="284">
        <f>IF($U$2="2018年",'Offer Statistics'!BN24,IF($U$2="2019年",'Offer Statistics'!BN86,IF($U$2="2020年",'Offer Statistics'!BN148)))</f>
        <v>0</v>
      </c>
      <c r="AB24" s="501"/>
      <c r="AC24" s="295">
        <f>IF($AB$2="2018年",'Offer Statistics'!BG24,IF($AB$2="2019年",'Offer Statistics'!BG86,IF($AB$2="2020年",'Offer Statistics'!BG148)))</f>
        <v>551</v>
      </c>
      <c r="AD24" s="284">
        <f>IF($AB$2="2018年",'Offer Statistics'!BB24,IF($AB$2="2019年",'Offer Statistics'!BB86,IF($AB$2="2020年",'Offer Statistics'!BB148)))</f>
        <v>73</v>
      </c>
      <c r="AE24" s="284">
        <f>IF($AB$2="2018年",'Offer Statistics'!BC24,IF($AB$2="2019年",'Offer Statistics'!BC86,IF($AB$2="2020年",'Offer Statistics'!BC148)))</f>
        <v>55</v>
      </c>
      <c r="AF24" s="284">
        <f>IF($AB$2="2018年",'Offer Statistics'!BD24,IF($AB$2="2019年",'Offer Statistics'!BD86,IF($AB$2="2020年",'Offer Statistics'!BD148)))</f>
        <v>109</v>
      </c>
      <c r="AG24" s="284">
        <f>IF($AB$2="2018年",'Offer Statistics'!BE24,IF($AB$2="2019年",'Offer Statistics'!BE86,IF($AB$2="2020年",'Offer Statistics'!BE148)))</f>
        <v>161</v>
      </c>
      <c r="AH24" s="284">
        <f>IF($AB$2="2018年",'Offer Statistics'!BF24,IF($AB$2="2019年",'Offer Statistics'!BF86,IF($AB$2="2020年",'Offer Statistics'!BF148)))</f>
        <v>153</v>
      </c>
      <c r="AI24" s="298"/>
      <c r="AJ24" s="338" t="str">
        <f t="shared" si="2"/>
        <v>JS4264</v>
      </c>
    </row>
    <row r="25" spans="1:36" ht="18" customHeight="1">
      <c r="A25" s="10" t="s">
        <v>100</v>
      </c>
      <c r="B25" s="10" t="s">
        <v>291</v>
      </c>
      <c r="C25" s="10" t="s">
        <v>158</v>
      </c>
      <c r="D25" s="10" t="s">
        <v>2140</v>
      </c>
      <c r="E25" s="313" t="s">
        <v>189</v>
      </c>
      <c r="F25" s="176">
        <f>5.5*2+8.5*2+8.5*2+8.5+7</f>
        <v>60.5</v>
      </c>
      <c r="G25" s="119">
        <f>5.5*2+8.5*2+7*2+8.5+7</f>
        <v>57.5</v>
      </c>
      <c r="H25" s="176">
        <f>4*2+8.5*2+8.5+7*2+7</f>
        <v>54.5</v>
      </c>
      <c r="I25" s="193">
        <f>計分版!D188</f>
        <v>4.3500000000000001E-9</v>
      </c>
      <c r="J25" s="121">
        <f t="shared" si="3"/>
        <v>-57.499999995650001</v>
      </c>
      <c r="K25" s="120">
        <f t="shared" si="4"/>
        <v>-13218390803.5977</v>
      </c>
      <c r="L25" s="295">
        <v>20</v>
      </c>
      <c r="M25" s="381">
        <f>入學要求!S170</f>
        <v>0</v>
      </c>
      <c r="N25" s="370" t="s">
        <v>2194</v>
      </c>
      <c r="O25" s="296">
        <v>3</v>
      </c>
      <c r="P25" s="296">
        <v>3</v>
      </c>
      <c r="Q25" s="296">
        <v>3</v>
      </c>
      <c r="R25" s="296">
        <v>2</v>
      </c>
      <c r="S25" s="296">
        <v>3</v>
      </c>
      <c r="T25" s="296">
        <v>3</v>
      </c>
      <c r="U25" s="501"/>
      <c r="V25" s="295">
        <f>IF($U$2="2018年",'Offer Statistics'!BO25,IF($U$2="2019年",'Offer Statistics'!BO87,IF($U$2="2020年",'Offer Statistics'!BO149)))</f>
        <v>16</v>
      </c>
      <c r="W25" s="284">
        <f>IF($U$2="2018年",'Offer Statistics'!BJ25,IF($U$2="2019年",'Offer Statistics'!BJ87,IF($U$2="2020年",'Offer Statistics'!BJ149)))</f>
        <v>16</v>
      </c>
      <c r="X25" s="284">
        <f>IF($U$2="2018年",'Offer Statistics'!BK25,IF($U$2="2019年",'Offer Statistics'!BK87,IF($U$2="2020年",'Offer Statistics'!BK149)))</f>
        <v>0</v>
      </c>
      <c r="Y25" s="284">
        <f>IF($U$2="2018年",'Offer Statistics'!BL25,IF($U$2="2019年",'Offer Statistics'!BL87,IF($U$2="2020年",'Offer Statistics'!BL149)))</f>
        <v>0</v>
      </c>
      <c r="Z25" s="284">
        <f>IF($U$2="2018年",'Offer Statistics'!BM25,IF($U$2="2019年",'Offer Statistics'!BM87,IF($U$2="2020年",'Offer Statistics'!BM149)))</f>
        <v>0</v>
      </c>
      <c r="AA25" s="284">
        <f>IF($U$2="2018年",'Offer Statistics'!BN25,IF($U$2="2019年",'Offer Statistics'!BN87,IF($U$2="2020年",'Offer Statistics'!BN149)))</f>
        <v>0</v>
      </c>
      <c r="AB25" s="501"/>
      <c r="AC25" s="295">
        <f>IF($AB$2="2018年",'Offer Statistics'!BG25,IF($AB$2="2019年",'Offer Statistics'!BG87,IF($AB$2="2020年",'Offer Statistics'!BG149)))</f>
        <v>459</v>
      </c>
      <c r="AD25" s="284">
        <f>IF($AB$2="2018年",'Offer Statistics'!BB25,IF($AB$2="2019年",'Offer Statistics'!BB87,IF($AB$2="2020年",'Offer Statistics'!BB149)))</f>
        <v>46</v>
      </c>
      <c r="AE25" s="284">
        <f>IF($AB$2="2018年",'Offer Statistics'!BC25,IF($AB$2="2019年",'Offer Statistics'!BC87,IF($AB$2="2020年",'Offer Statistics'!BC149)))</f>
        <v>42</v>
      </c>
      <c r="AF25" s="284">
        <f>IF($AB$2="2018年",'Offer Statistics'!BD25,IF($AB$2="2019年",'Offer Statistics'!BD87,IF($AB$2="2020年",'Offer Statistics'!BD149)))</f>
        <v>94</v>
      </c>
      <c r="AG25" s="284">
        <f>IF($AB$2="2018年",'Offer Statistics'!BE25,IF($AB$2="2019年",'Offer Statistics'!BE87,IF($AB$2="2020年",'Offer Statistics'!BE149)))</f>
        <v>132</v>
      </c>
      <c r="AH25" s="284">
        <f>IF($AB$2="2018年",'Offer Statistics'!BF25,IF($AB$2="2019年",'Offer Statistics'!BF87,IF($AB$2="2020年",'Offer Statistics'!BF149)))</f>
        <v>145</v>
      </c>
      <c r="AI25" s="298"/>
      <c r="AJ25" s="338" t="str">
        <f t="shared" si="2"/>
        <v>JS4276</v>
      </c>
    </row>
    <row r="26" spans="1:36" s="11" customFormat="1" ht="18" customHeight="1">
      <c r="A26" s="175" t="s">
        <v>101</v>
      </c>
      <c r="B26" s="175" t="s">
        <v>292</v>
      </c>
      <c r="C26" s="175" t="s">
        <v>185</v>
      </c>
      <c r="D26" s="175" t="s">
        <v>2141</v>
      </c>
      <c r="E26" s="307" t="s">
        <v>189</v>
      </c>
      <c r="F26" s="176">
        <f>7+7+5.5+5.5+4</f>
        <v>29</v>
      </c>
      <c r="G26" s="176">
        <f>5.5+8.5+7+4+4</f>
        <v>29</v>
      </c>
      <c r="H26" s="176">
        <f>5.5+5.5+5.5+5.5+4</f>
        <v>26</v>
      </c>
      <c r="I26" s="193">
        <f>計分版!D189</f>
        <v>3.9500000000000006E-9</v>
      </c>
      <c r="J26" s="177">
        <f t="shared" si="3"/>
        <v>-28.999999996050001</v>
      </c>
      <c r="K26" s="178">
        <f t="shared" si="4"/>
        <v>-7341772150.8987331</v>
      </c>
      <c r="L26" s="295">
        <v>24</v>
      </c>
      <c r="M26" s="381">
        <f>入學要求!S171</f>
        <v>0</v>
      </c>
      <c r="N26" s="366" t="s">
        <v>2193</v>
      </c>
      <c r="O26" s="296">
        <v>3</v>
      </c>
      <c r="P26" s="296">
        <v>3</v>
      </c>
      <c r="Q26" s="296">
        <v>2</v>
      </c>
      <c r="R26" s="296">
        <v>2</v>
      </c>
      <c r="S26" s="296">
        <v>3</v>
      </c>
      <c r="T26" s="296">
        <v>3</v>
      </c>
      <c r="U26" s="501"/>
      <c r="V26" s="295">
        <f>IF($U$2="2018年",'Offer Statistics'!BO26,IF($U$2="2019年",'Offer Statistics'!BO88,IF($U$2="2020年",'Offer Statistics'!BO150)))</f>
        <v>21</v>
      </c>
      <c r="W26" s="284">
        <f>IF($U$2="2018年",'Offer Statistics'!BJ26,IF($U$2="2019年",'Offer Statistics'!BJ88,IF($U$2="2020年",'Offer Statistics'!BJ150)))</f>
        <v>21</v>
      </c>
      <c r="X26" s="284">
        <f>IF($U$2="2018年",'Offer Statistics'!BK26,IF($U$2="2019年",'Offer Statistics'!BK88,IF($U$2="2020年",'Offer Statistics'!BK150)))</f>
        <v>0</v>
      </c>
      <c r="Y26" s="284">
        <f>IF($U$2="2018年",'Offer Statistics'!BL26,IF($U$2="2019年",'Offer Statistics'!BL88,IF($U$2="2020年",'Offer Statistics'!BL150)))</f>
        <v>0</v>
      </c>
      <c r="Z26" s="284">
        <f>IF($U$2="2018年",'Offer Statistics'!BM26,IF($U$2="2019年",'Offer Statistics'!BM88,IF($U$2="2020年",'Offer Statistics'!BM150)))</f>
        <v>0</v>
      </c>
      <c r="AA26" s="284">
        <f>IF($U$2="2018年",'Offer Statistics'!BN26,IF($U$2="2019年",'Offer Statistics'!BN88,IF($U$2="2020年",'Offer Statistics'!BN150)))</f>
        <v>0</v>
      </c>
      <c r="AB26" s="501"/>
      <c r="AC26" s="295">
        <f>IF($AB$2="2018年",'Offer Statistics'!BG26,IF($AB$2="2019年",'Offer Statistics'!BG88,IF($AB$2="2020年",'Offer Statistics'!BG150)))</f>
        <v>2092</v>
      </c>
      <c r="AD26" s="284">
        <f>IF($AB$2="2018年",'Offer Statistics'!BB26,IF($AB$2="2019年",'Offer Statistics'!BB88,IF($AB$2="2020年",'Offer Statistics'!BB150)))</f>
        <v>529</v>
      </c>
      <c r="AE26" s="284">
        <f>IF($AB$2="2018年",'Offer Statistics'!BC26,IF($AB$2="2019年",'Offer Statistics'!BC88,IF($AB$2="2020年",'Offer Statistics'!BC150)))</f>
        <v>325</v>
      </c>
      <c r="AF26" s="284">
        <f>IF($AB$2="2018年",'Offer Statistics'!BD26,IF($AB$2="2019年",'Offer Statistics'!BD88,IF($AB$2="2020年",'Offer Statistics'!BD150)))</f>
        <v>412</v>
      </c>
      <c r="AG26" s="284">
        <f>IF($AB$2="2018年",'Offer Statistics'!BE26,IF($AB$2="2019年",'Offer Statistics'!BE88,IF($AB$2="2020年",'Offer Statistics'!BE150)))</f>
        <v>422</v>
      </c>
      <c r="AH26" s="284">
        <f>IF($AB$2="2018年",'Offer Statistics'!BF26,IF($AB$2="2019年",'Offer Statistics'!BF88,IF($AB$2="2020年",'Offer Statistics'!BF150)))</f>
        <v>404</v>
      </c>
      <c r="AI26" s="298"/>
      <c r="AJ26" s="338" t="str">
        <f t="shared" si="2"/>
        <v>JS4329</v>
      </c>
    </row>
    <row r="27" spans="1:36" ht="18" customHeight="1">
      <c r="A27" s="175" t="s">
        <v>102</v>
      </c>
      <c r="B27" s="175" t="s">
        <v>292</v>
      </c>
      <c r="C27" s="175" t="s">
        <v>103</v>
      </c>
      <c r="D27" s="175" t="s">
        <v>2142</v>
      </c>
      <c r="E27" s="437" t="s">
        <v>189</v>
      </c>
      <c r="F27" s="176">
        <f>8.5*1.5+5.5+5.5+5.5+4</f>
        <v>33.25</v>
      </c>
      <c r="G27" s="176">
        <f>8.5*1.5+5.5+7+4+4</f>
        <v>33.25</v>
      </c>
      <c r="H27" s="176">
        <f>8.5*1.5+5.5+5.5+4+4</f>
        <v>31.75</v>
      </c>
      <c r="I27" s="193">
        <f>計分版!D190</f>
        <v>3.4999999999999999E-9</v>
      </c>
      <c r="J27" s="177">
        <f t="shared" si="3"/>
        <v>-33.249999996500001</v>
      </c>
      <c r="K27" s="178">
        <f t="shared" si="4"/>
        <v>-9499999999</v>
      </c>
      <c r="L27" s="295">
        <v>20</v>
      </c>
      <c r="M27" s="381">
        <f>入學要求!S172</f>
        <v>0</v>
      </c>
      <c r="N27" s="366" t="s">
        <v>2193</v>
      </c>
      <c r="O27" s="296">
        <v>4</v>
      </c>
      <c r="P27" s="296">
        <v>3</v>
      </c>
      <c r="Q27" s="296">
        <v>2</v>
      </c>
      <c r="R27" s="296">
        <v>2</v>
      </c>
      <c r="S27" s="296">
        <v>3</v>
      </c>
      <c r="T27" s="296">
        <v>3</v>
      </c>
      <c r="U27" s="501"/>
      <c r="V27" s="295">
        <f>IF($U$2="2018年",'Offer Statistics'!BO27,IF($U$2="2019年",'Offer Statistics'!BO89,IF($U$2="2020年",'Offer Statistics'!BO151)))</f>
        <v>19</v>
      </c>
      <c r="W27" s="284">
        <f>IF($U$2="2018年",'Offer Statistics'!BJ27,IF($U$2="2019年",'Offer Statistics'!BJ89,IF($U$2="2020年",'Offer Statistics'!BJ151)))</f>
        <v>19</v>
      </c>
      <c r="X27" s="284">
        <f>IF($U$2="2018年",'Offer Statistics'!BK27,IF($U$2="2019年",'Offer Statistics'!BK89,IF($U$2="2020年",'Offer Statistics'!BK151)))</f>
        <v>0</v>
      </c>
      <c r="Y27" s="284">
        <f>IF($U$2="2018年",'Offer Statistics'!BL27,IF($U$2="2019年",'Offer Statistics'!BL89,IF($U$2="2020年",'Offer Statistics'!BL151)))</f>
        <v>0</v>
      </c>
      <c r="Z27" s="284">
        <f>IF($U$2="2018年",'Offer Statistics'!BM27,IF($U$2="2019年",'Offer Statistics'!BM89,IF($U$2="2020年",'Offer Statistics'!BM151)))</f>
        <v>0</v>
      </c>
      <c r="AA27" s="284">
        <f>IF($U$2="2018年",'Offer Statistics'!BN27,IF($U$2="2019年",'Offer Statistics'!BN89,IF($U$2="2020年",'Offer Statistics'!BN151)))</f>
        <v>0</v>
      </c>
      <c r="AB27" s="501"/>
      <c r="AC27" s="295">
        <f>IF($AB$2="2018年",'Offer Statistics'!BG27,IF($AB$2="2019年",'Offer Statistics'!BG89,IF($AB$2="2020年",'Offer Statistics'!BG151)))</f>
        <v>1366</v>
      </c>
      <c r="AD27" s="284">
        <f>IF($AB$2="2018年",'Offer Statistics'!BB27,IF($AB$2="2019年",'Offer Statistics'!BB89,IF($AB$2="2020年",'Offer Statistics'!BB151)))</f>
        <v>230</v>
      </c>
      <c r="AE27" s="284">
        <f>IF($AB$2="2018年",'Offer Statistics'!BC27,IF($AB$2="2019年",'Offer Statistics'!BC89,IF($AB$2="2020年",'Offer Statistics'!BC151)))</f>
        <v>186</v>
      </c>
      <c r="AF27" s="284">
        <f>IF($AB$2="2018年",'Offer Statistics'!BD27,IF($AB$2="2019年",'Offer Statistics'!BD89,IF($AB$2="2020年",'Offer Statistics'!BD151)))</f>
        <v>281</v>
      </c>
      <c r="AG27" s="284">
        <f>IF($AB$2="2018年",'Offer Statistics'!BE27,IF($AB$2="2019年",'Offer Statistics'!BE89,IF($AB$2="2020年",'Offer Statistics'!BE151)))</f>
        <v>340</v>
      </c>
      <c r="AH27" s="284">
        <f>IF($AB$2="2018年",'Offer Statistics'!BF27,IF($AB$2="2019年",'Offer Statistics'!BF89,IF($AB$2="2020年",'Offer Statistics'!BF151)))</f>
        <v>329</v>
      </c>
      <c r="AI27" s="298"/>
      <c r="AJ27" s="338" t="str">
        <f t="shared" si="2"/>
        <v>JS4331</v>
      </c>
    </row>
    <row r="28" spans="1:36" s="11" customFormat="1" ht="18" customHeight="1">
      <c r="A28" s="175" t="s">
        <v>104</v>
      </c>
      <c r="B28" s="175" t="s">
        <v>292</v>
      </c>
      <c r="C28" s="175" t="s">
        <v>105</v>
      </c>
      <c r="D28" s="175" t="s">
        <v>2143</v>
      </c>
      <c r="E28" s="437" t="s">
        <v>189</v>
      </c>
      <c r="F28" s="176">
        <f>7+7*1.5+5.5+5.5+5.5</f>
        <v>34</v>
      </c>
      <c r="G28" s="176">
        <f>7*1.5+5.5+5.5+5.5+5.5</f>
        <v>32.5</v>
      </c>
      <c r="H28" s="176">
        <f>8.5+5.5*1.5+5.5+4+4</f>
        <v>30.25</v>
      </c>
      <c r="I28" s="193">
        <f>計分版!D191</f>
        <v>3.6500000000000004E-9</v>
      </c>
      <c r="J28" s="177">
        <f t="shared" si="3"/>
        <v>-32.499999996349999</v>
      </c>
      <c r="K28" s="178">
        <f t="shared" si="4"/>
        <v>-8904109588.0410938</v>
      </c>
      <c r="L28" s="295">
        <v>14</v>
      </c>
      <c r="M28" s="381">
        <f>入學要求!S173</f>
        <v>0</v>
      </c>
      <c r="N28" s="366" t="s">
        <v>2193</v>
      </c>
      <c r="O28" s="296">
        <v>3</v>
      </c>
      <c r="P28" s="296">
        <v>4</v>
      </c>
      <c r="Q28" s="296">
        <v>2</v>
      </c>
      <c r="R28" s="296">
        <v>2</v>
      </c>
      <c r="S28" s="296">
        <v>3</v>
      </c>
      <c r="T28" s="296">
        <v>3</v>
      </c>
      <c r="U28" s="501"/>
      <c r="V28" s="295">
        <f>IF($U$2="2018年",'Offer Statistics'!BO28,IF($U$2="2019年",'Offer Statistics'!BO90,IF($U$2="2020年",'Offer Statistics'!BO152)))</f>
        <v>12</v>
      </c>
      <c r="W28" s="284">
        <f>IF($U$2="2018年",'Offer Statistics'!BJ28,IF($U$2="2019年",'Offer Statistics'!BJ90,IF($U$2="2020年",'Offer Statistics'!BJ152)))</f>
        <v>12</v>
      </c>
      <c r="X28" s="284">
        <f>IF($U$2="2018年",'Offer Statistics'!BK28,IF($U$2="2019年",'Offer Statistics'!BK90,IF($U$2="2020年",'Offer Statistics'!BK152)))</f>
        <v>0</v>
      </c>
      <c r="Y28" s="284">
        <f>IF($U$2="2018年",'Offer Statistics'!BL28,IF($U$2="2019年",'Offer Statistics'!BL90,IF($U$2="2020年",'Offer Statistics'!BL152)))</f>
        <v>0</v>
      </c>
      <c r="Z28" s="284">
        <f>IF($U$2="2018年",'Offer Statistics'!BM28,IF($U$2="2019年",'Offer Statistics'!BM90,IF($U$2="2020年",'Offer Statistics'!BM152)))</f>
        <v>0</v>
      </c>
      <c r="AA28" s="284">
        <f>IF($U$2="2018年",'Offer Statistics'!BN28,IF($U$2="2019年",'Offer Statistics'!BN90,IF($U$2="2020年",'Offer Statistics'!BN152)))</f>
        <v>0</v>
      </c>
      <c r="AB28" s="501"/>
      <c r="AC28" s="295">
        <f>IF($AB$2="2018年",'Offer Statistics'!BG28,IF($AB$2="2019年",'Offer Statistics'!BG90,IF($AB$2="2020年",'Offer Statistics'!BG152)))</f>
        <v>896</v>
      </c>
      <c r="AD28" s="284">
        <f>IF($AB$2="2018年",'Offer Statistics'!BB28,IF($AB$2="2019年",'Offer Statistics'!BB90,IF($AB$2="2020年",'Offer Statistics'!BB152)))</f>
        <v>62</v>
      </c>
      <c r="AE28" s="284">
        <f>IF($AB$2="2018年",'Offer Statistics'!BC28,IF($AB$2="2019年",'Offer Statistics'!BC90,IF($AB$2="2020年",'Offer Statistics'!BC152)))</f>
        <v>109</v>
      </c>
      <c r="AF28" s="284">
        <f>IF($AB$2="2018年",'Offer Statistics'!BD28,IF($AB$2="2019年",'Offer Statistics'!BD90,IF($AB$2="2020年",'Offer Statistics'!BD152)))</f>
        <v>214</v>
      </c>
      <c r="AG28" s="284">
        <f>IF($AB$2="2018年",'Offer Statistics'!BE28,IF($AB$2="2019年",'Offer Statistics'!BE90,IF($AB$2="2020年",'Offer Statistics'!BE152)))</f>
        <v>279</v>
      </c>
      <c r="AH28" s="284">
        <f>IF($AB$2="2018年",'Offer Statistics'!BF28,IF($AB$2="2019年",'Offer Statistics'!BF90,IF($AB$2="2020年",'Offer Statistics'!BF152)))</f>
        <v>232</v>
      </c>
      <c r="AI28" s="298"/>
      <c r="AJ28" s="338" t="str">
        <f t="shared" si="2"/>
        <v>JS4343</v>
      </c>
    </row>
    <row r="29" spans="1:36" ht="18" customHeight="1">
      <c r="A29" s="175" t="s">
        <v>106</v>
      </c>
      <c r="B29" s="175" t="s">
        <v>292</v>
      </c>
      <c r="C29" s="175" t="s">
        <v>107</v>
      </c>
      <c r="D29" s="175" t="s">
        <v>1582</v>
      </c>
      <c r="E29" s="437" t="s">
        <v>189</v>
      </c>
      <c r="F29" s="176">
        <f>7*1.5+5.5*1.5+7*1.5+7*1.5+5.5</f>
        <v>45.25</v>
      </c>
      <c r="G29" s="176">
        <f>4*1.5+4*1.5+7*1.5+7*1.5+7</f>
        <v>40</v>
      </c>
      <c r="H29" s="176">
        <f>7*1.5+7*1.5+7+5.5+4*1.5</f>
        <v>39.5</v>
      </c>
      <c r="I29" s="193">
        <f>計分版!D192</f>
        <v>3.8499999999999997E-9</v>
      </c>
      <c r="J29" s="177">
        <f t="shared" si="3"/>
        <v>-39.999999996150002</v>
      </c>
      <c r="K29" s="178">
        <f t="shared" si="4"/>
        <v>-10389610388.610392</v>
      </c>
      <c r="L29" s="295">
        <v>18</v>
      </c>
      <c r="M29" s="381">
        <f>入學要求!S174</f>
        <v>0</v>
      </c>
      <c r="N29" s="366" t="s">
        <v>2193</v>
      </c>
      <c r="O29" s="296">
        <v>3</v>
      </c>
      <c r="P29" s="296">
        <v>3</v>
      </c>
      <c r="Q29" s="296">
        <v>4</v>
      </c>
      <c r="R29" s="296">
        <v>2</v>
      </c>
      <c r="S29" s="296">
        <v>3</v>
      </c>
      <c r="T29" s="296">
        <v>3</v>
      </c>
      <c r="U29" s="501"/>
      <c r="V29" s="295">
        <f>IF($U$2="2018年",'Offer Statistics'!BO29,IF($U$2="2019年",'Offer Statistics'!BO91,IF($U$2="2020年",'Offer Statistics'!BO153)))</f>
        <v>18</v>
      </c>
      <c r="W29" s="284">
        <f>IF($U$2="2018年",'Offer Statistics'!BJ29,IF($U$2="2019年",'Offer Statistics'!BJ91,IF($U$2="2020年",'Offer Statistics'!BJ153)))</f>
        <v>18</v>
      </c>
      <c r="X29" s="284">
        <f>IF($U$2="2018年",'Offer Statistics'!BK29,IF($U$2="2019年",'Offer Statistics'!BK91,IF($U$2="2020年",'Offer Statistics'!BK153)))</f>
        <v>0</v>
      </c>
      <c r="Y29" s="284">
        <f>IF($U$2="2018年",'Offer Statistics'!BL29,IF($U$2="2019年",'Offer Statistics'!BL91,IF($U$2="2020年",'Offer Statistics'!BL153)))</f>
        <v>0</v>
      </c>
      <c r="Z29" s="284">
        <f>IF($U$2="2018年",'Offer Statistics'!BM29,IF($U$2="2019年",'Offer Statistics'!BM91,IF($U$2="2020年",'Offer Statistics'!BM153)))</f>
        <v>0</v>
      </c>
      <c r="AA29" s="284">
        <f>IF($U$2="2018年",'Offer Statistics'!BN29,IF($U$2="2019年",'Offer Statistics'!BN91,IF($U$2="2020年",'Offer Statistics'!BN153)))</f>
        <v>0</v>
      </c>
      <c r="AB29" s="501"/>
      <c r="AC29" s="295">
        <f>IF($AB$2="2018年",'Offer Statistics'!BG29,IF($AB$2="2019年",'Offer Statistics'!BG91,IF($AB$2="2020年",'Offer Statistics'!BG153)))</f>
        <v>1080</v>
      </c>
      <c r="AD29" s="284">
        <f>IF($AB$2="2018年",'Offer Statistics'!BB29,IF($AB$2="2019年",'Offer Statistics'!BB91,IF($AB$2="2020年",'Offer Statistics'!BB153)))</f>
        <v>155</v>
      </c>
      <c r="AE29" s="284">
        <f>IF($AB$2="2018年",'Offer Statistics'!BC29,IF($AB$2="2019年",'Offer Statistics'!BC91,IF($AB$2="2020年",'Offer Statistics'!BC153)))</f>
        <v>143</v>
      </c>
      <c r="AF29" s="284">
        <f>IF($AB$2="2018年",'Offer Statistics'!BD29,IF($AB$2="2019年",'Offer Statistics'!BD91,IF($AB$2="2020年",'Offer Statistics'!BD153)))</f>
        <v>219</v>
      </c>
      <c r="AG29" s="284">
        <f>IF($AB$2="2018年",'Offer Statistics'!BE29,IF($AB$2="2019年",'Offer Statistics'!BE91,IF($AB$2="2020年",'Offer Statistics'!BE153)))</f>
        <v>294</v>
      </c>
      <c r="AH29" s="284">
        <f>IF($AB$2="2018年",'Offer Statistics'!BF29,IF($AB$2="2019年",'Offer Statistics'!BF91,IF($AB$2="2020年",'Offer Statistics'!BF153)))</f>
        <v>269</v>
      </c>
      <c r="AI29" s="298"/>
      <c r="AJ29" s="338" t="str">
        <f t="shared" si="2"/>
        <v>JS4361</v>
      </c>
    </row>
    <row r="30" spans="1:36" s="11" customFormat="1" ht="18" customHeight="1">
      <c r="A30" s="175" t="s">
        <v>186</v>
      </c>
      <c r="B30" s="175" t="s">
        <v>292</v>
      </c>
      <c r="C30" s="175" t="s">
        <v>181</v>
      </c>
      <c r="D30" s="175" t="s">
        <v>2144</v>
      </c>
      <c r="E30" s="307" t="s">
        <v>189</v>
      </c>
      <c r="F30" s="176">
        <f>7+7+4+4+4</f>
        <v>26</v>
      </c>
      <c r="G30" s="176">
        <f>8.5+5.5+4+4+4</f>
        <v>26</v>
      </c>
      <c r="H30" s="176">
        <f>5.5+7+4+4+4</f>
        <v>24.5</v>
      </c>
      <c r="I30" s="193">
        <f>計分版!D193</f>
        <v>3.9500000000000006E-9</v>
      </c>
      <c r="J30" s="177">
        <f t="shared" si="3"/>
        <v>-25.999999996050001</v>
      </c>
      <c r="K30" s="178">
        <f t="shared" si="4"/>
        <v>-6582278480.0126572</v>
      </c>
      <c r="L30" s="295">
        <v>21</v>
      </c>
      <c r="M30" s="381">
        <f>入學要求!S175</f>
        <v>0</v>
      </c>
      <c r="N30" s="366" t="s">
        <v>2193</v>
      </c>
      <c r="O30" s="296">
        <v>3</v>
      </c>
      <c r="P30" s="296">
        <v>3</v>
      </c>
      <c r="Q30" s="296">
        <v>2</v>
      </c>
      <c r="R30" s="296">
        <v>2</v>
      </c>
      <c r="S30" s="296">
        <v>3</v>
      </c>
      <c r="T30" s="296">
        <v>3</v>
      </c>
      <c r="U30" s="501"/>
      <c r="V30" s="295">
        <f>IF($U$2="2018年",'Offer Statistics'!BO30,IF($U$2="2019年",'Offer Statistics'!BO92,IF($U$2="2020年",'Offer Statistics'!BO154)))</f>
        <v>20</v>
      </c>
      <c r="W30" s="284">
        <f>IF($U$2="2018年",'Offer Statistics'!BJ30,IF($U$2="2019年",'Offer Statistics'!BJ92,IF($U$2="2020年",'Offer Statistics'!BJ154)))</f>
        <v>20</v>
      </c>
      <c r="X30" s="284">
        <f>IF($U$2="2018年",'Offer Statistics'!BK30,IF($U$2="2019年",'Offer Statistics'!BK92,IF($U$2="2020年",'Offer Statistics'!BK154)))</f>
        <v>0</v>
      </c>
      <c r="Y30" s="284">
        <f>IF($U$2="2018年",'Offer Statistics'!BL30,IF($U$2="2019年",'Offer Statistics'!BL92,IF($U$2="2020年",'Offer Statistics'!BL154)))</f>
        <v>0</v>
      </c>
      <c r="Z30" s="284">
        <f>IF($U$2="2018年",'Offer Statistics'!BM30,IF($U$2="2019年",'Offer Statistics'!BM92,IF($U$2="2020年",'Offer Statistics'!BM154)))</f>
        <v>0</v>
      </c>
      <c r="AA30" s="284">
        <f>IF($U$2="2018年",'Offer Statistics'!BN30,IF($U$2="2019年",'Offer Statistics'!BN92,IF($U$2="2020年",'Offer Statistics'!BN154)))</f>
        <v>0</v>
      </c>
      <c r="AB30" s="501"/>
      <c r="AC30" s="295">
        <f>IF($AB$2="2018年",'Offer Statistics'!BG30,IF($AB$2="2019年",'Offer Statistics'!BG92,IF($AB$2="2020年",'Offer Statistics'!BG154)))</f>
        <v>4190</v>
      </c>
      <c r="AD30" s="284">
        <f>IF($AB$2="2018年",'Offer Statistics'!BB30,IF($AB$2="2019年",'Offer Statistics'!BB92,IF($AB$2="2020年",'Offer Statistics'!BB154)))</f>
        <v>521</v>
      </c>
      <c r="AE30" s="284">
        <f>IF($AB$2="2018年",'Offer Statistics'!BC30,IF($AB$2="2019年",'Offer Statistics'!BC92,IF($AB$2="2020年",'Offer Statistics'!BC154)))</f>
        <v>645</v>
      </c>
      <c r="AF30" s="284">
        <f>IF($AB$2="2018年",'Offer Statistics'!BD30,IF($AB$2="2019年",'Offer Statistics'!BD92,IF($AB$2="2020年",'Offer Statistics'!BD154)))</f>
        <v>999</v>
      </c>
      <c r="AG30" s="284">
        <f>IF($AB$2="2018年",'Offer Statistics'!BE30,IF($AB$2="2019年",'Offer Statistics'!BE92,IF($AB$2="2020年",'Offer Statistics'!BE154)))</f>
        <v>1117</v>
      </c>
      <c r="AH30" s="284">
        <f>IF($AB$2="2018年",'Offer Statistics'!BF30,IF($AB$2="2019年",'Offer Statistics'!BF92,IF($AB$2="2020年",'Offer Statistics'!BF154)))</f>
        <v>908</v>
      </c>
      <c r="AI30" s="298"/>
      <c r="AJ30" s="338" t="str">
        <f t="shared" si="2"/>
        <v>JS4372</v>
      </c>
    </row>
    <row r="31" spans="1:36" ht="18" customHeight="1">
      <c r="A31" s="175" t="s">
        <v>108</v>
      </c>
      <c r="B31" s="175" t="s">
        <v>293</v>
      </c>
      <c r="C31" s="175" t="s">
        <v>191</v>
      </c>
      <c r="D31" s="175" t="s">
        <v>2145</v>
      </c>
      <c r="E31" s="437" t="s">
        <v>189</v>
      </c>
      <c r="F31" s="176">
        <f>4*1.5+7*1.5+5.5*1.5+4*1.5+4</f>
        <v>34.75</v>
      </c>
      <c r="G31" s="176">
        <f>4*1.5+3*1.75+4*1.5+4*1.5+7</f>
        <v>30.25</v>
      </c>
      <c r="H31" s="176">
        <f>4*1.5+3*1.75+5.5*1.5+3*1.5+4</f>
        <v>28</v>
      </c>
      <c r="I31" s="193">
        <f>計分版!D194</f>
        <v>4.2249999999999998E-9</v>
      </c>
      <c r="J31" s="177">
        <f t="shared" si="3"/>
        <v>-30.249999995774999</v>
      </c>
      <c r="K31" s="178">
        <f t="shared" si="4"/>
        <v>-7159763312.6094675</v>
      </c>
      <c r="L31" s="295">
        <v>304</v>
      </c>
      <c r="M31" s="381">
        <f>入學要求!S176</f>
        <v>0</v>
      </c>
      <c r="N31" s="370" t="s">
        <v>2188</v>
      </c>
      <c r="O31" s="296">
        <v>3</v>
      </c>
      <c r="P31" s="296">
        <v>3</v>
      </c>
      <c r="Q31" s="296">
        <v>3</v>
      </c>
      <c r="R31" s="296">
        <v>2</v>
      </c>
      <c r="S31" s="296">
        <v>3</v>
      </c>
      <c r="T31" s="296">
        <v>3</v>
      </c>
      <c r="U31" s="501"/>
      <c r="V31" s="295">
        <f>IF($U$2="2018年",'Offer Statistics'!BO31,IF($U$2="2019年",'Offer Statistics'!BO93,IF($U$2="2020年",'Offer Statistics'!BO155)))</f>
        <v>254</v>
      </c>
      <c r="W31" s="284">
        <f>IF($U$2="2018年",'Offer Statistics'!BJ31,IF($U$2="2019年",'Offer Statistics'!BJ93,IF($U$2="2020年",'Offer Statistics'!BJ155)))</f>
        <v>251</v>
      </c>
      <c r="X31" s="284">
        <f>IF($U$2="2018年",'Offer Statistics'!BK31,IF($U$2="2019年",'Offer Statistics'!BK93,IF($U$2="2020年",'Offer Statistics'!BK155)))</f>
        <v>3</v>
      </c>
      <c r="Y31" s="284">
        <f>IF($U$2="2018年",'Offer Statistics'!BL31,IF($U$2="2019年",'Offer Statistics'!BL93,IF($U$2="2020年",'Offer Statistics'!BL155)))</f>
        <v>0</v>
      </c>
      <c r="Z31" s="284">
        <f>IF($U$2="2018年",'Offer Statistics'!BM31,IF($U$2="2019年",'Offer Statistics'!BM93,IF($U$2="2020年",'Offer Statistics'!BM155)))</f>
        <v>0</v>
      </c>
      <c r="AA31" s="284">
        <f>IF($U$2="2018年",'Offer Statistics'!BN31,IF($U$2="2019年",'Offer Statistics'!BN93,IF($U$2="2020年",'Offer Statistics'!BN155)))</f>
        <v>0</v>
      </c>
      <c r="AB31" s="501"/>
      <c r="AC31" s="295">
        <f>IF($AB$2="2018年",'Offer Statistics'!BG31,IF($AB$2="2019年",'Offer Statistics'!BG93,IF($AB$2="2020年",'Offer Statistics'!BG155)))</f>
        <v>5654</v>
      </c>
      <c r="AD31" s="284">
        <f>IF($AB$2="2018年",'Offer Statistics'!BB31,IF($AB$2="2019年",'Offer Statistics'!BB93,IF($AB$2="2020年",'Offer Statistics'!BB155)))</f>
        <v>1642</v>
      </c>
      <c r="AE31" s="284">
        <f>IF($AB$2="2018年",'Offer Statistics'!BC31,IF($AB$2="2019年",'Offer Statistics'!BC93,IF($AB$2="2020年",'Offer Statistics'!BC155)))</f>
        <v>1180</v>
      </c>
      <c r="AF31" s="284">
        <f>IF($AB$2="2018年",'Offer Statistics'!BD31,IF($AB$2="2019年",'Offer Statistics'!BD93,IF($AB$2="2020年",'Offer Statistics'!BD155)))</f>
        <v>1104</v>
      </c>
      <c r="AG31" s="284">
        <f>IF($AB$2="2018年",'Offer Statistics'!BE31,IF($AB$2="2019年",'Offer Statistics'!BE93,IF($AB$2="2020年",'Offer Statistics'!BE155)))</f>
        <v>1005</v>
      </c>
      <c r="AH31" s="284">
        <f>IF($AB$2="2018年",'Offer Statistics'!BF31,IF($AB$2="2019年",'Offer Statistics'!BF93,IF($AB$2="2020年",'Offer Statistics'!BF155)))</f>
        <v>723</v>
      </c>
      <c r="AI31" s="298"/>
      <c r="AJ31" s="338" t="str">
        <f t="shared" si="2"/>
        <v>JS4401</v>
      </c>
    </row>
    <row r="32" spans="1:36" s="11" customFormat="1" ht="18" customHeight="1">
      <c r="A32" s="175" t="s">
        <v>159</v>
      </c>
      <c r="B32" s="175" t="s">
        <v>293</v>
      </c>
      <c r="C32" s="175" t="s">
        <v>160</v>
      </c>
      <c r="D32" s="175" t="s">
        <v>2146</v>
      </c>
      <c r="E32" s="437" t="s">
        <v>189</v>
      </c>
      <c r="F32" s="176">
        <f>7*1.25+5.5*1.75+5.5*1.75+7*1.5+7*1.5</f>
        <v>49</v>
      </c>
      <c r="G32" s="176">
        <f>5.5*1.25+8.5*1.75+5.5*1.75+5.5*1.5+5.5*1.5</f>
        <v>47.875</v>
      </c>
      <c r="H32" s="176">
        <f>5.5*1.75+5.5*1.75+5.5*1.5+5.5*1.5+5.5</f>
        <v>41.25</v>
      </c>
      <c r="I32" s="193">
        <f>計分版!D195</f>
        <v>4.2249999999999998E-9</v>
      </c>
      <c r="J32" s="177">
        <f t="shared" si="3"/>
        <v>-47.874999995774999</v>
      </c>
      <c r="K32" s="178">
        <f t="shared" si="4"/>
        <v>-11331360945.745562</v>
      </c>
      <c r="L32" s="295">
        <v>30</v>
      </c>
      <c r="M32" s="381">
        <f>入學要求!S177</f>
        <v>0</v>
      </c>
      <c r="N32" s="370" t="s">
        <v>2188</v>
      </c>
      <c r="O32" s="296">
        <v>3</v>
      </c>
      <c r="P32" s="296">
        <v>3</v>
      </c>
      <c r="Q32" s="296">
        <v>4</v>
      </c>
      <c r="R32" s="296">
        <v>3</v>
      </c>
      <c r="S32" s="296">
        <v>3</v>
      </c>
      <c r="T32" s="296">
        <v>3</v>
      </c>
      <c r="U32" s="501"/>
      <c r="V32" s="295">
        <f>IF($U$2="2018年",'Offer Statistics'!BO32,IF($U$2="2019年",'Offer Statistics'!BO94,IF($U$2="2020年",'Offer Statistics'!BO156)))</f>
        <v>27</v>
      </c>
      <c r="W32" s="284">
        <f>IF($U$2="2018年",'Offer Statistics'!BJ32,IF($U$2="2019年",'Offer Statistics'!BJ94,IF($U$2="2020年",'Offer Statistics'!BJ156)))</f>
        <v>26</v>
      </c>
      <c r="X32" s="284">
        <f>IF($U$2="2018年",'Offer Statistics'!BK32,IF($U$2="2019年",'Offer Statistics'!BK94,IF($U$2="2020年",'Offer Statistics'!BK156)))</f>
        <v>0</v>
      </c>
      <c r="Y32" s="284">
        <f>IF($U$2="2018年",'Offer Statistics'!BL32,IF($U$2="2019年",'Offer Statistics'!BL94,IF($U$2="2020年",'Offer Statistics'!BL156)))</f>
        <v>1</v>
      </c>
      <c r="Z32" s="284">
        <f>IF($U$2="2018年",'Offer Statistics'!BM32,IF($U$2="2019年",'Offer Statistics'!BM94,IF($U$2="2020年",'Offer Statistics'!BM156)))</f>
        <v>0</v>
      </c>
      <c r="AA32" s="284">
        <f>IF($U$2="2018年",'Offer Statistics'!BN32,IF($U$2="2019年",'Offer Statistics'!BN94,IF($U$2="2020年",'Offer Statistics'!BN156)))</f>
        <v>0</v>
      </c>
      <c r="AB32" s="501"/>
      <c r="AC32" s="295">
        <f>IF($AB$2="2018年",'Offer Statistics'!BG32,IF($AB$2="2019年",'Offer Statistics'!BG94,IF($AB$2="2020年",'Offer Statistics'!BG156)))</f>
        <v>878</v>
      </c>
      <c r="AD32" s="284">
        <f>IF($AB$2="2018年",'Offer Statistics'!BB32,IF($AB$2="2019年",'Offer Statistics'!BB94,IF($AB$2="2020年",'Offer Statistics'!BB156)))</f>
        <v>141</v>
      </c>
      <c r="AE32" s="284">
        <f>IF($AB$2="2018年",'Offer Statistics'!BC32,IF($AB$2="2019年",'Offer Statistics'!BC94,IF($AB$2="2020年",'Offer Statistics'!BC156)))</f>
        <v>108</v>
      </c>
      <c r="AF32" s="284">
        <f>IF($AB$2="2018年",'Offer Statistics'!BD32,IF($AB$2="2019年",'Offer Statistics'!BD94,IF($AB$2="2020年",'Offer Statistics'!BD156)))</f>
        <v>181</v>
      </c>
      <c r="AG32" s="284">
        <f>IF($AB$2="2018年",'Offer Statistics'!BE32,IF($AB$2="2019年",'Offer Statistics'!BE94,IF($AB$2="2020年",'Offer Statistics'!BE156)))</f>
        <v>232</v>
      </c>
      <c r="AH32" s="284">
        <f>IF($AB$2="2018年",'Offer Statistics'!BF32,IF($AB$2="2019年",'Offer Statistics'!BF94,IF($AB$2="2020年",'Offer Statistics'!BF156)))</f>
        <v>216</v>
      </c>
      <c r="AI32" s="298"/>
      <c r="AJ32" s="338" t="str">
        <f t="shared" si="2"/>
        <v>JS4428</v>
      </c>
    </row>
    <row r="33" spans="1:36" ht="18" customHeight="1">
      <c r="A33" s="175" t="s">
        <v>161</v>
      </c>
      <c r="B33" s="175" t="s">
        <v>293</v>
      </c>
      <c r="C33" s="175" t="s">
        <v>162</v>
      </c>
      <c r="D33" s="175" t="s">
        <v>1586</v>
      </c>
      <c r="E33" s="437" t="s">
        <v>189</v>
      </c>
      <c r="F33" s="176">
        <f>5.5*1.5+5.5*1.5+5.5*1.5+5.5+4</f>
        <v>34.25</v>
      </c>
      <c r="G33" s="176">
        <f>4*1.5+4*1.5+4*1.5+7+4</f>
        <v>29</v>
      </c>
      <c r="H33" s="176">
        <f>4*1.5+7+4*1.5+3*1.5+4</f>
        <v>27.5</v>
      </c>
      <c r="I33" s="193">
        <f>計分版!D196</f>
        <v>4.1000000000000003E-9</v>
      </c>
      <c r="J33" s="177">
        <f t="shared" si="3"/>
        <v>-28.999999995900001</v>
      </c>
      <c r="K33" s="178">
        <f t="shared" si="4"/>
        <v>-7073170730.7073174</v>
      </c>
      <c r="L33" s="295">
        <v>57</v>
      </c>
      <c r="M33" s="381">
        <f>入學要求!S178</f>
        <v>0</v>
      </c>
      <c r="N33" s="370" t="s">
        <v>2188</v>
      </c>
      <c r="O33" s="296">
        <v>3</v>
      </c>
      <c r="P33" s="296">
        <v>3</v>
      </c>
      <c r="Q33" s="296">
        <v>3</v>
      </c>
      <c r="R33" s="296">
        <v>2</v>
      </c>
      <c r="S33" s="296">
        <v>3</v>
      </c>
      <c r="T33" s="296">
        <v>3</v>
      </c>
      <c r="U33" s="501"/>
      <c r="V33" s="295">
        <f>IF($U$2="2018年",'Offer Statistics'!BO33,IF($U$2="2019年",'Offer Statistics'!BO95,IF($U$2="2020年",'Offer Statistics'!BO157)))</f>
        <v>33</v>
      </c>
      <c r="W33" s="284">
        <f>IF($U$2="2018年",'Offer Statistics'!BJ33,IF($U$2="2019年",'Offer Statistics'!BJ95,IF($U$2="2020年",'Offer Statistics'!BJ157)))</f>
        <v>33</v>
      </c>
      <c r="X33" s="284">
        <f>IF($U$2="2018年",'Offer Statistics'!BK33,IF($U$2="2019年",'Offer Statistics'!BK95,IF($U$2="2020年",'Offer Statistics'!BK157)))</f>
        <v>0</v>
      </c>
      <c r="Y33" s="284">
        <f>IF($U$2="2018年",'Offer Statistics'!BL33,IF($U$2="2019年",'Offer Statistics'!BL95,IF($U$2="2020年",'Offer Statistics'!BL157)))</f>
        <v>0</v>
      </c>
      <c r="Z33" s="284">
        <f>IF($U$2="2018年",'Offer Statistics'!BM33,IF($U$2="2019年",'Offer Statistics'!BM95,IF($U$2="2020年",'Offer Statistics'!BM157)))</f>
        <v>0</v>
      </c>
      <c r="AA33" s="284">
        <f>IF($U$2="2018年",'Offer Statistics'!BN33,IF($U$2="2019年",'Offer Statistics'!BN95,IF($U$2="2020年",'Offer Statistics'!BN157)))</f>
        <v>0</v>
      </c>
      <c r="AB33" s="501"/>
      <c r="AC33" s="295">
        <f>IF($AB$2="2018年",'Offer Statistics'!BG33,IF($AB$2="2019年",'Offer Statistics'!BG95,IF($AB$2="2020年",'Offer Statistics'!BG157)))</f>
        <v>3057</v>
      </c>
      <c r="AD33" s="284">
        <f>IF($AB$2="2018年",'Offer Statistics'!BB33,IF($AB$2="2019年",'Offer Statistics'!BB95,IF($AB$2="2020年",'Offer Statistics'!BB157)))</f>
        <v>380</v>
      </c>
      <c r="AE33" s="284">
        <f>IF($AB$2="2018年",'Offer Statistics'!BC33,IF($AB$2="2019年",'Offer Statistics'!BC95,IF($AB$2="2020年",'Offer Statistics'!BC157)))</f>
        <v>523</v>
      </c>
      <c r="AF33" s="284">
        <f>IF($AB$2="2018年",'Offer Statistics'!BD33,IF($AB$2="2019年",'Offer Statistics'!BD95,IF($AB$2="2020年",'Offer Statistics'!BD157)))</f>
        <v>726</v>
      </c>
      <c r="AG33" s="284">
        <f>IF($AB$2="2018年",'Offer Statistics'!BE33,IF($AB$2="2019年",'Offer Statistics'!BE95,IF($AB$2="2020年",'Offer Statistics'!BE157)))</f>
        <v>853</v>
      </c>
      <c r="AH33" s="284">
        <f>IF($AB$2="2018年",'Offer Statistics'!BF33,IF($AB$2="2019年",'Offer Statistics'!BF95,IF($AB$2="2020年",'Offer Statistics'!BF157)))</f>
        <v>575</v>
      </c>
      <c r="AI33" s="298"/>
      <c r="AJ33" s="338" t="str">
        <f t="shared" si="2"/>
        <v>JS4434</v>
      </c>
    </row>
    <row r="34" spans="1:36" s="11" customFormat="1" ht="18" customHeight="1">
      <c r="A34" s="10" t="s">
        <v>163</v>
      </c>
      <c r="B34" s="10" t="s">
        <v>293</v>
      </c>
      <c r="C34" s="175" t="s">
        <v>164</v>
      </c>
      <c r="D34" s="175" t="s">
        <v>2147</v>
      </c>
      <c r="E34" s="437" t="s">
        <v>189</v>
      </c>
      <c r="F34" s="176">
        <f>5.5*1.5+5.5+7*1.5+7*1.5+4*1.5</f>
        <v>40.75</v>
      </c>
      <c r="G34" s="176">
        <f>5.5*1.5+5.5*1.5+5.5*1.5+5.5*1.5+4*1.5</f>
        <v>39</v>
      </c>
      <c r="H34" s="176">
        <f>5.5*1.5+5.5*1.5+5.5+7*1.5+4*1.5</f>
        <v>38.5</v>
      </c>
      <c r="I34" s="193">
        <f>計分版!D197</f>
        <v>4.1000000000000003E-9</v>
      </c>
      <c r="J34" s="177">
        <f t="shared" si="3"/>
        <v>-38.999999995899998</v>
      </c>
      <c r="K34" s="178">
        <f t="shared" si="4"/>
        <v>-9512195120.9512177</v>
      </c>
      <c r="L34" s="295">
        <v>49</v>
      </c>
      <c r="M34" s="381">
        <f>入學要求!S179</f>
        <v>0</v>
      </c>
      <c r="N34" s="370" t="s">
        <v>2194</v>
      </c>
      <c r="O34" s="296">
        <v>3</v>
      </c>
      <c r="P34" s="296">
        <v>3</v>
      </c>
      <c r="Q34" s="296">
        <v>3</v>
      </c>
      <c r="R34" s="296">
        <v>2</v>
      </c>
      <c r="S34" s="296">
        <v>3</v>
      </c>
      <c r="T34" s="296">
        <v>3</v>
      </c>
      <c r="U34" s="501"/>
      <c r="V34" s="295">
        <f>IF($U$2="2018年",'Offer Statistics'!BO34,IF($U$2="2019年",'Offer Statistics'!BO96,IF($U$2="2020年",'Offer Statistics'!BO158)))</f>
        <v>28</v>
      </c>
      <c r="W34" s="284">
        <f>IF($U$2="2018年",'Offer Statistics'!BJ34,IF($U$2="2019年",'Offer Statistics'!BJ96,IF($U$2="2020年",'Offer Statistics'!BJ158)))</f>
        <v>28</v>
      </c>
      <c r="X34" s="284">
        <f>IF($U$2="2018年",'Offer Statistics'!BK34,IF($U$2="2019年",'Offer Statistics'!BK96,IF($U$2="2020年",'Offer Statistics'!BK158)))</f>
        <v>0</v>
      </c>
      <c r="Y34" s="284">
        <f>IF($U$2="2018年",'Offer Statistics'!BL34,IF($U$2="2019年",'Offer Statistics'!BL96,IF($U$2="2020年",'Offer Statistics'!BL158)))</f>
        <v>0</v>
      </c>
      <c r="Z34" s="284">
        <f>IF($U$2="2018年",'Offer Statistics'!BM34,IF($U$2="2019年",'Offer Statistics'!BM96,IF($U$2="2020年",'Offer Statistics'!BM158)))</f>
        <v>0</v>
      </c>
      <c r="AA34" s="284">
        <f>IF($U$2="2018年",'Offer Statistics'!BN34,IF($U$2="2019年",'Offer Statistics'!BN96,IF($U$2="2020年",'Offer Statistics'!BN158)))</f>
        <v>0</v>
      </c>
      <c r="AB34" s="501"/>
      <c r="AC34" s="295">
        <f>IF($AB$2="2018年",'Offer Statistics'!BG34,IF($AB$2="2019年",'Offer Statistics'!BG96,IF($AB$2="2020年",'Offer Statistics'!BG158)))</f>
        <v>1725</v>
      </c>
      <c r="AD34" s="284">
        <f>IF($AB$2="2018年",'Offer Statistics'!BB34,IF($AB$2="2019年",'Offer Statistics'!BB96,IF($AB$2="2020年",'Offer Statistics'!BB158)))</f>
        <v>146</v>
      </c>
      <c r="AE34" s="284">
        <f>IF($AB$2="2018年",'Offer Statistics'!BC34,IF($AB$2="2019年",'Offer Statistics'!BC96,IF($AB$2="2020年",'Offer Statistics'!BC158)))</f>
        <v>162</v>
      </c>
      <c r="AF34" s="284">
        <f>IF($AB$2="2018年",'Offer Statistics'!BD34,IF($AB$2="2019年",'Offer Statistics'!BD96,IF($AB$2="2020年",'Offer Statistics'!BD158)))</f>
        <v>389</v>
      </c>
      <c r="AG34" s="284">
        <f>IF($AB$2="2018年",'Offer Statistics'!BE34,IF($AB$2="2019年",'Offer Statistics'!BE96,IF($AB$2="2020年",'Offer Statistics'!BE158)))</f>
        <v>583</v>
      </c>
      <c r="AH34" s="284">
        <f>IF($AB$2="2018年",'Offer Statistics'!BF34,IF($AB$2="2019年",'Offer Statistics'!BF96,IF($AB$2="2020年",'Offer Statistics'!BF158)))</f>
        <v>445</v>
      </c>
      <c r="AI34" s="298"/>
      <c r="AJ34" s="338" t="str">
        <f t="shared" si="2"/>
        <v>JS4460</v>
      </c>
    </row>
    <row r="35" spans="1:36" ht="18" customHeight="1">
      <c r="A35" s="10" t="s">
        <v>165</v>
      </c>
      <c r="B35" s="10" t="s">
        <v>293</v>
      </c>
      <c r="C35" s="175" t="s">
        <v>166</v>
      </c>
      <c r="D35" s="175" t="s">
        <v>1588</v>
      </c>
      <c r="E35" s="437" t="s">
        <v>189</v>
      </c>
      <c r="F35" s="176">
        <f>5.5*1.5+4*1.5+4*1.5+4*1.5+5.5</f>
        <v>31.75</v>
      </c>
      <c r="G35" s="176">
        <f>4*1.5+5.5+4*1.5+4*1.5+4*1.5</f>
        <v>29.5</v>
      </c>
      <c r="H35" s="176">
        <f>5.5*1.5+5.5*1.5+3*1.5+3+4</f>
        <v>28</v>
      </c>
      <c r="I35" s="193">
        <f>計分版!D198</f>
        <v>4.1000000000000003E-9</v>
      </c>
      <c r="J35" s="177">
        <f t="shared" si="3"/>
        <v>-29.499999995900001</v>
      </c>
      <c r="K35" s="178">
        <f t="shared" si="4"/>
        <v>-7195121950.219512</v>
      </c>
      <c r="L35" s="295">
        <v>35</v>
      </c>
      <c r="M35" s="381">
        <f>入學要求!S180</f>
        <v>0</v>
      </c>
      <c r="N35" s="370" t="s">
        <v>2188</v>
      </c>
      <c r="O35" s="296">
        <v>3</v>
      </c>
      <c r="P35" s="296">
        <v>3</v>
      </c>
      <c r="Q35" s="296">
        <v>3</v>
      </c>
      <c r="R35" s="296">
        <v>2</v>
      </c>
      <c r="S35" s="296">
        <v>3</v>
      </c>
      <c r="T35" s="296">
        <v>3</v>
      </c>
      <c r="U35" s="501"/>
      <c r="V35" s="295">
        <f>IF($U$2="2018年",'Offer Statistics'!BO35,IF($U$2="2019年",'Offer Statistics'!BO97,IF($U$2="2020年",'Offer Statistics'!BO159)))</f>
        <v>33</v>
      </c>
      <c r="W35" s="284">
        <f>IF($U$2="2018年",'Offer Statistics'!BJ35,IF($U$2="2019年",'Offer Statistics'!BJ97,IF($U$2="2020年",'Offer Statistics'!BJ159)))</f>
        <v>31</v>
      </c>
      <c r="X35" s="284">
        <f>IF($U$2="2018年",'Offer Statistics'!BK35,IF($U$2="2019年",'Offer Statistics'!BK97,IF($U$2="2020年",'Offer Statistics'!BK159)))</f>
        <v>2</v>
      </c>
      <c r="Y35" s="284">
        <f>IF($U$2="2018年",'Offer Statistics'!BL35,IF($U$2="2019年",'Offer Statistics'!BL97,IF($U$2="2020年",'Offer Statistics'!BL159)))</f>
        <v>0</v>
      </c>
      <c r="Z35" s="284">
        <f>IF($U$2="2018年",'Offer Statistics'!BM35,IF($U$2="2019年",'Offer Statistics'!BM97,IF($U$2="2020年",'Offer Statistics'!BM159)))</f>
        <v>0</v>
      </c>
      <c r="AA35" s="284">
        <f>IF($U$2="2018年",'Offer Statistics'!BN35,IF($U$2="2019年",'Offer Statistics'!BN97,IF($U$2="2020年",'Offer Statistics'!BN159)))</f>
        <v>0</v>
      </c>
      <c r="AB35" s="501"/>
      <c r="AC35" s="295">
        <f>IF($AB$2="2018年",'Offer Statistics'!BG35,IF($AB$2="2019年",'Offer Statistics'!BG97,IF($AB$2="2020年",'Offer Statistics'!BG159)))</f>
        <v>2187</v>
      </c>
      <c r="AD35" s="284">
        <f>IF($AB$2="2018年",'Offer Statistics'!BB35,IF($AB$2="2019年",'Offer Statistics'!BB97,IF($AB$2="2020年",'Offer Statistics'!BB159)))</f>
        <v>184</v>
      </c>
      <c r="AE35" s="284">
        <f>IF($AB$2="2018年",'Offer Statistics'!BC35,IF($AB$2="2019年",'Offer Statistics'!BC97,IF($AB$2="2020年",'Offer Statistics'!BC159)))</f>
        <v>244</v>
      </c>
      <c r="AF35" s="284">
        <f>IF($AB$2="2018年",'Offer Statistics'!BD35,IF($AB$2="2019年",'Offer Statistics'!BD97,IF($AB$2="2020年",'Offer Statistics'!BD159)))</f>
        <v>490</v>
      </c>
      <c r="AG35" s="284">
        <f>IF($AB$2="2018年",'Offer Statistics'!BE35,IF($AB$2="2019年",'Offer Statistics'!BE97,IF($AB$2="2020年",'Offer Statistics'!BE159)))</f>
        <v>700</v>
      </c>
      <c r="AH35" s="284">
        <f>IF($AB$2="2018年",'Offer Statistics'!BF35,IF($AB$2="2019年",'Offer Statistics'!BF97,IF($AB$2="2020年",'Offer Statistics'!BF159)))</f>
        <v>569</v>
      </c>
      <c r="AI35" s="298"/>
      <c r="AJ35" s="338" t="str">
        <f t="shared" si="2"/>
        <v>JS4462</v>
      </c>
    </row>
    <row r="36" spans="1:36" s="11" customFormat="1" ht="18" customHeight="1">
      <c r="A36" s="175" t="s">
        <v>187</v>
      </c>
      <c r="B36" s="175" t="s">
        <v>293</v>
      </c>
      <c r="C36" s="175" t="s">
        <v>192</v>
      </c>
      <c r="D36" s="175" t="s">
        <v>2148</v>
      </c>
      <c r="E36" s="437" t="s">
        <v>189</v>
      </c>
      <c r="F36" s="176">
        <f>8.5*1.75+8.5*1.75+7*1.5+5.5*1.5+5.5*1.5</f>
        <v>56.75</v>
      </c>
      <c r="G36" s="176">
        <f>8.5*1.75+5.5*1.75+7*1.5+8.5+5.5*1.5</f>
        <v>51.75</v>
      </c>
      <c r="H36" s="176">
        <f>8.5*1.75+7*1.75+7*1.5+4*1.5+4*1.25</f>
        <v>48.625</v>
      </c>
      <c r="I36" s="193">
        <f>計分版!D199</f>
        <v>4.2249999999999998E-9</v>
      </c>
      <c r="J36" s="177">
        <f t="shared" si="3"/>
        <v>-51.749999995774999</v>
      </c>
      <c r="K36" s="178">
        <f t="shared" si="4"/>
        <v>-12248520709.059172</v>
      </c>
      <c r="L36" s="295">
        <v>30</v>
      </c>
      <c r="M36" s="381">
        <f>入學要求!S181</f>
        <v>0</v>
      </c>
      <c r="N36" s="370" t="s">
        <v>2188</v>
      </c>
      <c r="O36" s="296">
        <v>3</v>
      </c>
      <c r="P36" s="296">
        <v>4</v>
      </c>
      <c r="Q36" s="296">
        <v>5</v>
      </c>
      <c r="R36" s="296">
        <v>3</v>
      </c>
      <c r="S36" s="296">
        <v>3</v>
      </c>
      <c r="T36" s="296">
        <v>3</v>
      </c>
      <c r="U36" s="501"/>
      <c r="V36" s="295">
        <f>IF($U$2="2018年",'Offer Statistics'!BO36,IF($U$2="2019年",'Offer Statistics'!BO98,IF($U$2="2020年",'Offer Statistics'!BO160)))</f>
        <v>35</v>
      </c>
      <c r="W36" s="284">
        <f>IF($U$2="2018年",'Offer Statistics'!BJ36,IF($U$2="2019年",'Offer Statistics'!BJ98,IF($U$2="2020年",'Offer Statistics'!BJ160)))</f>
        <v>35</v>
      </c>
      <c r="X36" s="284">
        <f>IF($U$2="2018年",'Offer Statistics'!BK36,IF($U$2="2019年",'Offer Statistics'!BK98,IF($U$2="2020年",'Offer Statistics'!BK160)))</f>
        <v>0</v>
      </c>
      <c r="Y36" s="284">
        <f>IF($U$2="2018年",'Offer Statistics'!BL36,IF($U$2="2019年",'Offer Statistics'!BL98,IF($U$2="2020年",'Offer Statistics'!BL160)))</f>
        <v>0</v>
      </c>
      <c r="Z36" s="284">
        <f>IF($U$2="2018年",'Offer Statistics'!BM36,IF($U$2="2019年",'Offer Statistics'!BM98,IF($U$2="2020年",'Offer Statistics'!BM160)))</f>
        <v>0</v>
      </c>
      <c r="AA36" s="284">
        <f>IF($U$2="2018年",'Offer Statistics'!BN36,IF($U$2="2019年",'Offer Statistics'!BN98,IF($U$2="2020年",'Offer Statistics'!BN160)))</f>
        <v>0</v>
      </c>
      <c r="AB36" s="501"/>
      <c r="AC36" s="295">
        <f>IF($AB$2="2018年",'Offer Statistics'!BG36,IF($AB$2="2019年",'Offer Statistics'!BG98,IF($AB$2="2020年",'Offer Statistics'!BG160)))</f>
        <v>1372</v>
      </c>
      <c r="AD36" s="284">
        <f>IF($AB$2="2018年",'Offer Statistics'!BB36,IF($AB$2="2019年",'Offer Statistics'!BB98,IF($AB$2="2020年",'Offer Statistics'!BB160)))</f>
        <v>234</v>
      </c>
      <c r="AE36" s="284">
        <f>IF($AB$2="2018年",'Offer Statistics'!BC36,IF($AB$2="2019年",'Offer Statistics'!BC98,IF($AB$2="2020年",'Offer Statistics'!BC160)))</f>
        <v>173</v>
      </c>
      <c r="AF36" s="284">
        <f>IF($AB$2="2018年",'Offer Statistics'!BD36,IF($AB$2="2019年",'Offer Statistics'!BD98,IF($AB$2="2020年",'Offer Statistics'!BD160)))</f>
        <v>277</v>
      </c>
      <c r="AG36" s="284">
        <f>IF($AB$2="2018年",'Offer Statistics'!BE36,IF($AB$2="2019年",'Offer Statistics'!BE98,IF($AB$2="2020年",'Offer Statistics'!BE160)))</f>
        <v>366</v>
      </c>
      <c r="AH36" s="284">
        <f>IF($AB$2="2018年",'Offer Statistics'!BF36,IF($AB$2="2019年",'Offer Statistics'!BF98,IF($AB$2="2020年",'Offer Statistics'!BF160)))</f>
        <v>322</v>
      </c>
      <c r="AI36" s="298"/>
      <c r="AJ36" s="338" t="str">
        <f t="shared" si="2"/>
        <v>JS4468</v>
      </c>
    </row>
    <row r="37" spans="1:36" ht="18" customHeight="1">
      <c r="A37" s="175" t="s">
        <v>109</v>
      </c>
      <c r="B37" s="175" t="s">
        <v>294</v>
      </c>
      <c r="C37" s="175" t="s">
        <v>167</v>
      </c>
      <c r="D37" s="175" t="s">
        <v>1591</v>
      </c>
      <c r="E37" s="307" t="s">
        <v>362</v>
      </c>
      <c r="F37" s="176">
        <f>7+7+6+6+6+6+5</f>
        <v>43</v>
      </c>
      <c r="G37" s="176">
        <f>5+6+6+5+7+7+6</f>
        <v>42</v>
      </c>
      <c r="H37" s="176">
        <f>5+6+7+6+5+6+6</f>
        <v>41</v>
      </c>
      <c r="I37" s="193">
        <f>計分版!D200</f>
        <v>3.8499999999999997E-9</v>
      </c>
      <c r="J37" s="177">
        <f t="shared" si="3"/>
        <v>-41.999999996150002</v>
      </c>
      <c r="K37" s="178">
        <f t="shared" si="4"/>
        <v>-10909090908.09091</v>
      </c>
      <c r="L37" s="322" t="s">
        <v>2442</v>
      </c>
      <c r="M37" s="381">
        <f>入學要求!S182</f>
        <v>0</v>
      </c>
      <c r="N37" s="370" t="s">
        <v>2194</v>
      </c>
      <c r="O37" s="296">
        <v>3</v>
      </c>
      <c r="P37" s="296">
        <v>4</v>
      </c>
      <c r="Q37" s="296">
        <v>3</v>
      </c>
      <c r="R37" s="296">
        <v>3</v>
      </c>
      <c r="S37" s="296">
        <v>3</v>
      </c>
      <c r="T37" s="296">
        <v>3</v>
      </c>
      <c r="U37" s="501"/>
      <c r="V37" s="295">
        <f>IF($U$2="2018年",'Offer Statistics'!BO37,IF($U$2="2019年",'Offer Statistics'!BO99,IF($U$2="2020年",'Offer Statistics'!BO161)))</f>
        <v>150</v>
      </c>
      <c r="W37" s="284">
        <f>IF($U$2="2018年",'Offer Statistics'!BJ37,IF($U$2="2019年",'Offer Statistics'!BJ99,IF($U$2="2020年",'Offer Statistics'!BJ161)))</f>
        <v>150</v>
      </c>
      <c r="X37" s="284">
        <f>IF($U$2="2018年",'Offer Statistics'!BK37,IF($U$2="2019年",'Offer Statistics'!BK99,IF($U$2="2020年",'Offer Statistics'!BK161)))</f>
        <v>0</v>
      </c>
      <c r="Y37" s="284">
        <f>IF($U$2="2018年",'Offer Statistics'!BL37,IF($U$2="2019年",'Offer Statistics'!BL99,IF($U$2="2020年",'Offer Statistics'!BL161)))</f>
        <v>0</v>
      </c>
      <c r="Z37" s="284">
        <f>IF($U$2="2018年",'Offer Statistics'!BM37,IF($U$2="2019年",'Offer Statistics'!BM99,IF($U$2="2020年",'Offer Statistics'!BM161)))</f>
        <v>0</v>
      </c>
      <c r="AA37" s="284">
        <f>IF($U$2="2018年",'Offer Statistics'!BN37,IF($U$2="2019年",'Offer Statistics'!BN99,IF($U$2="2020年",'Offer Statistics'!BN161)))</f>
        <v>0</v>
      </c>
      <c r="AB37" s="501"/>
      <c r="AC37" s="295">
        <f>IF($AB$2="2018年",'Offer Statistics'!BG37,IF($AB$2="2019年",'Offer Statistics'!BG99,IF($AB$2="2020年",'Offer Statistics'!BG161)))</f>
        <v>1071</v>
      </c>
      <c r="AD37" s="284">
        <f>IF($AB$2="2018年",'Offer Statistics'!BB37,IF($AB$2="2019年",'Offer Statistics'!BB99,IF($AB$2="2020年",'Offer Statistics'!BB161)))</f>
        <v>496</v>
      </c>
      <c r="AE37" s="284">
        <f>IF($AB$2="2018年",'Offer Statistics'!BC37,IF($AB$2="2019年",'Offer Statistics'!BC99,IF($AB$2="2020年",'Offer Statistics'!BC161)))</f>
        <v>71</v>
      </c>
      <c r="AF37" s="284">
        <f>IF($AB$2="2018年",'Offer Statistics'!BD37,IF($AB$2="2019年",'Offer Statistics'!BD99,IF($AB$2="2020年",'Offer Statistics'!BD161)))</f>
        <v>108</v>
      </c>
      <c r="AG37" s="284">
        <f>IF($AB$2="2018年",'Offer Statistics'!BE37,IF($AB$2="2019年",'Offer Statistics'!BE99,IF($AB$2="2020年",'Offer Statistics'!BE161)))</f>
        <v>145</v>
      </c>
      <c r="AH37" s="284">
        <f>IF($AB$2="2018年",'Offer Statistics'!BF37,IF($AB$2="2019年",'Offer Statistics'!BF99,IF($AB$2="2020年",'Offer Statistics'!BF161)))</f>
        <v>251</v>
      </c>
      <c r="AI37" s="298"/>
      <c r="AJ37" s="338" t="str">
        <f t="shared" si="2"/>
        <v>JS4501</v>
      </c>
    </row>
    <row r="38" spans="1:36" s="11" customFormat="1" ht="18" customHeight="1">
      <c r="A38" s="175" t="s">
        <v>110</v>
      </c>
      <c r="B38" s="175" t="s">
        <v>294</v>
      </c>
      <c r="C38" s="175" t="s">
        <v>168</v>
      </c>
      <c r="D38" s="175" t="s">
        <v>1592</v>
      </c>
      <c r="E38" s="489" t="s">
        <v>362</v>
      </c>
      <c r="F38" s="176">
        <f>7+7+7+7+7+7+6</f>
        <v>48</v>
      </c>
      <c r="G38" s="176">
        <f>7+7+6+7+7+7+6</f>
        <v>47</v>
      </c>
      <c r="H38" s="176">
        <f>6+7+7+7+7+6+6</f>
        <v>46</v>
      </c>
      <c r="I38" s="193">
        <f>計分版!D201</f>
        <v>3.8499999999999997E-9</v>
      </c>
      <c r="J38" s="177">
        <f t="shared" si="3"/>
        <v>-46.999999996150002</v>
      </c>
      <c r="K38" s="178">
        <f t="shared" si="4"/>
        <v>-12207792206.79221</v>
      </c>
      <c r="L38" s="322">
        <v>30</v>
      </c>
      <c r="M38" s="381">
        <f>入學要求!S183</f>
        <v>0</v>
      </c>
      <c r="N38" s="370" t="s">
        <v>2194</v>
      </c>
      <c r="O38" s="296">
        <v>3</v>
      </c>
      <c r="P38" s="296">
        <v>4</v>
      </c>
      <c r="Q38" s="296">
        <v>3</v>
      </c>
      <c r="R38" s="296">
        <v>3</v>
      </c>
      <c r="S38" s="296">
        <v>3</v>
      </c>
      <c r="T38" s="296">
        <v>3</v>
      </c>
      <c r="U38" s="501"/>
      <c r="V38" s="295">
        <f>IF($U$2="2018年",'Offer Statistics'!BO38,IF($U$2="2019年",'Offer Statistics'!BO100,IF($U$2="2020年",'Offer Statistics'!BO162)))</f>
        <v>36</v>
      </c>
      <c r="W38" s="284">
        <f>IF($U$2="2018年",'Offer Statistics'!BJ38,IF($U$2="2019年",'Offer Statistics'!BJ100,IF($U$2="2020年",'Offer Statistics'!BJ162)))</f>
        <v>36</v>
      </c>
      <c r="X38" s="284">
        <f>IF($U$2="2018年",'Offer Statistics'!BK38,IF($U$2="2019年",'Offer Statistics'!BK100,IF($U$2="2020年",'Offer Statistics'!BK162)))</f>
        <v>0</v>
      </c>
      <c r="Y38" s="284">
        <f>IF($U$2="2018年",'Offer Statistics'!BL38,IF($U$2="2019年",'Offer Statistics'!BL100,IF($U$2="2020年",'Offer Statistics'!BL162)))</f>
        <v>0</v>
      </c>
      <c r="Z38" s="284">
        <f>IF($U$2="2018年",'Offer Statistics'!BM38,IF($U$2="2019年",'Offer Statistics'!BM100,IF($U$2="2020年",'Offer Statistics'!BM162)))</f>
        <v>0</v>
      </c>
      <c r="AA38" s="284">
        <f>IF($U$2="2018年",'Offer Statistics'!BN38,IF($U$2="2019年",'Offer Statistics'!BN100,IF($U$2="2020年",'Offer Statistics'!BN162)))</f>
        <v>0</v>
      </c>
      <c r="AB38" s="501"/>
      <c r="AC38" s="295">
        <f>IF($AB$2="2018年",'Offer Statistics'!BG38,IF($AB$2="2019年",'Offer Statistics'!BG100,IF($AB$2="2020年",'Offer Statistics'!BG162)))</f>
        <v>293</v>
      </c>
      <c r="AD38" s="284">
        <f>IF($AB$2="2018年",'Offer Statistics'!BB38,IF($AB$2="2019年",'Offer Statistics'!BB100,IF($AB$2="2020年",'Offer Statistics'!BB162)))</f>
        <v>70</v>
      </c>
      <c r="AE38" s="284">
        <f>IF($AB$2="2018年",'Offer Statistics'!BC38,IF($AB$2="2019年",'Offer Statistics'!BC100,IF($AB$2="2020年",'Offer Statistics'!BC162)))</f>
        <v>38</v>
      </c>
      <c r="AF38" s="284">
        <f>IF($AB$2="2018年",'Offer Statistics'!BD38,IF($AB$2="2019年",'Offer Statistics'!BD100,IF($AB$2="2020年",'Offer Statistics'!BD162)))</f>
        <v>36</v>
      </c>
      <c r="AG38" s="284">
        <f>IF($AB$2="2018年",'Offer Statistics'!BE38,IF($AB$2="2019年",'Offer Statistics'!BE100,IF($AB$2="2020年",'Offer Statistics'!BE162)))</f>
        <v>42</v>
      </c>
      <c r="AH38" s="284">
        <f>IF($AB$2="2018年",'Offer Statistics'!BF38,IF($AB$2="2019年",'Offer Statistics'!BF100,IF($AB$2="2020年",'Offer Statistics'!BF162)))</f>
        <v>107</v>
      </c>
      <c r="AI38" s="298"/>
      <c r="AJ38" s="338" t="str">
        <f t="shared" si="2"/>
        <v>JS4502</v>
      </c>
    </row>
    <row r="39" spans="1:36" ht="18" customHeight="1">
      <c r="A39" s="175" t="s">
        <v>111</v>
      </c>
      <c r="B39" s="175" t="s">
        <v>294</v>
      </c>
      <c r="C39" s="175" t="s">
        <v>112</v>
      </c>
      <c r="D39" s="175" t="s">
        <v>2097</v>
      </c>
      <c r="E39" s="437" t="s">
        <v>195</v>
      </c>
      <c r="F39" s="176">
        <f>4+4+7+4+7*1.5+7*1.5</f>
        <v>40</v>
      </c>
      <c r="G39" s="176">
        <f>4+4+7+4+7*1.5+5.5*1.5</f>
        <v>37.75</v>
      </c>
      <c r="H39" s="176">
        <f>4+5.5+7+3+5.5*1.5+5.5*1.5</f>
        <v>36</v>
      </c>
      <c r="I39" s="193">
        <f>計分版!D202</f>
        <v>2.8499999999999999E-9</v>
      </c>
      <c r="J39" s="177">
        <f t="shared" si="3"/>
        <v>-37.749999997149999</v>
      </c>
      <c r="K39" s="178">
        <f t="shared" si="4"/>
        <v>-13245614034.087719</v>
      </c>
      <c r="L39" s="295">
        <v>217</v>
      </c>
      <c r="M39" s="381">
        <f>入學要求!S184</f>
        <v>0</v>
      </c>
      <c r="N39" s="366" t="s">
        <v>2193</v>
      </c>
      <c r="O39" s="296">
        <v>3</v>
      </c>
      <c r="P39" s="296">
        <v>3</v>
      </c>
      <c r="Q39" s="296">
        <v>2</v>
      </c>
      <c r="R39" s="296">
        <v>2</v>
      </c>
      <c r="S39" s="296">
        <v>3</v>
      </c>
      <c r="T39" s="296">
        <v>3</v>
      </c>
      <c r="U39" s="501"/>
      <c r="V39" s="295">
        <f>IF($U$2="2018年",'Offer Statistics'!BO39,IF($U$2="2019年",'Offer Statistics'!BO101,IF($U$2="2020年",'Offer Statistics'!BO163)))</f>
        <v>204</v>
      </c>
      <c r="W39" s="284">
        <f>IF($U$2="2018年",'Offer Statistics'!BJ39,IF($U$2="2019年",'Offer Statistics'!BJ101,IF($U$2="2020年",'Offer Statistics'!BJ163)))</f>
        <v>204</v>
      </c>
      <c r="X39" s="284">
        <f>IF($U$2="2018年",'Offer Statistics'!BK39,IF($U$2="2019年",'Offer Statistics'!BK101,IF($U$2="2020年",'Offer Statistics'!BK163)))</f>
        <v>0</v>
      </c>
      <c r="Y39" s="284">
        <f>IF($U$2="2018年",'Offer Statistics'!BL39,IF($U$2="2019年",'Offer Statistics'!BL101,IF($U$2="2020年",'Offer Statistics'!BL163)))</f>
        <v>0</v>
      </c>
      <c r="Z39" s="284">
        <f>IF($U$2="2018年",'Offer Statistics'!BM39,IF($U$2="2019年",'Offer Statistics'!BM101,IF($U$2="2020年",'Offer Statistics'!BM163)))</f>
        <v>0</v>
      </c>
      <c r="AA39" s="284">
        <f>IF($U$2="2018年",'Offer Statistics'!BN39,IF($U$2="2019年",'Offer Statistics'!BN101,IF($U$2="2020年",'Offer Statistics'!BN163)))</f>
        <v>0</v>
      </c>
      <c r="AB39" s="501"/>
      <c r="AC39" s="295">
        <f>IF($AB$2="2018年",'Offer Statistics'!BG39,IF($AB$2="2019年",'Offer Statistics'!BG101,IF($AB$2="2020年",'Offer Statistics'!BG163)))</f>
        <v>3893</v>
      </c>
      <c r="AD39" s="284">
        <f>IF($AB$2="2018年",'Offer Statistics'!BB39,IF($AB$2="2019年",'Offer Statistics'!BB101,IF($AB$2="2020年",'Offer Statistics'!BB163)))</f>
        <v>805</v>
      </c>
      <c r="AE39" s="284">
        <f>IF($AB$2="2018年",'Offer Statistics'!BC39,IF($AB$2="2019年",'Offer Statistics'!BC101,IF($AB$2="2020年",'Offer Statistics'!BC163)))</f>
        <v>665</v>
      </c>
      <c r="AF39" s="284">
        <f>IF($AB$2="2018年",'Offer Statistics'!BD39,IF($AB$2="2019年",'Offer Statistics'!BD101,IF($AB$2="2020年",'Offer Statistics'!BD163)))</f>
        <v>888</v>
      </c>
      <c r="AG39" s="284">
        <f>IF($AB$2="2018年",'Offer Statistics'!BE39,IF($AB$2="2019年",'Offer Statistics'!BE101,IF($AB$2="2020年",'Offer Statistics'!BE163)))</f>
        <v>845</v>
      </c>
      <c r="AH39" s="284">
        <f>IF($AB$2="2018年",'Offer Statistics'!BF39,IF($AB$2="2019年",'Offer Statistics'!BF101,IF($AB$2="2020年",'Offer Statistics'!BF163)))</f>
        <v>690</v>
      </c>
      <c r="AI39" s="298"/>
      <c r="AJ39" s="338" t="str">
        <f t="shared" si="2"/>
        <v>JS4513</v>
      </c>
    </row>
    <row r="40" spans="1:36" s="11" customFormat="1" ht="18" customHeight="1">
      <c r="A40" s="175" t="s">
        <v>113</v>
      </c>
      <c r="B40" s="175" t="s">
        <v>294</v>
      </c>
      <c r="C40" s="175" t="s">
        <v>114</v>
      </c>
      <c r="D40" s="175" t="s">
        <v>1594</v>
      </c>
      <c r="E40" s="307" t="s">
        <v>190</v>
      </c>
      <c r="F40" s="176">
        <f>4+4+8.5+4+8.5+8.5</f>
        <v>37.5</v>
      </c>
      <c r="G40" s="176">
        <f>7+7+7+4+5.5+5.5</f>
        <v>36</v>
      </c>
      <c r="H40" s="176">
        <f>5.5+5.5+7+4+7+5.5</f>
        <v>34.5</v>
      </c>
      <c r="I40" s="193">
        <f>計分版!D203</f>
        <v>2.8499999999999999E-9</v>
      </c>
      <c r="J40" s="177">
        <f t="shared" si="3"/>
        <v>-35.999999997149999</v>
      </c>
      <c r="K40" s="178">
        <f t="shared" si="4"/>
        <v>-12631578946.368422</v>
      </c>
      <c r="L40" s="295">
        <v>61</v>
      </c>
      <c r="M40" s="381">
        <f>入學要求!S185</f>
        <v>0</v>
      </c>
      <c r="N40" s="370" t="s">
        <v>2194</v>
      </c>
      <c r="O40" s="296">
        <v>3</v>
      </c>
      <c r="P40" s="296">
        <v>3</v>
      </c>
      <c r="Q40" s="296">
        <v>3</v>
      </c>
      <c r="R40" s="296">
        <v>3</v>
      </c>
      <c r="S40" s="296">
        <v>3</v>
      </c>
      <c r="T40" s="296">
        <v>3</v>
      </c>
      <c r="U40" s="501"/>
      <c r="V40" s="295">
        <f>IF($U$2="2018年",'Offer Statistics'!BO40,IF($U$2="2019年",'Offer Statistics'!BO102,IF($U$2="2020年",'Offer Statistics'!BO164)))</f>
        <v>49</v>
      </c>
      <c r="W40" s="284">
        <f>IF($U$2="2018年",'Offer Statistics'!BJ40,IF($U$2="2019年",'Offer Statistics'!BJ102,IF($U$2="2020年",'Offer Statistics'!BJ164)))</f>
        <v>49</v>
      </c>
      <c r="X40" s="284">
        <f>IF($U$2="2018年",'Offer Statistics'!BK40,IF($U$2="2019年",'Offer Statistics'!BK102,IF($U$2="2020年",'Offer Statistics'!BK164)))</f>
        <v>0</v>
      </c>
      <c r="Y40" s="284">
        <f>IF($U$2="2018年",'Offer Statistics'!BL40,IF($U$2="2019年",'Offer Statistics'!BL102,IF($U$2="2020年",'Offer Statistics'!BL164)))</f>
        <v>0</v>
      </c>
      <c r="Z40" s="284">
        <f>IF($U$2="2018年",'Offer Statistics'!BM40,IF($U$2="2019年",'Offer Statistics'!BM102,IF($U$2="2020年",'Offer Statistics'!BM164)))</f>
        <v>0</v>
      </c>
      <c r="AA40" s="284">
        <f>IF($U$2="2018年",'Offer Statistics'!BN40,IF($U$2="2019年",'Offer Statistics'!BN102,IF($U$2="2020年",'Offer Statistics'!BN164)))</f>
        <v>0</v>
      </c>
      <c r="AB40" s="501"/>
      <c r="AC40" s="295">
        <f>IF($AB$2="2018年",'Offer Statistics'!BG40,IF($AB$2="2019年",'Offer Statistics'!BG102,IF($AB$2="2020年",'Offer Statistics'!BG164)))</f>
        <v>1324</v>
      </c>
      <c r="AD40" s="284">
        <f>IF($AB$2="2018年",'Offer Statistics'!BB40,IF($AB$2="2019年",'Offer Statistics'!BB102,IF($AB$2="2020年",'Offer Statistics'!BB164)))</f>
        <v>128</v>
      </c>
      <c r="AE40" s="284">
        <f>IF($AB$2="2018年",'Offer Statistics'!BC40,IF($AB$2="2019年",'Offer Statistics'!BC102,IF($AB$2="2020年",'Offer Statistics'!BC164)))</f>
        <v>157</v>
      </c>
      <c r="AF40" s="284">
        <f>IF($AB$2="2018年",'Offer Statistics'!BD40,IF($AB$2="2019年",'Offer Statistics'!BD102,IF($AB$2="2020年",'Offer Statistics'!BD164)))</f>
        <v>281</v>
      </c>
      <c r="AG40" s="284">
        <f>IF($AB$2="2018年",'Offer Statistics'!BE40,IF($AB$2="2019年",'Offer Statistics'!BE102,IF($AB$2="2020年",'Offer Statistics'!BE164)))</f>
        <v>385</v>
      </c>
      <c r="AH40" s="284">
        <f>IF($AB$2="2018年",'Offer Statistics'!BF40,IF($AB$2="2019年",'Offer Statistics'!BF102,IF($AB$2="2020年",'Offer Statistics'!BF164)))</f>
        <v>373</v>
      </c>
      <c r="AI40" s="298"/>
      <c r="AJ40" s="338" t="str">
        <f t="shared" si="2"/>
        <v>JS4525</v>
      </c>
    </row>
    <row r="41" spans="1:36" ht="18" customHeight="1">
      <c r="A41" s="175" t="s">
        <v>115</v>
      </c>
      <c r="B41" s="175" t="s">
        <v>294</v>
      </c>
      <c r="C41" s="175" t="s">
        <v>116</v>
      </c>
      <c r="D41" s="175" t="s">
        <v>2149</v>
      </c>
      <c r="E41" s="307" t="s">
        <v>189</v>
      </c>
      <c r="F41" s="176">
        <f>8.5+5.5+4+4+4</f>
        <v>26</v>
      </c>
      <c r="G41" s="176">
        <f>5.5+5.5+4+4+4</f>
        <v>23</v>
      </c>
      <c r="H41" s="176">
        <f>5.5+5.5+4+4+4</f>
        <v>23</v>
      </c>
      <c r="I41" s="193">
        <f>計分版!D204</f>
        <v>3.9500000000000006E-9</v>
      </c>
      <c r="J41" s="177">
        <f t="shared" si="3"/>
        <v>-22.999999996050001</v>
      </c>
      <c r="K41" s="178">
        <f t="shared" si="4"/>
        <v>-5822784809.1265812</v>
      </c>
      <c r="L41" s="295">
        <v>32</v>
      </c>
      <c r="M41" s="381">
        <f>入學要求!S186</f>
        <v>0</v>
      </c>
      <c r="N41" s="298" t="s">
        <v>792</v>
      </c>
      <c r="O41" s="296">
        <v>3</v>
      </c>
      <c r="P41" s="296">
        <v>3</v>
      </c>
      <c r="Q41" s="296">
        <v>2</v>
      </c>
      <c r="R41" s="296">
        <v>2</v>
      </c>
      <c r="S41" s="296">
        <v>3</v>
      </c>
      <c r="T41" s="296">
        <v>3</v>
      </c>
      <c r="U41" s="501"/>
      <c r="V41" s="295">
        <f>IF($U$2="2018年",'Offer Statistics'!BO41,IF($U$2="2019年",'Offer Statistics'!BO103,IF($U$2="2020年",'Offer Statistics'!BO165)))</f>
        <v>30</v>
      </c>
      <c r="W41" s="284">
        <f>IF($U$2="2018年",'Offer Statistics'!BJ41,IF($U$2="2019年",'Offer Statistics'!BJ103,IF($U$2="2020年",'Offer Statistics'!BJ165)))</f>
        <v>30</v>
      </c>
      <c r="X41" s="284">
        <f>IF($U$2="2018年",'Offer Statistics'!BK41,IF($U$2="2019年",'Offer Statistics'!BK103,IF($U$2="2020年",'Offer Statistics'!BK165)))</f>
        <v>0</v>
      </c>
      <c r="Y41" s="284">
        <f>IF($U$2="2018年",'Offer Statistics'!BL41,IF($U$2="2019年",'Offer Statistics'!BL103,IF($U$2="2020年",'Offer Statistics'!BL165)))</f>
        <v>0</v>
      </c>
      <c r="Z41" s="284">
        <f>IF($U$2="2018年",'Offer Statistics'!BM41,IF($U$2="2019年",'Offer Statistics'!BM103,IF($U$2="2020年",'Offer Statistics'!BM165)))</f>
        <v>0</v>
      </c>
      <c r="AA41" s="284">
        <f>IF($U$2="2018年",'Offer Statistics'!BN41,IF($U$2="2019年",'Offer Statistics'!BN103,IF($U$2="2020年",'Offer Statistics'!BN165)))</f>
        <v>0</v>
      </c>
      <c r="AB41" s="501"/>
      <c r="AC41" s="295">
        <f>IF($AB$2="2018年",'Offer Statistics'!BG41,IF($AB$2="2019年",'Offer Statistics'!BG103,IF($AB$2="2020年",'Offer Statistics'!BG165)))</f>
        <v>3003</v>
      </c>
      <c r="AD41" s="284">
        <f>IF($AB$2="2018年",'Offer Statistics'!BB41,IF($AB$2="2019年",'Offer Statistics'!BB103,IF($AB$2="2020年",'Offer Statistics'!BB165)))</f>
        <v>327</v>
      </c>
      <c r="AE41" s="284">
        <f>IF($AB$2="2018年",'Offer Statistics'!BC41,IF($AB$2="2019年",'Offer Statistics'!BC103,IF($AB$2="2020年",'Offer Statistics'!BC165)))</f>
        <v>488</v>
      </c>
      <c r="AF41" s="284">
        <f>IF($AB$2="2018年",'Offer Statistics'!BD41,IF($AB$2="2019年",'Offer Statistics'!BD103,IF($AB$2="2020年",'Offer Statistics'!BD165)))</f>
        <v>710</v>
      </c>
      <c r="AG41" s="284">
        <f>IF($AB$2="2018年",'Offer Statistics'!BE41,IF($AB$2="2019年",'Offer Statistics'!BE103,IF($AB$2="2020年",'Offer Statistics'!BE165)))</f>
        <v>766</v>
      </c>
      <c r="AH41" s="284">
        <f>IF($AB$2="2018年",'Offer Statistics'!BF41,IF($AB$2="2019年",'Offer Statistics'!BF103,IF($AB$2="2020年",'Offer Statistics'!BF165)))</f>
        <v>712</v>
      </c>
      <c r="AI41" s="298"/>
      <c r="AJ41" s="338" t="str">
        <f t="shared" si="2"/>
        <v>JS4537</v>
      </c>
    </row>
    <row r="42" spans="1:36" s="11" customFormat="1" ht="18" customHeight="1">
      <c r="A42" s="175" t="s">
        <v>117</v>
      </c>
      <c r="B42" s="175" t="s">
        <v>294</v>
      </c>
      <c r="C42" s="175" t="s">
        <v>118</v>
      </c>
      <c r="D42" s="175" t="s">
        <v>1596</v>
      </c>
      <c r="E42" s="307" t="s">
        <v>190</v>
      </c>
      <c r="F42" s="176">
        <f>7+5.5+5.5+7+5.5+5.5</f>
        <v>36</v>
      </c>
      <c r="G42" s="176">
        <f>5.5+5.5+5.5+4+7+5.5</f>
        <v>33</v>
      </c>
      <c r="H42" s="176">
        <f>7+3+4+5.5+7+5.5</f>
        <v>32</v>
      </c>
      <c r="I42" s="193">
        <f>計分版!D205</f>
        <v>2.8499999999999999E-9</v>
      </c>
      <c r="J42" s="177">
        <f t="shared" si="3"/>
        <v>-32.999999997149999</v>
      </c>
      <c r="K42" s="178">
        <f t="shared" si="4"/>
        <v>-11578947367.421053</v>
      </c>
      <c r="L42" s="295">
        <v>25</v>
      </c>
      <c r="M42" s="381">
        <f>入學要求!S187</f>
        <v>0</v>
      </c>
      <c r="N42" s="370" t="s">
        <v>2194</v>
      </c>
      <c r="O42" s="296">
        <v>3</v>
      </c>
      <c r="P42" s="296">
        <v>3</v>
      </c>
      <c r="Q42" s="296">
        <v>2</v>
      </c>
      <c r="R42" s="296">
        <v>2</v>
      </c>
      <c r="S42" s="296">
        <v>3</v>
      </c>
      <c r="T42" s="296">
        <v>3</v>
      </c>
      <c r="U42" s="501"/>
      <c r="V42" s="295">
        <f>IF($U$2="2018年",'Offer Statistics'!BO42,IF($U$2="2019年",'Offer Statistics'!BO104,IF($U$2="2020年",'Offer Statistics'!BO166)))</f>
        <v>22</v>
      </c>
      <c r="W42" s="284">
        <f>IF($U$2="2018年",'Offer Statistics'!BJ42,IF($U$2="2019年",'Offer Statistics'!BJ104,IF($U$2="2020年",'Offer Statistics'!BJ166)))</f>
        <v>22</v>
      </c>
      <c r="X42" s="284">
        <f>IF($U$2="2018年",'Offer Statistics'!BK42,IF($U$2="2019年",'Offer Statistics'!BK104,IF($U$2="2020年",'Offer Statistics'!BK166)))</f>
        <v>0</v>
      </c>
      <c r="Y42" s="284">
        <f>IF($U$2="2018年",'Offer Statistics'!BL42,IF($U$2="2019年",'Offer Statistics'!BL104,IF($U$2="2020年",'Offer Statistics'!BL166)))</f>
        <v>0</v>
      </c>
      <c r="Z42" s="284">
        <f>IF($U$2="2018年",'Offer Statistics'!BM42,IF($U$2="2019年",'Offer Statistics'!BM104,IF($U$2="2020年",'Offer Statistics'!BM166)))</f>
        <v>0</v>
      </c>
      <c r="AA42" s="284">
        <f>IF($U$2="2018年",'Offer Statistics'!BN42,IF($U$2="2019年",'Offer Statistics'!BN104,IF($U$2="2020年",'Offer Statistics'!BN166)))</f>
        <v>0</v>
      </c>
      <c r="AB42" s="501"/>
      <c r="AC42" s="295">
        <f>IF($AB$2="2018年",'Offer Statistics'!BG42,IF($AB$2="2019年",'Offer Statistics'!BG104,IF($AB$2="2020年",'Offer Statistics'!BG166)))</f>
        <v>1183</v>
      </c>
      <c r="AD42" s="284">
        <f>IF($AB$2="2018年",'Offer Statistics'!BB42,IF($AB$2="2019年",'Offer Statistics'!BB104,IF($AB$2="2020年",'Offer Statistics'!BB166)))</f>
        <v>120</v>
      </c>
      <c r="AE42" s="284">
        <f>IF($AB$2="2018年",'Offer Statistics'!BC42,IF($AB$2="2019年",'Offer Statistics'!BC104,IF($AB$2="2020年",'Offer Statistics'!BC166)))</f>
        <v>108</v>
      </c>
      <c r="AF42" s="284">
        <f>IF($AB$2="2018年",'Offer Statistics'!BD42,IF($AB$2="2019年",'Offer Statistics'!BD104,IF($AB$2="2020年",'Offer Statistics'!BD166)))</f>
        <v>243</v>
      </c>
      <c r="AG42" s="284">
        <f>IF($AB$2="2018年",'Offer Statistics'!BE42,IF($AB$2="2019年",'Offer Statistics'!BE104,IF($AB$2="2020年",'Offer Statistics'!BE166)))</f>
        <v>360</v>
      </c>
      <c r="AH42" s="284">
        <f>IF($AB$2="2018年",'Offer Statistics'!BF42,IF($AB$2="2019年",'Offer Statistics'!BF104,IF($AB$2="2020年",'Offer Statistics'!BF166)))</f>
        <v>352</v>
      </c>
      <c r="AI42" s="298"/>
      <c r="AJ42" s="338" t="str">
        <f t="shared" si="2"/>
        <v>JS4542</v>
      </c>
    </row>
    <row r="43" spans="1:36" ht="18" customHeight="1">
      <c r="A43" s="10" t="s">
        <v>169</v>
      </c>
      <c r="B43" s="10" t="s">
        <v>294</v>
      </c>
      <c r="C43" s="10" t="s">
        <v>170</v>
      </c>
      <c r="D43" s="175" t="s">
        <v>2150</v>
      </c>
      <c r="E43" s="307" t="s">
        <v>190</v>
      </c>
      <c r="F43" s="176">
        <f>7+5.5+5.5+4+8.5+7</f>
        <v>37.5</v>
      </c>
      <c r="G43" s="176">
        <f>5.5+7+5.5+4+7+7</f>
        <v>36</v>
      </c>
      <c r="H43" s="176">
        <f>7+4+5.5+5.5+7+5.5</f>
        <v>34.5</v>
      </c>
      <c r="I43" s="193">
        <f>計分版!D206</f>
        <v>2.8499999999999999E-9</v>
      </c>
      <c r="J43" s="177">
        <f t="shared" si="3"/>
        <v>-35.999999997149999</v>
      </c>
      <c r="K43" s="178">
        <f t="shared" si="4"/>
        <v>-12631578946.368422</v>
      </c>
      <c r="L43" s="295">
        <v>20</v>
      </c>
      <c r="M43" s="381">
        <f>入學要求!S188</f>
        <v>0</v>
      </c>
      <c r="N43" s="366" t="s">
        <v>2193</v>
      </c>
      <c r="O43" s="296">
        <v>3</v>
      </c>
      <c r="P43" s="296">
        <v>3</v>
      </c>
      <c r="Q43" s="296">
        <v>3</v>
      </c>
      <c r="R43" s="296">
        <v>2</v>
      </c>
      <c r="S43" s="296">
        <v>3</v>
      </c>
      <c r="T43" s="296">
        <v>3</v>
      </c>
      <c r="U43" s="501"/>
      <c r="V43" s="295">
        <f>IF($U$2="2018年",'Offer Statistics'!BO43,IF($U$2="2019年",'Offer Statistics'!BO105,IF($U$2="2020年",'Offer Statistics'!BO167)))</f>
        <v>21</v>
      </c>
      <c r="W43" s="284">
        <f>IF($U$2="2018年",'Offer Statistics'!BJ43,IF($U$2="2019年",'Offer Statistics'!BJ105,IF($U$2="2020年",'Offer Statistics'!BJ167)))</f>
        <v>21</v>
      </c>
      <c r="X43" s="284">
        <f>IF($U$2="2018年",'Offer Statistics'!BK43,IF($U$2="2019年",'Offer Statistics'!BK105,IF($U$2="2020年",'Offer Statistics'!BK167)))</f>
        <v>0</v>
      </c>
      <c r="Y43" s="284">
        <f>IF($U$2="2018年",'Offer Statistics'!BL43,IF($U$2="2019年",'Offer Statistics'!BL105,IF($U$2="2020年",'Offer Statistics'!BL167)))</f>
        <v>0</v>
      </c>
      <c r="Z43" s="284">
        <f>IF($U$2="2018年",'Offer Statistics'!BM43,IF($U$2="2019年",'Offer Statistics'!BM105,IF($U$2="2020年",'Offer Statistics'!BM167)))</f>
        <v>0</v>
      </c>
      <c r="AA43" s="284">
        <f>IF($U$2="2018年",'Offer Statistics'!BN43,IF($U$2="2019年",'Offer Statistics'!BN105,IF($U$2="2020年",'Offer Statistics'!BN167)))</f>
        <v>0</v>
      </c>
      <c r="AB43" s="501"/>
      <c r="AC43" s="295">
        <f>IF($AB$2="2018年",'Offer Statistics'!BG43,IF($AB$2="2019年",'Offer Statistics'!BG105,IF($AB$2="2020年",'Offer Statistics'!BG167)))</f>
        <v>1507</v>
      </c>
      <c r="AD43" s="284">
        <f>IF($AB$2="2018年",'Offer Statistics'!BB43,IF($AB$2="2019年",'Offer Statistics'!BB105,IF($AB$2="2020年",'Offer Statistics'!BB167)))</f>
        <v>116</v>
      </c>
      <c r="AE43" s="284">
        <f>IF($AB$2="2018年",'Offer Statistics'!BC43,IF($AB$2="2019年",'Offer Statistics'!BC105,IF($AB$2="2020年",'Offer Statistics'!BC167)))</f>
        <v>192</v>
      </c>
      <c r="AF43" s="284">
        <f>IF($AB$2="2018年",'Offer Statistics'!BD43,IF($AB$2="2019年",'Offer Statistics'!BD105,IF($AB$2="2020年",'Offer Statistics'!BD167)))</f>
        <v>366</v>
      </c>
      <c r="AG43" s="284">
        <f>IF($AB$2="2018年",'Offer Statistics'!BE43,IF($AB$2="2019年",'Offer Statistics'!BE105,IF($AB$2="2020年",'Offer Statistics'!BE167)))</f>
        <v>447</v>
      </c>
      <c r="AH43" s="284">
        <f>IF($AB$2="2018年",'Offer Statistics'!BF43,IF($AB$2="2019年",'Offer Statistics'!BF105,IF($AB$2="2020年",'Offer Statistics'!BF167)))</f>
        <v>386</v>
      </c>
      <c r="AI43" s="298"/>
      <c r="AJ43" s="338" t="str">
        <f t="shared" si="2"/>
        <v>JS4550</v>
      </c>
    </row>
    <row r="44" spans="1:36" s="11" customFormat="1" ht="18" customHeight="1">
      <c r="A44" s="10" t="s">
        <v>119</v>
      </c>
      <c r="B44" s="10" t="s">
        <v>295</v>
      </c>
      <c r="C44" s="10" t="s">
        <v>120</v>
      </c>
      <c r="D44" s="175" t="s">
        <v>2151</v>
      </c>
      <c r="E44" s="437" t="s">
        <v>189</v>
      </c>
      <c r="F44" s="176">
        <f>7+5.5*2+5.5*2+5.5*2+4</f>
        <v>44</v>
      </c>
      <c r="G44" s="176">
        <f>5.5*2+5.5*2+4*2+4+4</f>
        <v>38</v>
      </c>
      <c r="H44" s="176">
        <f>5.5*2+5.5*2+4*2+4+4</f>
        <v>38</v>
      </c>
      <c r="I44" s="193">
        <f>計分版!D207</f>
        <v>4.3500000000000001E-9</v>
      </c>
      <c r="J44" s="177">
        <f t="shared" si="3"/>
        <v>-37.999999995650001</v>
      </c>
      <c r="K44" s="178">
        <f t="shared" si="4"/>
        <v>-8735632182.9080467</v>
      </c>
      <c r="L44" s="295">
        <v>374</v>
      </c>
      <c r="M44" s="381">
        <f>入學要求!S189</f>
        <v>0</v>
      </c>
      <c r="N44" s="370" t="s">
        <v>2194</v>
      </c>
      <c r="O44" s="296">
        <v>3</v>
      </c>
      <c r="P44" s="296">
        <v>3</v>
      </c>
      <c r="Q44" s="296">
        <v>2</v>
      </c>
      <c r="R44" s="296">
        <v>2</v>
      </c>
      <c r="S44" s="296">
        <v>3</v>
      </c>
      <c r="T44" s="296">
        <v>3</v>
      </c>
      <c r="U44" s="501"/>
      <c r="V44" s="295">
        <f>IF($U$2="2018年",'Offer Statistics'!BO44,IF($U$2="2019年",'Offer Statistics'!BO106,IF($U$2="2020年",'Offer Statistics'!BO168)))</f>
        <v>390</v>
      </c>
      <c r="W44" s="284">
        <f>IF($U$2="2018年",'Offer Statistics'!BJ44,IF($U$2="2019年",'Offer Statistics'!BJ106,IF($U$2="2020年",'Offer Statistics'!BJ168)))</f>
        <v>390</v>
      </c>
      <c r="X44" s="284">
        <f>IF($U$2="2018年",'Offer Statistics'!BK44,IF($U$2="2019年",'Offer Statistics'!BK106,IF($U$2="2020年",'Offer Statistics'!BK168)))</f>
        <v>0</v>
      </c>
      <c r="Y44" s="284">
        <f>IF($U$2="2018年",'Offer Statistics'!BL44,IF($U$2="2019年",'Offer Statistics'!BL106,IF($U$2="2020年",'Offer Statistics'!BL168)))</f>
        <v>0</v>
      </c>
      <c r="Z44" s="284">
        <f>IF($U$2="2018年",'Offer Statistics'!BM44,IF($U$2="2019年",'Offer Statistics'!BM106,IF($U$2="2020年",'Offer Statistics'!BM168)))</f>
        <v>0</v>
      </c>
      <c r="AA44" s="284">
        <f>IF($U$2="2018年",'Offer Statistics'!BN44,IF($U$2="2019年",'Offer Statistics'!BN106,IF($U$2="2020年",'Offer Statistics'!BN168)))</f>
        <v>0</v>
      </c>
      <c r="AB44" s="501"/>
      <c r="AC44" s="295">
        <f>IF($AB$2="2018年",'Offer Statistics'!BG44,IF($AB$2="2019年",'Offer Statistics'!BG106,IF($AB$2="2020年",'Offer Statistics'!BG168)))</f>
        <v>5877</v>
      </c>
      <c r="AD44" s="284">
        <f>IF($AB$2="2018年",'Offer Statistics'!BB44,IF($AB$2="2019年",'Offer Statistics'!BB106,IF($AB$2="2020年",'Offer Statistics'!BB168)))</f>
        <v>1526</v>
      </c>
      <c r="AE44" s="284">
        <f>IF($AB$2="2018年",'Offer Statistics'!BC44,IF($AB$2="2019年",'Offer Statistics'!BC106,IF($AB$2="2020年",'Offer Statistics'!BC168)))</f>
        <v>975</v>
      </c>
      <c r="AF44" s="284">
        <f>IF($AB$2="2018年",'Offer Statistics'!BD44,IF($AB$2="2019年",'Offer Statistics'!BD106,IF($AB$2="2020年",'Offer Statistics'!BD168)))</f>
        <v>1228</v>
      </c>
      <c r="AG44" s="284">
        <f>IF($AB$2="2018年",'Offer Statistics'!BE44,IF($AB$2="2019年",'Offer Statistics'!BE106,IF($AB$2="2020年",'Offer Statistics'!BE168)))</f>
        <v>1283</v>
      </c>
      <c r="AH44" s="284">
        <f>IF($AB$2="2018年",'Offer Statistics'!BF44,IF($AB$2="2019年",'Offer Statistics'!BF106,IF($AB$2="2020年",'Offer Statistics'!BF168)))</f>
        <v>865</v>
      </c>
      <c r="AI44" s="298"/>
      <c r="AJ44" s="338" t="str">
        <f t="shared" si="2"/>
        <v>JS4601</v>
      </c>
    </row>
    <row r="45" spans="1:36" ht="18" customHeight="1">
      <c r="A45" s="10" t="s">
        <v>171</v>
      </c>
      <c r="B45" s="10" t="s">
        <v>295</v>
      </c>
      <c r="C45" s="10" t="s">
        <v>172</v>
      </c>
      <c r="D45" s="10" t="s">
        <v>2152</v>
      </c>
      <c r="E45" s="439" t="s">
        <v>189</v>
      </c>
      <c r="F45" s="176">
        <f>8.5*1.5+8.5*1.5+7*1.5+5.5*1.5+5.5</f>
        <v>49.75</v>
      </c>
      <c r="G45" s="41">
        <f>7*1.5+5.5*1.5+5.5*1.5+5.5*1.5+7</f>
        <v>42.25</v>
      </c>
      <c r="H45" s="176">
        <f>5.5*1.5+5.5*1.5+7*1.5+5.5*1.5+5.5</f>
        <v>40.75</v>
      </c>
      <c r="I45" s="193">
        <f>計分版!D208</f>
        <v>4.1000000000000003E-9</v>
      </c>
      <c r="J45" s="121">
        <f t="shared" si="3"/>
        <v>-42.249999995899998</v>
      </c>
      <c r="K45" s="120">
        <f t="shared" si="4"/>
        <v>-10304878047.780487</v>
      </c>
      <c r="L45" s="295">
        <v>20</v>
      </c>
      <c r="M45" s="381">
        <f>入學要求!S190</f>
        <v>0</v>
      </c>
      <c r="N45" s="370" t="s">
        <v>2188</v>
      </c>
      <c r="O45" s="296">
        <v>3</v>
      </c>
      <c r="P45" s="296">
        <v>4</v>
      </c>
      <c r="Q45" s="296">
        <v>4</v>
      </c>
      <c r="R45" s="296">
        <v>2</v>
      </c>
      <c r="S45" s="296">
        <v>4</v>
      </c>
      <c r="T45" s="296">
        <v>3</v>
      </c>
      <c r="U45" s="501"/>
      <c r="V45" s="295">
        <f>IF($U$2="2018年",'Offer Statistics'!BO45,IF($U$2="2019年",'Offer Statistics'!BO107,IF($U$2="2020年",'Offer Statistics'!BO169)))</f>
        <v>22</v>
      </c>
      <c r="W45" s="284">
        <f>IF($U$2="2018年",'Offer Statistics'!BJ45,IF($U$2="2019年",'Offer Statistics'!BJ107,IF($U$2="2020年",'Offer Statistics'!BJ169)))</f>
        <v>22</v>
      </c>
      <c r="X45" s="284">
        <f>IF($U$2="2018年",'Offer Statistics'!BK45,IF($U$2="2019年",'Offer Statistics'!BK107,IF($U$2="2020年",'Offer Statistics'!BK169)))</f>
        <v>0</v>
      </c>
      <c r="Y45" s="284">
        <f>IF($U$2="2018年",'Offer Statistics'!BL45,IF($U$2="2019年",'Offer Statistics'!BL107,IF($U$2="2020年",'Offer Statistics'!BL169)))</f>
        <v>0</v>
      </c>
      <c r="Z45" s="284">
        <f>IF($U$2="2018年",'Offer Statistics'!BM45,IF($U$2="2019年",'Offer Statistics'!BM107,IF($U$2="2020年",'Offer Statistics'!BM169)))</f>
        <v>0</v>
      </c>
      <c r="AA45" s="284">
        <f>IF($U$2="2018年",'Offer Statistics'!BN45,IF($U$2="2019年",'Offer Statistics'!BN107,IF($U$2="2020年",'Offer Statistics'!BN169)))</f>
        <v>0</v>
      </c>
      <c r="AB45" s="501"/>
      <c r="AC45" s="295">
        <f>IF($AB$2="2018年",'Offer Statistics'!BG45,IF($AB$2="2019年",'Offer Statistics'!BG107,IF($AB$2="2020年",'Offer Statistics'!BG169)))</f>
        <v>719</v>
      </c>
      <c r="AD45" s="284">
        <f>IF($AB$2="2018年",'Offer Statistics'!BB45,IF($AB$2="2019年",'Offer Statistics'!BB107,IF($AB$2="2020年",'Offer Statistics'!BB169)))</f>
        <v>59</v>
      </c>
      <c r="AE45" s="284">
        <f>IF($AB$2="2018年",'Offer Statistics'!BC45,IF($AB$2="2019年",'Offer Statistics'!BC107,IF($AB$2="2020年",'Offer Statistics'!BC169)))</f>
        <v>77</v>
      </c>
      <c r="AF45" s="284">
        <f>IF($AB$2="2018年",'Offer Statistics'!BD45,IF($AB$2="2019年",'Offer Statistics'!BD107,IF($AB$2="2020年",'Offer Statistics'!BD169)))</f>
        <v>142</v>
      </c>
      <c r="AG45" s="284">
        <f>IF($AB$2="2018年",'Offer Statistics'!BE45,IF($AB$2="2019年",'Offer Statistics'!BE107,IF($AB$2="2020年",'Offer Statistics'!BE169)))</f>
        <v>225</v>
      </c>
      <c r="AH45" s="284">
        <f>IF($AB$2="2018年",'Offer Statistics'!BF45,IF($AB$2="2019年",'Offer Statistics'!BF107,IF($AB$2="2020年",'Offer Statistics'!BF169)))</f>
        <v>216</v>
      </c>
      <c r="AI45" s="298"/>
      <c r="AJ45" s="338" t="str">
        <f t="shared" si="2"/>
        <v>JS4633</v>
      </c>
    </row>
    <row r="46" spans="1:36" s="11" customFormat="1" ht="18" customHeight="1">
      <c r="A46" s="10" t="s">
        <v>2299</v>
      </c>
      <c r="B46" s="10" t="s">
        <v>295</v>
      </c>
      <c r="C46" s="10" t="s">
        <v>359</v>
      </c>
      <c r="D46" s="175" t="s">
        <v>2153</v>
      </c>
      <c r="E46" s="437" t="s">
        <v>189</v>
      </c>
      <c r="F46" s="176">
        <f>8.5*1.5+8.5+8.5+7+4</f>
        <v>40.75</v>
      </c>
      <c r="G46" s="176">
        <f>8.5+7*1.5+7+7+5.5</f>
        <v>38.5</v>
      </c>
      <c r="H46" s="176">
        <f>7*1.5+7+7+7+5.5</f>
        <v>37</v>
      </c>
      <c r="I46" s="193">
        <f>計分版!D209</f>
        <v>4.3500000000000001E-9</v>
      </c>
      <c r="J46" s="177">
        <f t="shared" si="3"/>
        <v>-38.499999995650001</v>
      </c>
      <c r="K46" s="178">
        <f t="shared" si="4"/>
        <v>-8850574711.6436787</v>
      </c>
      <c r="L46" s="295">
        <v>27</v>
      </c>
      <c r="M46" s="381">
        <f>入學要求!S191</f>
        <v>0</v>
      </c>
      <c r="N46" s="370" t="s">
        <v>2188</v>
      </c>
      <c r="O46" s="296">
        <v>3</v>
      </c>
      <c r="P46" s="296">
        <v>3</v>
      </c>
      <c r="Q46" s="296">
        <v>4</v>
      </c>
      <c r="R46" s="296">
        <v>2</v>
      </c>
      <c r="S46" s="296">
        <v>3</v>
      </c>
      <c r="T46" s="296">
        <v>4</v>
      </c>
      <c r="U46" s="501"/>
      <c r="V46" s="295">
        <f>IF($U$2="2018年",'Offer Statistics'!BO46,IF($U$2="2019年",'Offer Statistics'!BO108,IF($U$2="2020年",'Offer Statistics'!BO170)))</f>
        <v>30</v>
      </c>
      <c r="W46" s="284">
        <f>IF($U$2="2018年",'Offer Statistics'!BJ46,IF($U$2="2019年",'Offer Statistics'!BJ108,IF($U$2="2020年",'Offer Statistics'!BJ170)))</f>
        <v>30</v>
      </c>
      <c r="X46" s="284">
        <f>IF($U$2="2018年",'Offer Statistics'!BK46,IF($U$2="2019年",'Offer Statistics'!BK108,IF($U$2="2020年",'Offer Statistics'!BK170)))</f>
        <v>0</v>
      </c>
      <c r="Y46" s="284">
        <f>IF($U$2="2018年",'Offer Statistics'!BL46,IF($U$2="2019年",'Offer Statistics'!BL108,IF($U$2="2020年",'Offer Statistics'!BL170)))</f>
        <v>0</v>
      </c>
      <c r="Z46" s="284">
        <f>IF($U$2="2018年",'Offer Statistics'!BM46,IF($U$2="2019年",'Offer Statistics'!BM108,IF($U$2="2020年",'Offer Statistics'!BM170)))</f>
        <v>0</v>
      </c>
      <c r="AA46" s="284">
        <f>IF($U$2="2018年",'Offer Statistics'!BN46,IF($U$2="2019年",'Offer Statistics'!BN108,IF($U$2="2020年",'Offer Statistics'!BN170)))</f>
        <v>0</v>
      </c>
      <c r="AB46" s="501"/>
      <c r="AC46" s="295">
        <f>IF($AB$2="2018年",'Offer Statistics'!BG46,IF($AB$2="2019年",'Offer Statistics'!BG108,IF($AB$2="2020年",'Offer Statistics'!BG170)))</f>
        <v>619</v>
      </c>
      <c r="AD46" s="284">
        <f>IF($AB$2="2018年",'Offer Statistics'!BB46,IF($AB$2="2019年",'Offer Statistics'!BB108,IF($AB$2="2020年",'Offer Statistics'!BB170)))</f>
        <v>137</v>
      </c>
      <c r="AE46" s="284">
        <f>IF($AB$2="2018年",'Offer Statistics'!BC46,IF($AB$2="2019年",'Offer Statistics'!BC108,IF($AB$2="2020年",'Offer Statistics'!BC170)))</f>
        <v>87</v>
      </c>
      <c r="AF46" s="284">
        <f>IF($AB$2="2018年",'Offer Statistics'!BD46,IF($AB$2="2019年",'Offer Statistics'!BD108,IF($AB$2="2020年",'Offer Statistics'!BD170)))</f>
        <v>116</v>
      </c>
      <c r="AG46" s="284">
        <f>IF($AB$2="2018年",'Offer Statistics'!BE46,IF($AB$2="2019年",'Offer Statistics'!BE108,IF($AB$2="2020年",'Offer Statistics'!BE170)))</f>
        <v>147</v>
      </c>
      <c r="AH46" s="284">
        <f>IF($AB$2="2018年",'Offer Statistics'!BF46,IF($AB$2="2019年",'Offer Statistics'!BF108,IF($AB$2="2020年",'Offer Statistics'!BF170)))</f>
        <v>132</v>
      </c>
      <c r="AI46" s="298"/>
      <c r="AJ46" s="338" t="str">
        <f t="shared" si="2"/>
        <v>JS4682</v>
      </c>
    </row>
    <row r="47" spans="1:36" ht="18" customHeight="1">
      <c r="A47" s="10" t="s">
        <v>122</v>
      </c>
      <c r="B47" s="10" t="s">
        <v>295</v>
      </c>
      <c r="C47" s="10" t="s">
        <v>174</v>
      </c>
      <c r="D47" s="175" t="s">
        <v>2154</v>
      </c>
      <c r="E47" s="437" t="s">
        <v>59</v>
      </c>
      <c r="F47" s="176">
        <f>7*1.5+7*1.5+7*1.5+7+7</f>
        <v>45.5</v>
      </c>
      <c r="G47" s="176">
        <f>7*1.5+5*1.5+8.5*1.5+5.5+7</f>
        <v>43.25</v>
      </c>
      <c r="H47" s="176">
        <f>7*1.5+7*1.5+7+4*1.5+5.5</f>
        <v>39.5</v>
      </c>
      <c r="I47" s="193">
        <f>計分版!D210</f>
        <v>4.1000000000000003E-9</v>
      </c>
      <c r="J47" s="177">
        <f t="shared" si="3"/>
        <v>-43.249999995899998</v>
      </c>
      <c r="K47" s="178">
        <f t="shared" si="4"/>
        <v>-10548780486.804876</v>
      </c>
      <c r="L47" s="295">
        <v>20</v>
      </c>
      <c r="M47" s="381">
        <f>入學要求!S192</f>
        <v>0</v>
      </c>
      <c r="N47" s="370" t="s">
        <v>2188</v>
      </c>
      <c r="O47" s="296">
        <v>3</v>
      </c>
      <c r="P47" s="296">
        <v>3</v>
      </c>
      <c r="Q47" s="296">
        <v>4</v>
      </c>
      <c r="R47" s="296">
        <v>2</v>
      </c>
      <c r="S47" s="296">
        <v>4</v>
      </c>
      <c r="T47" s="296">
        <v>3</v>
      </c>
      <c r="U47" s="501"/>
      <c r="V47" s="295">
        <f>IF($U$2="2018年",'Offer Statistics'!BO47,IF($U$2="2019年",'Offer Statistics'!BO109,IF($U$2="2020年",'Offer Statistics'!BO171)))</f>
        <v>23</v>
      </c>
      <c r="W47" s="284">
        <f>IF($U$2="2018年",'Offer Statistics'!BJ47,IF($U$2="2019年",'Offer Statistics'!BJ109,IF($U$2="2020年",'Offer Statistics'!BJ171)))</f>
        <v>23</v>
      </c>
      <c r="X47" s="284">
        <f>IF($U$2="2018年",'Offer Statistics'!BK47,IF($U$2="2019年",'Offer Statistics'!BK109,IF($U$2="2020年",'Offer Statistics'!BK171)))</f>
        <v>0</v>
      </c>
      <c r="Y47" s="284">
        <f>IF($U$2="2018年",'Offer Statistics'!BL47,IF($U$2="2019年",'Offer Statistics'!BL109,IF($U$2="2020年",'Offer Statistics'!BL171)))</f>
        <v>0</v>
      </c>
      <c r="Z47" s="284">
        <f>IF($U$2="2018年",'Offer Statistics'!BM47,IF($U$2="2019年",'Offer Statistics'!BM109,IF($U$2="2020年",'Offer Statistics'!BM171)))</f>
        <v>0</v>
      </c>
      <c r="AA47" s="284">
        <f>IF($U$2="2018年",'Offer Statistics'!BN47,IF($U$2="2019年",'Offer Statistics'!BN109,IF($U$2="2020年",'Offer Statistics'!BN171)))</f>
        <v>0</v>
      </c>
      <c r="AB47" s="501"/>
      <c r="AC47" s="295">
        <f>IF($AB$2="2018年",'Offer Statistics'!BG47,IF($AB$2="2019年",'Offer Statistics'!BG109,IF($AB$2="2020年",'Offer Statistics'!BG171)))</f>
        <v>397</v>
      </c>
      <c r="AD47" s="284">
        <f>IF($AB$2="2018年",'Offer Statistics'!BB47,IF($AB$2="2019年",'Offer Statistics'!BB109,IF($AB$2="2020年",'Offer Statistics'!BB171)))</f>
        <v>75</v>
      </c>
      <c r="AE47" s="284">
        <f>IF($AB$2="2018年",'Offer Statistics'!BC47,IF($AB$2="2019年",'Offer Statistics'!BC109,IF($AB$2="2020年",'Offer Statistics'!BC171)))</f>
        <v>52</v>
      </c>
      <c r="AF47" s="284">
        <f>IF($AB$2="2018年",'Offer Statistics'!BD47,IF($AB$2="2019年",'Offer Statistics'!BD109,IF($AB$2="2020年",'Offer Statistics'!BD171)))</f>
        <v>92</v>
      </c>
      <c r="AG47" s="284">
        <f>IF($AB$2="2018年",'Offer Statistics'!BE47,IF($AB$2="2019年",'Offer Statistics'!BE109,IF($AB$2="2020年",'Offer Statistics'!BE171)))</f>
        <v>96</v>
      </c>
      <c r="AH47" s="284">
        <f>IF($AB$2="2018年",'Offer Statistics'!BF47,IF($AB$2="2019年",'Offer Statistics'!BF109,IF($AB$2="2020年",'Offer Statistics'!BF171)))</f>
        <v>82</v>
      </c>
      <c r="AI47" s="298"/>
      <c r="AJ47" s="338" t="str">
        <f t="shared" si="2"/>
        <v>JS4690</v>
      </c>
    </row>
    <row r="48" spans="1:36" s="11" customFormat="1" ht="18" customHeight="1">
      <c r="A48" s="10" t="s">
        <v>123</v>
      </c>
      <c r="B48" s="10" t="s">
        <v>295</v>
      </c>
      <c r="C48" s="10" t="s">
        <v>124</v>
      </c>
      <c r="D48" s="175" t="s">
        <v>2155</v>
      </c>
      <c r="E48" s="437" t="s">
        <v>189</v>
      </c>
      <c r="F48" s="176">
        <f>7*2+7*2+7+5.5+4</f>
        <v>44.5</v>
      </c>
      <c r="G48" s="176">
        <f>7*2+5.5*2+7+5.5+4</f>
        <v>41.5</v>
      </c>
      <c r="H48" s="176">
        <f>5.5*2+7*2+5.5+5.5+5.5</f>
        <v>41.5</v>
      </c>
      <c r="I48" s="193">
        <f>計分版!D211</f>
        <v>4.3500000000000001E-9</v>
      </c>
      <c r="J48" s="177">
        <f t="shared" si="3"/>
        <v>-41.499999995650001</v>
      </c>
      <c r="K48" s="178">
        <f t="shared" si="4"/>
        <v>-9540229884.0574703</v>
      </c>
      <c r="L48" s="295">
        <v>26</v>
      </c>
      <c r="M48" s="381">
        <f>入學要求!S193</f>
        <v>0</v>
      </c>
      <c r="N48" s="370" t="s">
        <v>2188</v>
      </c>
      <c r="O48" s="296">
        <v>3</v>
      </c>
      <c r="P48" s="296">
        <v>3</v>
      </c>
      <c r="Q48" s="296">
        <v>3</v>
      </c>
      <c r="R48" s="296">
        <v>2</v>
      </c>
      <c r="S48" s="296">
        <v>3</v>
      </c>
      <c r="T48" s="296">
        <v>3</v>
      </c>
      <c r="U48" s="501"/>
      <c r="V48" s="295">
        <f>IF($U$2="2018年",'Offer Statistics'!BO48,IF($U$2="2019年",'Offer Statistics'!BO110,IF($U$2="2020年",'Offer Statistics'!BO172)))</f>
        <v>26</v>
      </c>
      <c r="W48" s="284">
        <f>IF($U$2="2018年",'Offer Statistics'!BJ48,IF($U$2="2019年",'Offer Statistics'!BJ110,IF($U$2="2020年",'Offer Statistics'!BJ172)))</f>
        <v>26</v>
      </c>
      <c r="X48" s="284">
        <f>IF($U$2="2018年",'Offer Statistics'!BK48,IF($U$2="2019年",'Offer Statistics'!BK110,IF($U$2="2020年",'Offer Statistics'!BK172)))</f>
        <v>0</v>
      </c>
      <c r="Y48" s="284">
        <f>IF($U$2="2018年",'Offer Statistics'!BL48,IF($U$2="2019年",'Offer Statistics'!BL110,IF($U$2="2020年",'Offer Statistics'!BL172)))</f>
        <v>0</v>
      </c>
      <c r="Z48" s="284">
        <f>IF($U$2="2018年",'Offer Statistics'!BM48,IF($U$2="2019年",'Offer Statistics'!BM110,IF($U$2="2020年",'Offer Statistics'!BM172)))</f>
        <v>0</v>
      </c>
      <c r="AA48" s="284">
        <f>IF($U$2="2018年",'Offer Statistics'!BN48,IF($U$2="2019年",'Offer Statistics'!BN110,IF($U$2="2020年",'Offer Statistics'!BN172)))</f>
        <v>0</v>
      </c>
      <c r="AB48" s="501"/>
      <c r="AC48" s="295">
        <f>IF($AB$2="2018年",'Offer Statistics'!BG48,IF($AB$2="2019年",'Offer Statistics'!BG110,IF($AB$2="2020年",'Offer Statistics'!BG172)))</f>
        <v>751</v>
      </c>
      <c r="AD48" s="284">
        <f>IF($AB$2="2018年",'Offer Statistics'!BB48,IF($AB$2="2019年",'Offer Statistics'!BB110,IF($AB$2="2020年",'Offer Statistics'!BB172)))</f>
        <v>88</v>
      </c>
      <c r="AE48" s="284">
        <f>IF($AB$2="2018年",'Offer Statistics'!BC48,IF($AB$2="2019年",'Offer Statistics'!BC110,IF($AB$2="2020年",'Offer Statistics'!BC172)))</f>
        <v>69</v>
      </c>
      <c r="AF48" s="284">
        <f>IF($AB$2="2018年",'Offer Statistics'!BD48,IF($AB$2="2019年",'Offer Statistics'!BD110,IF($AB$2="2020年",'Offer Statistics'!BD172)))</f>
        <v>148</v>
      </c>
      <c r="AG48" s="284">
        <f>IF($AB$2="2018年",'Offer Statistics'!BE48,IF($AB$2="2019年",'Offer Statistics'!BE110,IF($AB$2="2020年",'Offer Statistics'!BE172)))</f>
        <v>224</v>
      </c>
      <c r="AH48" s="284">
        <f>IF($AB$2="2018年",'Offer Statistics'!BF48,IF($AB$2="2019年",'Offer Statistics'!BF110,IF($AB$2="2020年",'Offer Statistics'!BF172)))</f>
        <v>222</v>
      </c>
      <c r="AI48" s="298"/>
      <c r="AJ48" s="338" t="str">
        <f t="shared" si="2"/>
        <v>JS4719</v>
      </c>
    </row>
    <row r="49" spans="1:36" ht="18" customHeight="1">
      <c r="A49" s="10" t="s">
        <v>125</v>
      </c>
      <c r="B49" s="10" t="s">
        <v>296</v>
      </c>
      <c r="C49" s="10" t="s">
        <v>126</v>
      </c>
      <c r="D49" s="175" t="s">
        <v>1603</v>
      </c>
      <c r="E49" s="437" t="s">
        <v>189</v>
      </c>
      <c r="F49" s="176">
        <f>7*1.3+7+5.5+5.5+4</f>
        <v>31.1</v>
      </c>
      <c r="G49" s="176">
        <f>7+5.5*1.3+5.5+5.5+4</f>
        <v>29.15</v>
      </c>
      <c r="H49" s="176">
        <f>8.5+5.5+5.5+4*1.3+4</f>
        <v>28.7</v>
      </c>
      <c r="I49" s="193">
        <f>計分版!D212</f>
        <v>3.9500000000000006E-9</v>
      </c>
      <c r="J49" s="177">
        <f t="shared" si="3"/>
        <v>-29.149999996049999</v>
      </c>
      <c r="K49" s="178">
        <f t="shared" si="4"/>
        <v>-7379746834.443037</v>
      </c>
      <c r="L49" s="295">
        <v>65</v>
      </c>
      <c r="M49" s="381">
        <f>入學要求!S194</f>
        <v>0</v>
      </c>
      <c r="N49" s="366" t="s">
        <v>2193</v>
      </c>
      <c r="O49" s="296">
        <v>3</v>
      </c>
      <c r="P49" s="296">
        <v>3</v>
      </c>
      <c r="Q49" s="296">
        <v>2</v>
      </c>
      <c r="R49" s="296">
        <v>2</v>
      </c>
      <c r="S49" s="296">
        <v>3</v>
      </c>
      <c r="T49" s="296">
        <v>3</v>
      </c>
      <c r="U49" s="501"/>
      <c r="V49" s="295">
        <f>IF($U$2="2018年",'Offer Statistics'!BO49,IF($U$2="2019年",'Offer Statistics'!BO111,IF($U$2="2020年",'Offer Statistics'!BO173)))</f>
        <v>63</v>
      </c>
      <c r="W49" s="284">
        <f>IF($U$2="2018年",'Offer Statistics'!BJ49,IF($U$2="2019年",'Offer Statistics'!BJ111,IF($U$2="2020年",'Offer Statistics'!BJ173)))</f>
        <v>63</v>
      </c>
      <c r="X49" s="284">
        <f>IF($U$2="2018年",'Offer Statistics'!BK49,IF($U$2="2019年",'Offer Statistics'!BK111,IF($U$2="2020年",'Offer Statistics'!BK173)))</f>
        <v>0</v>
      </c>
      <c r="Y49" s="284">
        <f>IF($U$2="2018年",'Offer Statistics'!BL49,IF($U$2="2019年",'Offer Statistics'!BL111,IF($U$2="2020年",'Offer Statistics'!BL173)))</f>
        <v>0</v>
      </c>
      <c r="Z49" s="284">
        <f>IF($U$2="2018年",'Offer Statistics'!BM49,IF($U$2="2019年",'Offer Statistics'!BM111,IF($U$2="2020年",'Offer Statistics'!BM173)))</f>
        <v>0</v>
      </c>
      <c r="AA49" s="284">
        <f>IF($U$2="2018年",'Offer Statistics'!BN49,IF($U$2="2019年",'Offer Statistics'!BN111,IF($U$2="2020年",'Offer Statistics'!BN173)))</f>
        <v>0</v>
      </c>
      <c r="AB49" s="501"/>
      <c r="AC49" s="295">
        <f>IF($AB$2="2018年",'Offer Statistics'!BG49,IF($AB$2="2019年",'Offer Statistics'!BG111,IF($AB$2="2020年",'Offer Statistics'!BG173)))</f>
        <v>4236</v>
      </c>
      <c r="AD49" s="284">
        <f>IF($AB$2="2018年",'Offer Statistics'!BB49,IF($AB$2="2019年",'Offer Statistics'!BB111,IF($AB$2="2020年",'Offer Statistics'!BB173)))</f>
        <v>410</v>
      </c>
      <c r="AE49" s="284">
        <f>IF($AB$2="2018年",'Offer Statistics'!BC49,IF($AB$2="2019年",'Offer Statistics'!BC111,IF($AB$2="2020年",'Offer Statistics'!BC173)))</f>
        <v>426</v>
      </c>
      <c r="AF49" s="284">
        <f>IF($AB$2="2018年",'Offer Statistics'!BD49,IF($AB$2="2019年",'Offer Statistics'!BD111,IF($AB$2="2020年",'Offer Statistics'!BD173)))</f>
        <v>920</v>
      </c>
      <c r="AG49" s="284">
        <f>IF($AB$2="2018年",'Offer Statistics'!BE49,IF($AB$2="2019年",'Offer Statistics'!BE111,IF($AB$2="2020年",'Offer Statistics'!BE173)))</f>
        <v>1331</v>
      </c>
      <c r="AH49" s="284">
        <f>IF($AB$2="2018年",'Offer Statistics'!BF49,IF($AB$2="2019年",'Offer Statistics'!BF111,IF($AB$2="2020年",'Offer Statistics'!BF173)))</f>
        <v>1149</v>
      </c>
      <c r="AI49" s="298"/>
      <c r="AJ49" s="338" t="str">
        <f t="shared" si="2"/>
        <v>JS4801</v>
      </c>
    </row>
    <row r="50" spans="1:36" s="11" customFormat="1" ht="18" customHeight="1">
      <c r="A50" s="10" t="s">
        <v>127</v>
      </c>
      <c r="B50" s="10" t="s">
        <v>296</v>
      </c>
      <c r="C50" s="10" t="s">
        <v>128</v>
      </c>
      <c r="D50" s="175" t="s">
        <v>2156</v>
      </c>
      <c r="E50" s="249" t="s">
        <v>189</v>
      </c>
      <c r="F50" s="176">
        <f>8.5*1.5+7+5.5+7+4*1.5</f>
        <v>38.25</v>
      </c>
      <c r="G50" s="176">
        <f>7*1.5+7+5.5+4+4*1.5</f>
        <v>33</v>
      </c>
      <c r="H50" s="176">
        <f>7+7+5.5+5.5*1.5+4*1.5</f>
        <v>33.75</v>
      </c>
      <c r="I50" s="193">
        <f>計分版!D213</f>
        <v>3.9500000000000006E-9</v>
      </c>
      <c r="J50" s="177">
        <f t="shared" si="3"/>
        <v>-32.999999996050001</v>
      </c>
      <c r="K50" s="178">
        <f t="shared" si="4"/>
        <v>-8354430378.7468338</v>
      </c>
      <c r="L50" s="295">
        <v>32</v>
      </c>
      <c r="M50" s="381">
        <f>入學要求!S195</f>
        <v>0</v>
      </c>
      <c r="N50" s="298" t="s">
        <v>792</v>
      </c>
      <c r="O50" s="296">
        <v>3</v>
      </c>
      <c r="P50" s="296">
        <v>3</v>
      </c>
      <c r="Q50" s="296">
        <v>3</v>
      </c>
      <c r="R50" s="296">
        <v>3</v>
      </c>
      <c r="S50" s="296">
        <v>3</v>
      </c>
      <c r="T50" s="296">
        <v>3</v>
      </c>
      <c r="U50" s="501"/>
      <c r="V50" s="295">
        <f>IF($U$2="2018年",'Offer Statistics'!BO50,IF($U$2="2019年",'Offer Statistics'!BO112,IF($U$2="2020年",'Offer Statistics'!BO174)))</f>
        <v>21</v>
      </c>
      <c r="W50" s="284">
        <f>IF($U$2="2018年",'Offer Statistics'!BJ50,IF($U$2="2019年",'Offer Statistics'!BJ112,IF($U$2="2020年",'Offer Statistics'!BJ174)))</f>
        <v>21</v>
      </c>
      <c r="X50" s="284">
        <f>IF($U$2="2018年",'Offer Statistics'!BK50,IF($U$2="2019年",'Offer Statistics'!BK112,IF($U$2="2020年",'Offer Statistics'!BK174)))</f>
        <v>0</v>
      </c>
      <c r="Y50" s="284">
        <f>IF($U$2="2018年",'Offer Statistics'!BL50,IF($U$2="2019年",'Offer Statistics'!BL112,IF($U$2="2020年",'Offer Statistics'!BL174)))</f>
        <v>0</v>
      </c>
      <c r="Z50" s="284">
        <f>IF($U$2="2018年",'Offer Statistics'!BM50,IF($U$2="2019年",'Offer Statistics'!BM112,IF($U$2="2020年",'Offer Statistics'!BM174)))</f>
        <v>0</v>
      </c>
      <c r="AA50" s="284">
        <f>IF($U$2="2018年",'Offer Statistics'!BN50,IF($U$2="2019年",'Offer Statistics'!BN112,IF($U$2="2020年",'Offer Statistics'!BN174)))</f>
        <v>0</v>
      </c>
      <c r="AB50" s="501"/>
      <c r="AC50" s="295">
        <f>IF($AB$2="2018年",'Offer Statistics'!BG50,IF($AB$2="2019年",'Offer Statistics'!BG112,IF($AB$2="2020年",'Offer Statistics'!BG174)))</f>
        <v>1028</v>
      </c>
      <c r="AD50" s="284">
        <f>IF($AB$2="2018年",'Offer Statistics'!BB50,IF($AB$2="2019年",'Offer Statistics'!BB112,IF($AB$2="2020年",'Offer Statistics'!BB174)))</f>
        <v>179</v>
      </c>
      <c r="AE50" s="284">
        <f>IF($AB$2="2018年",'Offer Statistics'!BC50,IF($AB$2="2019年",'Offer Statistics'!BC112,IF($AB$2="2020年",'Offer Statistics'!BC174)))</f>
        <v>97</v>
      </c>
      <c r="AF50" s="284">
        <f>IF($AB$2="2018年",'Offer Statistics'!BD50,IF($AB$2="2019年",'Offer Statistics'!BD112,IF($AB$2="2020年",'Offer Statistics'!BD174)))</f>
        <v>202</v>
      </c>
      <c r="AG50" s="284">
        <f>IF($AB$2="2018年",'Offer Statistics'!BE50,IF($AB$2="2019年",'Offer Statistics'!BE112,IF($AB$2="2020年",'Offer Statistics'!BE174)))</f>
        <v>268</v>
      </c>
      <c r="AH50" s="284">
        <f>IF($AB$2="2018年",'Offer Statistics'!BF50,IF($AB$2="2019年",'Offer Statistics'!BF112,IF($AB$2="2020年",'Offer Statistics'!BF174)))</f>
        <v>282</v>
      </c>
      <c r="AI50" s="298"/>
      <c r="AJ50" s="338" t="str">
        <f t="shared" si="2"/>
        <v>JS4812</v>
      </c>
    </row>
    <row r="51" spans="1:36" ht="18" customHeight="1">
      <c r="A51" s="10" t="s">
        <v>129</v>
      </c>
      <c r="B51" s="10" t="s">
        <v>296</v>
      </c>
      <c r="C51" s="10" t="s">
        <v>175</v>
      </c>
      <c r="D51" s="175" t="s">
        <v>2157</v>
      </c>
      <c r="E51" s="437" t="s">
        <v>189</v>
      </c>
      <c r="F51" s="176">
        <f>7*1.5+5.5*1.5+5.5+4+4</f>
        <v>32.25</v>
      </c>
      <c r="G51" s="176">
        <f>7*1.5+5.5+5.5+4*1.5+3</f>
        <v>30.5</v>
      </c>
      <c r="H51" s="176">
        <f>5.5*1.5+5.5+5.5+4*1.5+4</f>
        <v>29.25</v>
      </c>
      <c r="I51" s="193">
        <f>計分版!D214</f>
        <v>4.1000000000000003E-9</v>
      </c>
      <c r="J51" s="177">
        <f t="shared" si="3"/>
        <v>-30.499999995900001</v>
      </c>
      <c r="K51" s="178">
        <f t="shared" si="4"/>
        <v>-7439024389.2439022</v>
      </c>
      <c r="L51" s="295">
        <v>67</v>
      </c>
      <c r="M51" s="381">
        <f>入學要求!S196</f>
        <v>0</v>
      </c>
      <c r="N51" s="370" t="s">
        <v>2194</v>
      </c>
      <c r="O51" s="296">
        <v>3</v>
      </c>
      <c r="P51" s="296">
        <v>3</v>
      </c>
      <c r="Q51" s="296">
        <v>3</v>
      </c>
      <c r="R51" s="296">
        <v>2</v>
      </c>
      <c r="S51" s="296">
        <v>3</v>
      </c>
      <c r="T51" s="296">
        <v>3</v>
      </c>
      <c r="U51" s="501"/>
      <c r="V51" s="295">
        <f>IF($U$2="2018年",'Offer Statistics'!BO51,IF($U$2="2019年",'Offer Statistics'!BO113,IF($U$2="2020年",'Offer Statistics'!BO175)))</f>
        <v>60</v>
      </c>
      <c r="W51" s="284">
        <f>IF($U$2="2018年",'Offer Statistics'!BJ51,IF($U$2="2019年",'Offer Statistics'!BJ113,IF($U$2="2020年",'Offer Statistics'!BJ175)))</f>
        <v>60</v>
      </c>
      <c r="X51" s="284">
        <f>IF($U$2="2018年",'Offer Statistics'!BK51,IF($U$2="2019年",'Offer Statistics'!BK113,IF($U$2="2020年",'Offer Statistics'!BK175)))</f>
        <v>0</v>
      </c>
      <c r="Y51" s="284">
        <f>IF($U$2="2018年",'Offer Statistics'!BL51,IF($U$2="2019年",'Offer Statistics'!BL113,IF($U$2="2020年",'Offer Statistics'!BL175)))</f>
        <v>0</v>
      </c>
      <c r="Z51" s="284">
        <f>IF($U$2="2018年",'Offer Statistics'!BM51,IF($U$2="2019年",'Offer Statistics'!BM113,IF($U$2="2020年",'Offer Statistics'!BM175)))</f>
        <v>0</v>
      </c>
      <c r="AA51" s="284">
        <f>IF($U$2="2018年",'Offer Statistics'!BN51,IF($U$2="2019年",'Offer Statistics'!BN113,IF($U$2="2020年",'Offer Statistics'!BN175)))</f>
        <v>0</v>
      </c>
      <c r="AB51" s="501"/>
      <c r="AC51" s="295">
        <f>IF($AB$2="2018年",'Offer Statistics'!BG51,IF($AB$2="2019年",'Offer Statistics'!BG113,IF($AB$2="2020年",'Offer Statistics'!BG175)))</f>
        <v>2586</v>
      </c>
      <c r="AD51" s="284">
        <f>IF($AB$2="2018年",'Offer Statistics'!BB51,IF($AB$2="2019年",'Offer Statistics'!BB113,IF($AB$2="2020年",'Offer Statistics'!BB175)))</f>
        <v>482</v>
      </c>
      <c r="AE51" s="284">
        <f>IF($AB$2="2018年",'Offer Statistics'!BC51,IF($AB$2="2019年",'Offer Statistics'!BC113,IF($AB$2="2020年",'Offer Statistics'!BC175)))</f>
        <v>313</v>
      </c>
      <c r="AF51" s="284">
        <f>IF($AB$2="2018年",'Offer Statistics'!BD51,IF($AB$2="2019年",'Offer Statistics'!BD113,IF($AB$2="2020年",'Offer Statistics'!BD175)))</f>
        <v>538</v>
      </c>
      <c r="AG51" s="284">
        <f>IF($AB$2="2018年",'Offer Statistics'!BE51,IF($AB$2="2019年",'Offer Statistics'!BE113,IF($AB$2="2020年",'Offer Statistics'!BE175)))</f>
        <v>687</v>
      </c>
      <c r="AH51" s="284">
        <f>IF($AB$2="2018年",'Offer Statistics'!BF51,IF($AB$2="2019年",'Offer Statistics'!BF113,IF($AB$2="2020年",'Offer Statistics'!BF175)))</f>
        <v>566</v>
      </c>
      <c r="AI51" s="298"/>
      <c r="AJ51" s="338" t="str">
        <f t="shared" si="2"/>
        <v>JS4824</v>
      </c>
    </row>
    <row r="52" spans="1:36" s="11" customFormat="1" ht="18" customHeight="1">
      <c r="A52" s="10" t="s">
        <v>130</v>
      </c>
      <c r="B52" s="10" t="s">
        <v>296</v>
      </c>
      <c r="C52" s="10" t="s">
        <v>176</v>
      </c>
      <c r="D52" s="175" t="s">
        <v>1607</v>
      </c>
      <c r="E52" s="437" t="s">
        <v>189</v>
      </c>
      <c r="F52" s="176">
        <f>8.5+7+5.5+4*1.5+4</f>
        <v>31</v>
      </c>
      <c r="G52" s="176">
        <f>7+5.5*1.5+5.5+4+4</f>
        <v>28.75</v>
      </c>
      <c r="H52" s="176">
        <f>7+5.5+4*1.5+4+4</f>
        <v>26.5</v>
      </c>
      <c r="I52" s="193">
        <f>計分版!D215</f>
        <v>3.9500000000000006E-9</v>
      </c>
      <c r="J52" s="177">
        <f t="shared" si="3"/>
        <v>-28.749999996050001</v>
      </c>
      <c r="K52" s="178">
        <f t="shared" si="4"/>
        <v>-7278481011.658227</v>
      </c>
      <c r="L52" s="295">
        <v>40</v>
      </c>
      <c r="M52" s="381">
        <f>入學要求!S197</f>
        <v>0</v>
      </c>
      <c r="N52" s="370" t="s">
        <v>2188</v>
      </c>
      <c r="O52" s="296">
        <v>3</v>
      </c>
      <c r="P52" s="296">
        <v>3</v>
      </c>
      <c r="Q52" s="296">
        <v>2</v>
      </c>
      <c r="R52" s="296">
        <v>2</v>
      </c>
      <c r="S52" s="296">
        <v>3</v>
      </c>
      <c r="T52" s="296">
        <v>3</v>
      </c>
      <c r="U52" s="501"/>
      <c r="V52" s="295">
        <f>IF($U$2="2018年",'Offer Statistics'!BO52,IF($U$2="2019年",'Offer Statistics'!BO114,IF($U$2="2020年",'Offer Statistics'!BO176)))</f>
        <v>40</v>
      </c>
      <c r="W52" s="284">
        <f>IF($U$2="2018年",'Offer Statistics'!BJ52,IF($U$2="2019年",'Offer Statistics'!BJ114,IF($U$2="2020年",'Offer Statistics'!BJ176)))</f>
        <v>40</v>
      </c>
      <c r="X52" s="284">
        <f>IF($U$2="2018年",'Offer Statistics'!BK52,IF($U$2="2019年",'Offer Statistics'!BK114,IF($U$2="2020年",'Offer Statistics'!BK176)))</f>
        <v>0</v>
      </c>
      <c r="Y52" s="284">
        <f>IF($U$2="2018年",'Offer Statistics'!BL52,IF($U$2="2019年",'Offer Statistics'!BL114,IF($U$2="2020年",'Offer Statistics'!BL176)))</f>
        <v>0</v>
      </c>
      <c r="Z52" s="284">
        <f>IF($U$2="2018年",'Offer Statistics'!BM52,IF($U$2="2019年",'Offer Statistics'!BM114,IF($U$2="2020年",'Offer Statistics'!BM176)))</f>
        <v>0</v>
      </c>
      <c r="AA52" s="284">
        <f>IF($U$2="2018年",'Offer Statistics'!BN52,IF($U$2="2019年",'Offer Statistics'!BN114,IF($U$2="2020年",'Offer Statistics'!BN176)))</f>
        <v>0</v>
      </c>
      <c r="AB52" s="501"/>
      <c r="AC52" s="295">
        <f>IF($AB$2="2018年",'Offer Statistics'!BG52,IF($AB$2="2019年",'Offer Statistics'!BG114,IF($AB$2="2020年",'Offer Statistics'!BG176)))</f>
        <v>1548</v>
      </c>
      <c r="AD52" s="284">
        <f>IF($AB$2="2018年",'Offer Statistics'!BB52,IF($AB$2="2019年",'Offer Statistics'!BB114,IF($AB$2="2020年",'Offer Statistics'!BB176)))</f>
        <v>208</v>
      </c>
      <c r="AE52" s="284">
        <f>IF($AB$2="2018年",'Offer Statistics'!BC52,IF($AB$2="2019年",'Offer Statistics'!BC114,IF($AB$2="2020年",'Offer Statistics'!BC176)))</f>
        <v>197</v>
      </c>
      <c r="AF52" s="284">
        <f>IF($AB$2="2018年",'Offer Statistics'!BD52,IF($AB$2="2019年",'Offer Statistics'!BD114,IF($AB$2="2020年",'Offer Statistics'!BD176)))</f>
        <v>309</v>
      </c>
      <c r="AG52" s="284">
        <f>IF($AB$2="2018年",'Offer Statistics'!BE52,IF($AB$2="2019年",'Offer Statistics'!BE114,IF($AB$2="2020年",'Offer Statistics'!BE176)))</f>
        <v>429</v>
      </c>
      <c r="AH52" s="284">
        <f>IF($AB$2="2018年",'Offer Statistics'!BF52,IF($AB$2="2019年",'Offer Statistics'!BF114,IF($AB$2="2020年",'Offer Statistics'!BF176)))</f>
        <v>405</v>
      </c>
      <c r="AI52" s="298"/>
      <c r="AJ52" s="338" t="str">
        <f t="shared" si="2"/>
        <v>JS4836</v>
      </c>
    </row>
    <row r="53" spans="1:36" ht="18" customHeight="1">
      <c r="A53" s="175" t="s">
        <v>131</v>
      </c>
      <c r="B53" s="175" t="s">
        <v>296</v>
      </c>
      <c r="C53" s="175" t="s">
        <v>132</v>
      </c>
      <c r="D53" s="175" t="s">
        <v>2158</v>
      </c>
      <c r="E53" s="307" t="s">
        <v>189</v>
      </c>
      <c r="F53" s="176">
        <f>7+5.5+5.5+5.5+5.5</f>
        <v>29</v>
      </c>
      <c r="G53" s="176">
        <f>7+5.5+5.5+4+3</f>
        <v>25</v>
      </c>
      <c r="H53" s="176">
        <f>5.5+5.5+5.5+4+4</f>
        <v>24.5</v>
      </c>
      <c r="I53" s="193">
        <f>計分版!D216</f>
        <v>3.9500000000000006E-9</v>
      </c>
      <c r="J53" s="177">
        <f t="shared" si="3"/>
        <v>-24.999999996050001</v>
      </c>
      <c r="K53" s="178">
        <f t="shared" si="4"/>
        <v>-6329113923.0506325</v>
      </c>
      <c r="L53" s="295">
        <v>20</v>
      </c>
      <c r="M53" s="381">
        <f>入學要求!S198</f>
        <v>0</v>
      </c>
      <c r="N53" s="370" t="s">
        <v>2188</v>
      </c>
      <c r="O53" s="296">
        <v>3</v>
      </c>
      <c r="P53" s="296">
        <v>3</v>
      </c>
      <c r="Q53" s="296">
        <v>2</v>
      </c>
      <c r="R53" s="296">
        <v>2</v>
      </c>
      <c r="S53" s="296">
        <v>3</v>
      </c>
      <c r="T53" s="296">
        <v>3</v>
      </c>
      <c r="U53" s="501"/>
      <c r="V53" s="295">
        <f>IF($U$2="2018年",'Offer Statistics'!BO53,IF($U$2="2019年",'Offer Statistics'!BO115,IF($U$2="2020年",'Offer Statistics'!BO177)))</f>
        <v>22</v>
      </c>
      <c r="W53" s="284">
        <f>IF($U$2="2018年",'Offer Statistics'!BJ53,IF($U$2="2019年",'Offer Statistics'!BJ115,IF($U$2="2020年",'Offer Statistics'!BJ177)))</f>
        <v>22</v>
      </c>
      <c r="X53" s="284">
        <f>IF($U$2="2018年",'Offer Statistics'!BK53,IF($U$2="2019年",'Offer Statistics'!BK115,IF($U$2="2020年",'Offer Statistics'!BK177)))</f>
        <v>0</v>
      </c>
      <c r="Y53" s="284">
        <f>IF($U$2="2018年",'Offer Statistics'!BL53,IF($U$2="2019年",'Offer Statistics'!BL115,IF($U$2="2020年",'Offer Statistics'!BL177)))</f>
        <v>0</v>
      </c>
      <c r="Z53" s="284">
        <f>IF($U$2="2018年",'Offer Statistics'!BM53,IF($U$2="2019年",'Offer Statistics'!BM115,IF($U$2="2020年",'Offer Statistics'!BM177)))</f>
        <v>0</v>
      </c>
      <c r="AA53" s="284">
        <f>IF($U$2="2018年",'Offer Statistics'!BN53,IF($U$2="2019年",'Offer Statistics'!BN115,IF($U$2="2020年",'Offer Statistics'!BN177)))</f>
        <v>0</v>
      </c>
      <c r="AB53" s="501"/>
      <c r="AC53" s="295">
        <f>IF($AB$2="2018年",'Offer Statistics'!BG53,IF($AB$2="2019年",'Offer Statistics'!BG115,IF($AB$2="2020年",'Offer Statistics'!BG177)))</f>
        <v>1494</v>
      </c>
      <c r="AD53" s="284">
        <f>IF($AB$2="2018年",'Offer Statistics'!BB53,IF($AB$2="2019年",'Offer Statistics'!BB115,IF($AB$2="2020年",'Offer Statistics'!BB177)))</f>
        <v>165</v>
      </c>
      <c r="AE53" s="284">
        <f>IF($AB$2="2018年",'Offer Statistics'!BC53,IF($AB$2="2019年",'Offer Statistics'!BC115,IF($AB$2="2020年",'Offer Statistics'!BC177)))</f>
        <v>154</v>
      </c>
      <c r="AF53" s="284">
        <f>IF($AB$2="2018年",'Offer Statistics'!BD53,IF($AB$2="2019年",'Offer Statistics'!BD115,IF($AB$2="2020年",'Offer Statistics'!BD177)))</f>
        <v>293</v>
      </c>
      <c r="AG53" s="284">
        <f>IF($AB$2="2018年",'Offer Statistics'!BE53,IF($AB$2="2019年",'Offer Statistics'!BE115,IF($AB$2="2020年",'Offer Statistics'!BE177)))</f>
        <v>448</v>
      </c>
      <c r="AH53" s="284">
        <f>IF($AB$2="2018年",'Offer Statistics'!BF53,IF($AB$2="2019年",'Offer Statistics'!BF115,IF($AB$2="2020年",'Offer Statistics'!BF177)))</f>
        <v>434</v>
      </c>
      <c r="AI53" s="298"/>
      <c r="AJ53" s="338" t="str">
        <f t="shared" si="2"/>
        <v>JS4838</v>
      </c>
    </row>
    <row r="54" spans="1:36" s="11" customFormat="1" ht="18" customHeight="1">
      <c r="A54" s="175" t="s">
        <v>133</v>
      </c>
      <c r="B54" s="175" t="s">
        <v>296</v>
      </c>
      <c r="C54" s="175" t="s">
        <v>134</v>
      </c>
      <c r="D54" s="175" t="s">
        <v>2159</v>
      </c>
      <c r="E54" s="437" t="s">
        <v>190</v>
      </c>
      <c r="F54" s="176">
        <f>4*1.25+4*1.5+4+7*1.25+8.5+5.5</f>
        <v>37.75</v>
      </c>
      <c r="G54" s="176">
        <f>5.5*1.25+4*1.5+4+8.5*1.25+4+4</f>
        <v>35.5</v>
      </c>
      <c r="H54" s="176">
        <f>5.5*1.25+5.5*1.5+5.5+4*1.25+4+4</f>
        <v>33.625</v>
      </c>
      <c r="I54" s="193">
        <f>計分版!D217</f>
        <v>3.0750000000000002E-9</v>
      </c>
      <c r="J54" s="177">
        <f t="shared" si="3"/>
        <v>-35.499999996924998</v>
      </c>
      <c r="K54" s="178">
        <f t="shared" si="4"/>
        <v>-11544715446.15447</v>
      </c>
      <c r="L54" s="295">
        <v>38</v>
      </c>
      <c r="M54" s="381">
        <f>入學要求!S199</f>
        <v>0</v>
      </c>
      <c r="N54" s="370" t="s">
        <v>2188</v>
      </c>
      <c r="O54" s="296">
        <v>3</v>
      </c>
      <c r="P54" s="296">
        <v>3</v>
      </c>
      <c r="Q54" s="296">
        <v>2</v>
      </c>
      <c r="R54" s="296">
        <v>3</v>
      </c>
      <c r="S54" s="296">
        <v>3</v>
      </c>
      <c r="T54" s="296">
        <v>3</v>
      </c>
      <c r="U54" s="501"/>
      <c r="V54" s="295">
        <f>IF($U$2="2018年",'Offer Statistics'!BO54,IF($U$2="2019年",'Offer Statistics'!BO116,IF($U$2="2020年",'Offer Statistics'!BO178)))</f>
        <v>37</v>
      </c>
      <c r="W54" s="284">
        <f>IF($U$2="2018年",'Offer Statistics'!BJ54,IF($U$2="2019年",'Offer Statistics'!BJ116,IF($U$2="2020年",'Offer Statistics'!BJ178)))</f>
        <v>37</v>
      </c>
      <c r="X54" s="284">
        <f>IF($U$2="2018年",'Offer Statistics'!BK54,IF($U$2="2019年",'Offer Statistics'!BK116,IF($U$2="2020年",'Offer Statistics'!BK178)))</f>
        <v>0</v>
      </c>
      <c r="Y54" s="284">
        <f>IF($U$2="2018年",'Offer Statistics'!BL54,IF($U$2="2019年",'Offer Statistics'!BL116,IF($U$2="2020年",'Offer Statistics'!BL178)))</f>
        <v>0</v>
      </c>
      <c r="Z54" s="284">
        <f>IF($U$2="2018年",'Offer Statistics'!BM54,IF($U$2="2019年",'Offer Statistics'!BM116,IF($U$2="2020年",'Offer Statistics'!BM178)))</f>
        <v>0</v>
      </c>
      <c r="AA54" s="284">
        <f>IF($U$2="2018年",'Offer Statistics'!BN54,IF($U$2="2019年",'Offer Statistics'!BN116,IF($U$2="2020年",'Offer Statistics'!BN178)))</f>
        <v>0</v>
      </c>
      <c r="AB54" s="501"/>
      <c r="AC54" s="295">
        <f>IF($AB$2="2018年",'Offer Statistics'!BG54,IF($AB$2="2019年",'Offer Statistics'!BG116,IF($AB$2="2020年",'Offer Statistics'!BG178)))</f>
        <v>1158</v>
      </c>
      <c r="AD54" s="284">
        <f>IF($AB$2="2018年",'Offer Statistics'!BB54,IF($AB$2="2019年",'Offer Statistics'!BB116,IF($AB$2="2020年",'Offer Statistics'!BB178)))</f>
        <v>125</v>
      </c>
      <c r="AE54" s="284">
        <f>IF($AB$2="2018年",'Offer Statistics'!BC54,IF($AB$2="2019年",'Offer Statistics'!BC116,IF($AB$2="2020年",'Offer Statistics'!BC178)))</f>
        <v>125</v>
      </c>
      <c r="AF54" s="284">
        <f>IF($AB$2="2018年",'Offer Statistics'!BD54,IF($AB$2="2019年",'Offer Statistics'!BD116,IF($AB$2="2020年",'Offer Statistics'!BD178)))</f>
        <v>227</v>
      </c>
      <c r="AG54" s="284">
        <f>IF($AB$2="2018年",'Offer Statistics'!BE54,IF($AB$2="2019年",'Offer Statistics'!BE116,IF($AB$2="2020年",'Offer Statistics'!BE178)))</f>
        <v>373</v>
      </c>
      <c r="AH54" s="284">
        <f>IF($AB$2="2018年",'Offer Statistics'!BF54,IF($AB$2="2019年",'Offer Statistics'!BF116,IF($AB$2="2020年",'Offer Statistics'!BF178)))</f>
        <v>308</v>
      </c>
      <c r="AI54" s="298"/>
      <c r="AJ54" s="338" t="str">
        <f t="shared" si="2"/>
        <v>JS4848</v>
      </c>
    </row>
    <row r="55" spans="1:36" ht="18" customHeight="1">
      <c r="A55" s="175" t="s">
        <v>135</v>
      </c>
      <c r="B55" s="175" t="s">
        <v>296</v>
      </c>
      <c r="C55" s="175" t="s">
        <v>136</v>
      </c>
      <c r="D55" s="175" t="s">
        <v>1611</v>
      </c>
      <c r="E55" s="437" t="s">
        <v>189</v>
      </c>
      <c r="F55" s="176">
        <f>8.5+8.5+7+5.5*1.3+4*1.3</f>
        <v>36.35</v>
      </c>
      <c r="G55" s="176">
        <f>8.5*1.3+8.5+5.5*1.3+4+4</f>
        <v>34.700000000000003</v>
      </c>
      <c r="H55" s="176">
        <f>8.5*1.3+5.5+5.5+5.5*1.3+4</f>
        <v>33.200000000000003</v>
      </c>
      <c r="I55" s="193">
        <f>計分版!D218</f>
        <v>3.9500000000000006E-9</v>
      </c>
      <c r="J55" s="177">
        <f t="shared" si="3"/>
        <v>-34.699999996050003</v>
      </c>
      <c r="K55" s="178">
        <f t="shared" si="4"/>
        <v>-8784810125.5822773</v>
      </c>
      <c r="L55" s="295">
        <v>43</v>
      </c>
      <c r="M55" s="381">
        <f>入學要求!S200</f>
        <v>0</v>
      </c>
      <c r="N55" s="298" t="s">
        <v>792</v>
      </c>
      <c r="O55" s="296">
        <v>3</v>
      </c>
      <c r="P55" s="296">
        <v>3</v>
      </c>
      <c r="Q55" s="296">
        <v>2</v>
      </c>
      <c r="R55" s="296">
        <v>2</v>
      </c>
      <c r="S55" s="296">
        <v>3</v>
      </c>
      <c r="T55" s="296">
        <v>3</v>
      </c>
      <c r="U55" s="501"/>
      <c r="V55" s="295">
        <f>IF($U$2="2018年",'Offer Statistics'!BO55,IF($U$2="2019年",'Offer Statistics'!BO117,IF($U$2="2020年",'Offer Statistics'!BO179)))</f>
        <v>41</v>
      </c>
      <c r="W55" s="284">
        <f>IF($U$2="2018年",'Offer Statistics'!BJ55,IF($U$2="2019年",'Offer Statistics'!BJ117,IF($U$2="2020年",'Offer Statistics'!BJ179)))</f>
        <v>41</v>
      </c>
      <c r="X55" s="284">
        <f>IF($U$2="2018年",'Offer Statistics'!BK55,IF($U$2="2019年",'Offer Statistics'!BK117,IF($U$2="2020年",'Offer Statistics'!BK179)))</f>
        <v>0</v>
      </c>
      <c r="Y55" s="284">
        <f>IF($U$2="2018年",'Offer Statistics'!BL55,IF($U$2="2019年",'Offer Statistics'!BL117,IF($U$2="2020年",'Offer Statistics'!BL179)))</f>
        <v>0</v>
      </c>
      <c r="Z55" s="284">
        <f>IF($U$2="2018年",'Offer Statistics'!BM55,IF($U$2="2019年",'Offer Statistics'!BM117,IF($U$2="2020年",'Offer Statistics'!BM179)))</f>
        <v>0</v>
      </c>
      <c r="AA55" s="284">
        <f>IF($U$2="2018年",'Offer Statistics'!BN55,IF($U$2="2019年",'Offer Statistics'!BN117,IF($U$2="2020年",'Offer Statistics'!BN179)))</f>
        <v>0</v>
      </c>
      <c r="AB55" s="501"/>
      <c r="AC55" s="295">
        <f>IF($AB$2="2018年",'Offer Statistics'!BG55,IF($AB$2="2019年",'Offer Statistics'!BG117,IF($AB$2="2020年",'Offer Statistics'!BG179)))</f>
        <v>1832</v>
      </c>
      <c r="AD55" s="284">
        <f>IF($AB$2="2018年",'Offer Statistics'!BB55,IF($AB$2="2019年",'Offer Statistics'!BB117,IF($AB$2="2020年",'Offer Statistics'!BB179)))</f>
        <v>150</v>
      </c>
      <c r="AE55" s="284">
        <f>IF($AB$2="2018年",'Offer Statistics'!BC55,IF($AB$2="2019年",'Offer Statistics'!BC117,IF($AB$2="2020年",'Offer Statistics'!BC179)))</f>
        <v>196</v>
      </c>
      <c r="AF55" s="284">
        <f>IF($AB$2="2018年",'Offer Statistics'!BD55,IF($AB$2="2019年",'Offer Statistics'!BD117,IF($AB$2="2020年",'Offer Statistics'!BD179)))</f>
        <v>349</v>
      </c>
      <c r="AG55" s="284">
        <f>IF($AB$2="2018年",'Offer Statistics'!BE55,IF($AB$2="2019年",'Offer Statistics'!BE117,IF($AB$2="2020年",'Offer Statistics'!BE179)))</f>
        <v>602</v>
      </c>
      <c r="AH55" s="284">
        <f>IF($AB$2="2018年",'Offer Statistics'!BF55,IF($AB$2="2019年",'Offer Statistics'!BF117,IF($AB$2="2020年",'Offer Statistics'!BF179)))</f>
        <v>535</v>
      </c>
      <c r="AI55" s="298"/>
      <c r="AJ55" s="338" t="str">
        <f t="shared" si="2"/>
        <v>JS4850</v>
      </c>
    </row>
    <row r="56" spans="1:36" s="11" customFormat="1" ht="18" customHeight="1">
      <c r="A56" s="10" t="s">
        <v>177</v>
      </c>
      <c r="B56" s="10" t="s">
        <v>296</v>
      </c>
      <c r="C56" s="175" t="s">
        <v>178</v>
      </c>
      <c r="D56" s="175" t="s">
        <v>2160</v>
      </c>
      <c r="E56" s="437" t="s">
        <v>189</v>
      </c>
      <c r="F56" s="176">
        <f>8.5*1.3+7+5.5+5.5+5.5</f>
        <v>34.549999999999997</v>
      </c>
      <c r="G56" s="176">
        <f>7*1.3+7+7+5.5+4</f>
        <v>32.6</v>
      </c>
      <c r="H56" s="176">
        <f>8.5*1.3+7+4+4+4</f>
        <v>30.05</v>
      </c>
      <c r="I56" s="193">
        <f>計分版!D219</f>
        <v>3.9500000000000006E-9</v>
      </c>
      <c r="J56" s="177">
        <f t="shared" si="3"/>
        <v>-32.599999996050002</v>
      </c>
      <c r="K56" s="178">
        <f t="shared" si="4"/>
        <v>-8253164555.9620247</v>
      </c>
      <c r="L56" s="295">
        <v>10</v>
      </c>
      <c r="M56" s="381">
        <f>入學要求!S201</f>
        <v>0</v>
      </c>
      <c r="N56" s="298" t="s">
        <v>792</v>
      </c>
      <c r="O56" s="296">
        <v>3</v>
      </c>
      <c r="P56" s="296">
        <v>4</v>
      </c>
      <c r="Q56" s="296">
        <v>2</v>
      </c>
      <c r="R56" s="296">
        <v>2</v>
      </c>
      <c r="S56" s="296">
        <v>3</v>
      </c>
      <c r="T56" s="296">
        <v>3</v>
      </c>
      <c r="U56" s="501"/>
      <c r="V56" s="295">
        <f>IF($U$2="2018年",'Offer Statistics'!BO56,IF($U$2="2019年",'Offer Statistics'!BO118,IF($U$2="2020年",'Offer Statistics'!BO180)))</f>
        <v>12</v>
      </c>
      <c r="W56" s="284">
        <f>IF($U$2="2018年",'Offer Statistics'!BJ56,IF($U$2="2019年",'Offer Statistics'!BJ118,IF($U$2="2020年",'Offer Statistics'!BJ180)))</f>
        <v>12</v>
      </c>
      <c r="X56" s="284">
        <f>IF($U$2="2018年",'Offer Statistics'!BK56,IF($U$2="2019年",'Offer Statistics'!BK118,IF($U$2="2020年",'Offer Statistics'!BK180)))</f>
        <v>0</v>
      </c>
      <c r="Y56" s="284">
        <f>IF($U$2="2018年",'Offer Statistics'!BL56,IF($U$2="2019年",'Offer Statistics'!BL118,IF($U$2="2020年",'Offer Statistics'!BL180)))</f>
        <v>0</v>
      </c>
      <c r="Z56" s="284">
        <f>IF($U$2="2018年",'Offer Statistics'!BM56,IF($U$2="2019年",'Offer Statistics'!BM118,IF($U$2="2020年",'Offer Statistics'!BM180)))</f>
        <v>0</v>
      </c>
      <c r="AA56" s="284">
        <f>IF($U$2="2018年",'Offer Statistics'!BN56,IF($U$2="2019年",'Offer Statistics'!BN118,IF($U$2="2020年",'Offer Statistics'!BN180)))</f>
        <v>0</v>
      </c>
      <c r="AB56" s="501"/>
      <c r="AC56" s="295">
        <f>IF($AB$2="2018年",'Offer Statistics'!BG56,IF($AB$2="2019年",'Offer Statistics'!BG118,IF($AB$2="2020年",'Offer Statistics'!BG180)))</f>
        <v>643</v>
      </c>
      <c r="AD56" s="284">
        <f>IF($AB$2="2018年",'Offer Statistics'!BB56,IF($AB$2="2019年",'Offer Statistics'!BB118,IF($AB$2="2020年",'Offer Statistics'!BB180)))</f>
        <v>51</v>
      </c>
      <c r="AE56" s="284">
        <f>IF($AB$2="2018年",'Offer Statistics'!BC56,IF($AB$2="2019年",'Offer Statistics'!BC118,IF($AB$2="2020年",'Offer Statistics'!BC180)))</f>
        <v>63</v>
      </c>
      <c r="AF56" s="284">
        <f>IF($AB$2="2018年",'Offer Statistics'!BD56,IF($AB$2="2019年",'Offer Statistics'!BD118,IF($AB$2="2020年",'Offer Statistics'!BD180)))</f>
        <v>132</v>
      </c>
      <c r="AG56" s="284">
        <f>IF($AB$2="2018年",'Offer Statistics'!BE56,IF($AB$2="2019年",'Offer Statistics'!BE118,IF($AB$2="2020年",'Offer Statistics'!BE180)))</f>
        <v>205</v>
      </c>
      <c r="AH56" s="284">
        <f>IF($AB$2="2018年",'Offer Statistics'!BF56,IF($AB$2="2019年",'Offer Statistics'!BF118,IF($AB$2="2020年",'Offer Statistics'!BF180)))</f>
        <v>192</v>
      </c>
      <c r="AI56" s="298"/>
      <c r="AJ56" s="338" t="str">
        <f t="shared" si="2"/>
        <v>JS4858</v>
      </c>
    </row>
    <row r="57" spans="1:36" ht="18" customHeight="1">
      <c r="A57" s="175" t="s">
        <v>137</v>
      </c>
      <c r="B57" s="175" t="s">
        <v>296</v>
      </c>
      <c r="C57" s="175" t="s">
        <v>138</v>
      </c>
      <c r="D57" s="175" t="s">
        <v>1614</v>
      </c>
      <c r="E57" s="437" t="s">
        <v>189</v>
      </c>
      <c r="F57" s="176">
        <f>5.5*1.5+5.5*1.5+7+7+7</f>
        <v>37.5</v>
      </c>
      <c r="G57" s="176">
        <f>7*1.5+5.5*1.5+7+5.5+4</f>
        <v>35.25</v>
      </c>
      <c r="H57" s="176">
        <f>4*1.5+7*1.5+5.5+5.5+5.5</f>
        <v>33</v>
      </c>
      <c r="I57" s="193">
        <f>計分版!D220</f>
        <v>3.9500000000000006E-9</v>
      </c>
      <c r="J57" s="177">
        <f t="shared" si="3"/>
        <v>-35.249999996050001</v>
      </c>
      <c r="K57" s="178">
        <f t="shared" si="4"/>
        <v>-8924050631.9113903</v>
      </c>
      <c r="L57" s="295">
        <v>54</v>
      </c>
      <c r="M57" s="381">
        <f>入學要求!S202</f>
        <v>0</v>
      </c>
      <c r="N57" s="298" t="s">
        <v>792</v>
      </c>
      <c r="O57" s="296">
        <v>3</v>
      </c>
      <c r="P57" s="296">
        <v>3</v>
      </c>
      <c r="Q57" s="296">
        <v>2</v>
      </c>
      <c r="R57" s="296">
        <v>2</v>
      </c>
      <c r="S57" s="296">
        <v>3</v>
      </c>
      <c r="T57" s="296">
        <v>3</v>
      </c>
      <c r="U57" s="501"/>
      <c r="V57" s="295">
        <f>IF($U$2="2018年",'Offer Statistics'!BO57,IF($U$2="2019年",'Offer Statistics'!BO119,IF($U$2="2020年",'Offer Statistics'!BO181)))</f>
        <v>57</v>
      </c>
      <c r="W57" s="284">
        <f>IF($U$2="2018年",'Offer Statistics'!BJ57,IF($U$2="2019年",'Offer Statistics'!BJ119,IF($U$2="2020年",'Offer Statistics'!BJ181)))</f>
        <v>55</v>
      </c>
      <c r="X57" s="284">
        <f>IF($U$2="2018年",'Offer Statistics'!BK57,IF($U$2="2019年",'Offer Statistics'!BK119,IF($U$2="2020年",'Offer Statistics'!BK181)))</f>
        <v>2</v>
      </c>
      <c r="Y57" s="284">
        <f>IF($U$2="2018年",'Offer Statistics'!BL57,IF($U$2="2019年",'Offer Statistics'!BL119,IF($U$2="2020年",'Offer Statistics'!BL181)))</f>
        <v>0</v>
      </c>
      <c r="Z57" s="284">
        <f>IF($U$2="2018年",'Offer Statistics'!BM57,IF($U$2="2019年",'Offer Statistics'!BM119,IF($U$2="2020年",'Offer Statistics'!BM181)))</f>
        <v>0</v>
      </c>
      <c r="AA57" s="284">
        <f>IF($U$2="2018年",'Offer Statistics'!BN57,IF($U$2="2019年",'Offer Statistics'!BN119,IF($U$2="2020年",'Offer Statistics'!BN181)))</f>
        <v>0</v>
      </c>
      <c r="AB57" s="501"/>
      <c r="AC57" s="295">
        <f>IF($AB$2="2018年",'Offer Statistics'!BG57,IF($AB$2="2019年",'Offer Statistics'!BG119,IF($AB$2="2020年",'Offer Statistics'!BG181)))</f>
        <v>4284</v>
      </c>
      <c r="AD57" s="284">
        <f>IF($AB$2="2018年",'Offer Statistics'!BB57,IF($AB$2="2019年",'Offer Statistics'!BB119,IF($AB$2="2020年",'Offer Statistics'!BB181)))</f>
        <v>369</v>
      </c>
      <c r="AE57" s="284">
        <f>IF($AB$2="2018年",'Offer Statistics'!BC57,IF($AB$2="2019年",'Offer Statistics'!BC119,IF($AB$2="2020年",'Offer Statistics'!BC181)))</f>
        <v>506</v>
      </c>
      <c r="AF57" s="284">
        <f>IF($AB$2="2018年",'Offer Statistics'!BD57,IF($AB$2="2019年",'Offer Statistics'!BD119,IF($AB$2="2020年",'Offer Statistics'!BD181)))</f>
        <v>884</v>
      </c>
      <c r="AG57" s="284">
        <f>IF($AB$2="2018年",'Offer Statistics'!BE57,IF($AB$2="2019年",'Offer Statistics'!BE119,IF($AB$2="2020年",'Offer Statistics'!BE181)))</f>
        <v>1305</v>
      </c>
      <c r="AH57" s="284">
        <f>IF($AB$2="2018年",'Offer Statistics'!BF57,IF($AB$2="2019年",'Offer Statistics'!BF119,IF($AB$2="2020年",'Offer Statistics'!BF181)))</f>
        <v>1220</v>
      </c>
      <c r="AI57" s="298"/>
      <c r="AJ57" s="338" t="str">
        <f t="shared" si="2"/>
        <v>JS4862</v>
      </c>
    </row>
    <row r="58" spans="1:36" s="11" customFormat="1" ht="18" customHeight="1">
      <c r="A58" s="175" t="s">
        <v>139</v>
      </c>
      <c r="B58" s="175" t="s">
        <v>296</v>
      </c>
      <c r="C58" s="175" t="s">
        <v>140</v>
      </c>
      <c r="D58" s="175" t="s">
        <v>2099</v>
      </c>
      <c r="E58" s="307" t="s">
        <v>189</v>
      </c>
      <c r="F58" s="176">
        <f>8.5+7+5.5+5.5+5.5</f>
        <v>32</v>
      </c>
      <c r="G58" s="176">
        <f>8.5+7+7+4+4</f>
        <v>30.5</v>
      </c>
      <c r="H58" s="176">
        <f>7+7+5.5+5.5+4</f>
        <v>29</v>
      </c>
      <c r="I58" s="193">
        <f>計分版!D221</f>
        <v>3.9500000000000006E-9</v>
      </c>
      <c r="J58" s="177">
        <f t="shared" si="3"/>
        <v>-30.499999996050001</v>
      </c>
      <c r="K58" s="178">
        <f t="shared" si="4"/>
        <v>-7721518986.3417711</v>
      </c>
      <c r="L58" s="295">
        <v>46</v>
      </c>
      <c r="M58" s="381">
        <f>入學要求!S203</f>
        <v>0</v>
      </c>
      <c r="N58" s="370" t="s">
        <v>2194</v>
      </c>
      <c r="O58" s="296">
        <v>3</v>
      </c>
      <c r="P58" s="296">
        <v>3</v>
      </c>
      <c r="Q58" s="296">
        <v>2</v>
      </c>
      <c r="R58" s="296">
        <v>3</v>
      </c>
      <c r="S58" s="296">
        <v>3</v>
      </c>
      <c r="T58" s="296">
        <v>3</v>
      </c>
      <c r="U58" s="501"/>
      <c r="V58" s="295">
        <f>IF($U$2="2018年",'Offer Statistics'!BO58,IF($U$2="2019年",'Offer Statistics'!BO120,IF($U$2="2020年",'Offer Statistics'!BO182)))</f>
        <v>39</v>
      </c>
      <c r="W58" s="284">
        <f>IF($U$2="2018年",'Offer Statistics'!BJ58,IF($U$2="2019年",'Offer Statistics'!BJ120,IF($U$2="2020年",'Offer Statistics'!BJ182)))</f>
        <v>39</v>
      </c>
      <c r="X58" s="284">
        <f>IF($U$2="2018年",'Offer Statistics'!BK58,IF($U$2="2019年",'Offer Statistics'!BK120,IF($U$2="2020年",'Offer Statistics'!BK182)))</f>
        <v>0</v>
      </c>
      <c r="Y58" s="284">
        <f>IF($U$2="2018年",'Offer Statistics'!BL58,IF($U$2="2019年",'Offer Statistics'!BL120,IF($U$2="2020年",'Offer Statistics'!BL182)))</f>
        <v>0</v>
      </c>
      <c r="Z58" s="284">
        <f>IF($U$2="2018年",'Offer Statistics'!BM58,IF($U$2="2019年",'Offer Statistics'!BM120,IF($U$2="2020年",'Offer Statistics'!BM182)))</f>
        <v>0</v>
      </c>
      <c r="AA58" s="284">
        <f>IF($U$2="2018年",'Offer Statistics'!BN58,IF($U$2="2019年",'Offer Statistics'!BN120,IF($U$2="2020年",'Offer Statistics'!BN182)))</f>
        <v>0</v>
      </c>
      <c r="AB58" s="501"/>
      <c r="AC58" s="295">
        <f>IF($AB$2="2018年",'Offer Statistics'!BG58,IF($AB$2="2019年",'Offer Statistics'!BG120,IF($AB$2="2020年",'Offer Statistics'!BG182)))</f>
        <v>3396</v>
      </c>
      <c r="AD58" s="284">
        <f>IF($AB$2="2018年",'Offer Statistics'!BB58,IF($AB$2="2019年",'Offer Statistics'!BB120,IF($AB$2="2020年",'Offer Statistics'!BB182)))</f>
        <v>370</v>
      </c>
      <c r="AE58" s="284">
        <f>IF($AB$2="2018年",'Offer Statistics'!BC58,IF($AB$2="2019年",'Offer Statistics'!BC120,IF($AB$2="2020年",'Offer Statistics'!BC182)))</f>
        <v>378</v>
      </c>
      <c r="AF58" s="284">
        <f>IF($AB$2="2018年",'Offer Statistics'!BD58,IF($AB$2="2019年",'Offer Statistics'!BD120,IF($AB$2="2020年",'Offer Statistics'!BD182)))</f>
        <v>712</v>
      </c>
      <c r="AG58" s="284">
        <f>IF($AB$2="2018年",'Offer Statistics'!BE58,IF($AB$2="2019年",'Offer Statistics'!BE120,IF($AB$2="2020年",'Offer Statistics'!BE182)))</f>
        <v>1042</v>
      </c>
      <c r="AH58" s="284">
        <f>IF($AB$2="2018年",'Offer Statistics'!BF58,IF($AB$2="2019年",'Offer Statistics'!BF120,IF($AB$2="2020年",'Offer Statistics'!BF182)))</f>
        <v>894</v>
      </c>
      <c r="AI58" s="298"/>
      <c r="AJ58" s="338" t="str">
        <f t="shared" si="2"/>
        <v>JS4874</v>
      </c>
    </row>
    <row r="59" spans="1:36" ht="18" customHeight="1">
      <c r="A59" s="175" t="s">
        <v>141</v>
      </c>
      <c r="B59" s="175" t="s">
        <v>296</v>
      </c>
      <c r="C59" s="175" t="s">
        <v>142</v>
      </c>
      <c r="D59" s="175" t="s">
        <v>2161</v>
      </c>
      <c r="E59" s="437" t="s">
        <v>189</v>
      </c>
      <c r="F59" s="176">
        <f>5.5*1.5+5.5*1.5+5.5+5.5+4</f>
        <v>31.5</v>
      </c>
      <c r="G59" s="176">
        <f>7*1.5+5*1.5+4+4+4</f>
        <v>30</v>
      </c>
      <c r="H59" s="176">
        <f>7*1.5+4+7+4+3*1.5</f>
        <v>30</v>
      </c>
      <c r="I59" s="193">
        <f>計分版!D222</f>
        <v>3.9500000000000006E-9</v>
      </c>
      <c r="J59" s="177">
        <f t="shared" si="3"/>
        <v>-29.999999996050001</v>
      </c>
      <c r="K59" s="178">
        <f t="shared" si="4"/>
        <v>-7594936707.8607588</v>
      </c>
      <c r="L59" s="295">
        <v>39</v>
      </c>
      <c r="M59" s="381">
        <f>入學要求!S204</f>
        <v>0</v>
      </c>
      <c r="N59" s="370" t="s">
        <v>2194</v>
      </c>
      <c r="O59" s="296">
        <v>3</v>
      </c>
      <c r="P59" s="296">
        <v>3</v>
      </c>
      <c r="Q59" s="296">
        <v>2</v>
      </c>
      <c r="R59" s="296">
        <v>2</v>
      </c>
      <c r="S59" s="296">
        <v>3</v>
      </c>
      <c r="T59" s="296">
        <v>3</v>
      </c>
      <c r="U59" s="501"/>
      <c r="V59" s="295">
        <f>IF($U$2="2018年",'Offer Statistics'!BO59,IF($U$2="2019年",'Offer Statistics'!BO121,IF($U$2="2020年",'Offer Statistics'!BO183)))</f>
        <v>33</v>
      </c>
      <c r="W59" s="284">
        <f>IF($U$2="2018年",'Offer Statistics'!BJ59,IF($U$2="2019年",'Offer Statistics'!BJ121,IF($U$2="2020年",'Offer Statistics'!BJ183)))</f>
        <v>32</v>
      </c>
      <c r="X59" s="284">
        <f>IF($U$2="2018年",'Offer Statistics'!BK59,IF($U$2="2019年",'Offer Statistics'!BK121,IF($U$2="2020年",'Offer Statistics'!BK183)))</f>
        <v>1</v>
      </c>
      <c r="Y59" s="284">
        <f>IF($U$2="2018年",'Offer Statistics'!BL59,IF($U$2="2019年",'Offer Statistics'!BL121,IF($U$2="2020年",'Offer Statistics'!BL183)))</f>
        <v>0</v>
      </c>
      <c r="Z59" s="284">
        <f>IF($U$2="2018年",'Offer Statistics'!BM59,IF($U$2="2019年",'Offer Statistics'!BM121,IF($U$2="2020年",'Offer Statistics'!BM183)))</f>
        <v>0</v>
      </c>
      <c r="AA59" s="284">
        <f>IF($U$2="2018年",'Offer Statistics'!BN59,IF($U$2="2019年",'Offer Statistics'!BN121,IF($U$2="2020年",'Offer Statistics'!BN183)))</f>
        <v>0</v>
      </c>
      <c r="AB59" s="501"/>
      <c r="AC59" s="295">
        <f>IF($AB$2="2018年",'Offer Statistics'!BG59,IF($AB$2="2019年",'Offer Statistics'!BG121,IF($AB$2="2020年",'Offer Statistics'!BG183)))</f>
        <v>2683</v>
      </c>
      <c r="AD59" s="284">
        <f>IF($AB$2="2018年",'Offer Statistics'!BB59,IF($AB$2="2019年",'Offer Statistics'!BB121,IF($AB$2="2020年",'Offer Statistics'!BB183)))</f>
        <v>256</v>
      </c>
      <c r="AE59" s="284">
        <f>IF($AB$2="2018年",'Offer Statistics'!BC59,IF($AB$2="2019年",'Offer Statistics'!BC121,IF($AB$2="2020年",'Offer Statistics'!BC183)))</f>
        <v>257</v>
      </c>
      <c r="AF59" s="284">
        <f>IF($AB$2="2018年",'Offer Statistics'!BD59,IF($AB$2="2019年",'Offer Statistics'!BD121,IF($AB$2="2020年",'Offer Statistics'!BD183)))</f>
        <v>513</v>
      </c>
      <c r="AG59" s="284">
        <f>IF($AB$2="2018年",'Offer Statistics'!BE59,IF($AB$2="2019年",'Offer Statistics'!BE121,IF($AB$2="2020年",'Offer Statistics'!BE183)))</f>
        <v>841</v>
      </c>
      <c r="AH59" s="284">
        <f>IF($AB$2="2018年",'Offer Statistics'!BF59,IF($AB$2="2019年",'Offer Statistics'!BF121,IF($AB$2="2020年",'Offer Statistics'!BF183)))</f>
        <v>816</v>
      </c>
      <c r="AI59" s="298"/>
      <c r="AJ59" s="338" t="str">
        <f t="shared" si="2"/>
        <v>JS4886</v>
      </c>
    </row>
    <row r="60" spans="1:36" s="11" customFormat="1" ht="18" customHeight="1">
      <c r="A60" s="175" t="s">
        <v>179</v>
      </c>
      <c r="B60" s="175" t="s">
        <v>296</v>
      </c>
      <c r="C60" s="175" t="s">
        <v>180</v>
      </c>
      <c r="D60" s="175" t="s">
        <v>1618</v>
      </c>
      <c r="E60" s="437" t="s">
        <v>189</v>
      </c>
      <c r="F60" s="176">
        <f>8.5+7+5.5+5.5+4*1.5</f>
        <v>32.5</v>
      </c>
      <c r="G60" s="176">
        <f>7+7+5.5+5.5+4*1.5</f>
        <v>31</v>
      </c>
      <c r="H60" s="176">
        <f>5.5*1.5+5.5+5.5+5.5+4</f>
        <v>28.75</v>
      </c>
      <c r="I60" s="193">
        <f>計分版!D223</f>
        <v>3.9500000000000006E-9</v>
      </c>
      <c r="J60" s="177">
        <f t="shared" si="3"/>
        <v>-30.999999996050001</v>
      </c>
      <c r="K60" s="178">
        <f t="shared" si="4"/>
        <v>-7848101264.8227835</v>
      </c>
      <c r="L60" s="295">
        <v>20</v>
      </c>
      <c r="M60" s="381">
        <f>入學要求!S205</f>
        <v>0</v>
      </c>
      <c r="N60" s="370" t="s">
        <v>2194</v>
      </c>
      <c r="O60" s="296">
        <v>3</v>
      </c>
      <c r="P60" s="296">
        <v>3</v>
      </c>
      <c r="Q60" s="296">
        <v>2</v>
      </c>
      <c r="R60" s="296">
        <v>2</v>
      </c>
      <c r="S60" s="296">
        <v>3</v>
      </c>
      <c r="T60" s="296">
        <v>3</v>
      </c>
      <c r="U60" s="501"/>
      <c r="V60" s="295">
        <f>IF($U$2="2018年",'Offer Statistics'!BO60,IF($U$2="2019年",'Offer Statistics'!BO122,IF($U$2="2020年",'Offer Statistics'!BO184)))</f>
        <v>18</v>
      </c>
      <c r="W60" s="284">
        <f>IF($U$2="2018年",'Offer Statistics'!BJ60,IF($U$2="2019年",'Offer Statistics'!BJ122,IF($U$2="2020年",'Offer Statistics'!BJ184)))</f>
        <v>18</v>
      </c>
      <c r="X60" s="284">
        <f>IF($U$2="2018年",'Offer Statistics'!BK60,IF($U$2="2019年",'Offer Statistics'!BK122,IF($U$2="2020年",'Offer Statistics'!BK184)))</f>
        <v>0</v>
      </c>
      <c r="Y60" s="284">
        <f>IF($U$2="2018年",'Offer Statistics'!BL60,IF($U$2="2019年",'Offer Statistics'!BL122,IF($U$2="2020年",'Offer Statistics'!BL184)))</f>
        <v>0</v>
      </c>
      <c r="Z60" s="284">
        <f>IF($U$2="2018年",'Offer Statistics'!BM60,IF($U$2="2019年",'Offer Statistics'!BM122,IF($U$2="2020年",'Offer Statistics'!BM184)))</f>
        <v>0</v>
      </c>
      <c r="AA60" s="284">
        <f>IF($U$2="2018年",'Offer Statistics'!BN60,IF($U$2="2019年",'Offer Statistics'!BN122,IF($U$2="2020年",'Offer Statistics'!BN184)))</f>
        <v>0</v>
      </c>
      <c r="AB60" s="501"/>
      <c r="AC60" s="295">
        <f>IF($AB$2="2018年",'Offer Statistics'!BG60,IF($AB$2="2019年",'Offer Statistics'!BG122,IF($AB$2="2020年",'Offer Statistics'!BG184)))</f>
        <v>1054</v>
      </c>
      <c r="AD60" s="284">
        <f>IF($AB$2="2018年",'Offer Statistics'!BB60,IF($AB$2="2019年",'Offer Statistics'!BB122,IF($AB$2="2020年",'Offer Statistics'!BB184)))</f>
        <v>88</v>
      </c>
      <c r="AE60" s="284">
        <f>IF($AB$2="2018年",'Offer Statistics'!BC60,IF($AB$2="2019年",'Offer Statistics'!BC122,IF($AB$2="2020年",'Offer Statistics'!BC184)))</f>
        <v>122</v>
      </c>
      <c r="AF60" s="284">
        <f>IF($AB$2="2018年",'Offer Statistics'!BD60,IF($AB$2="2019年",'Offer Statistics'!BD122,IF($AB$2="2020年",'Offer Statistics'!BD184)))</f>
        <v>218</v>
      </c>
      <c r="AG60" s="284">
        <f>IF($AB$2="2018年",'Offer Statistics'!BE60,IF($AB$2="2019年",'Offer Statistics'!BE122,IF($AB$2="2020年",'Offer Statistics'!BE184)))</f>
        <v>316</v>
      </c>
      <c r="AH60" s="284">
        <f>IF($AB$2="2018年",'Offer Statistics'!BF60,IF($AB$2="2019年",'Offer Statistics'!BF122,IF($AB$2="2020年",'Offer Statistics'!BF184)))</f>
        <v>310</v>
      </c>
      <c r="AI60" s="298"/>
      <c r="AJ60" s="338" t="str">
        <f t="shared" si="2"/>
        <v>JS4892</v>
      </c>
    </row>
    <row r="61" spans="1:36" ht="18" customHeight="1">
      <c r="A61" s="175" t="s">
        <v>188</v>
      </c>
      <c r="B61" s="175" t="s">
        <v>296</v>
      </c>
      <c r="C61" s="175" t="s">
        <v>182</v>
      </c>
      <c r="D61" s="175" t="s">
        <v>2162</v>
      </c>
      <c r="E61" s="307" t="s">
        <v>189</v>
      </c>
      <c r="F61" s="176">
        <f>7+7+5.5+4+4</f>
        <v>27.5</v>
      </c>
      <c r="G61" s="176">
        <f>8.5+7+4+4+3</f>
        <v>26.5</v>
      </c>
      <c r="H61" s="176">
        <f>7+5.5+5.5+4+4</f>
        <v>26</v>
      </c>
      <c r="I61" s="193">
        <f>計分版!D224</f>
        <v>3.9500000000000006E-9</v>
      </c>
      <c r="J61" s="177">
        <f t="shared" si="3"/>
        <v>-26.499999996050001</v>
      </c>
      <c r="K61" s="178">
        <f t="shared" si="4"/>
        <v>-6708860758.4936695</v>
      </c>
      <c r="L61" s="295">
        <v>20</v>
      </c>
      <c r="M61" s="381">
        <f>入學要求!S206</f>
        <v>0</v>
      </c>
      <c r="N61" s="370" t="s">
        <v>2194</v>
      </c>
      <c r="O61" s="296">
        <v>3</v>
      </c>
      <c r="P61" s="296">
        <v>3</v>
      </c>
      <c r="Q61" s="296">
        <v>3</v>
      </c>
      <c r="R61" s="296">
        <v>2</v>
      </c>
      <c r="S61" s="296">
        <v>3</v>
      </c>
      <c r="T61" s="296">
        <v>3</v>
      </c>
      <c r="U61" s="501"/>
      <c r="V61" s="295">
        <f>IF($U$2="2018年",'Offer Statistics'!BO61,IF($U$2="2019年",'Offer Statistics'!BO123,IF($U$2="2020年",'Offer Statistics'!BO185)))</f>
        <v>19</v>
      </c>
      <c r="W61" s="284">
        <f>IF($U$2="2018年",'Offer Statistics'!BJ61,IF($U$2="2019年",'Offer Statistics'!BJ123,IF($U$2="2020年",'Offer Statistics'!BJ185)))</f>
        <v>19</v>
      </c>
      <c r="X61" s="284">
        <f>IF($U$2="2018年",'Offer Statistics'!BK61,IF($U$2="2019年",'Offer Statistics'!BK123,IF($U$2="2020年",'Offer Statistics'!BK185)))</f>
        <v>0</v>
      </c>
      <c r="Y61" s="284">
        <f>IF($U$2="2018年",'Offer Statistics'!BL61,IF($U$2="2019年",'Offer Statistics'!BL123,IF($U$2="2020年",'Offer Statistics'!BL185)))</f>
        <v>0</v>
      </c>
      <c r="Z61" s="284">
        <f>IF($U$2="2018年",'Offer Statistics'!BM61,IF($U$2="2019年",'Offer Statistics'!BM123,IF($U$2="2020年",'Offer Statistics'!BM185)))</f>
        <v>0</v>
      </c>
      <c r="AA61" s="284">
        <f>IF($U$2="2018年",'Offer Statistics'!BN61,IF($U$2="2019年",'Offer Statistics'!BN123,IF($U$2="2020年",'Offer Statistics'!BN185)))</f>
        <v>0</v>
      </c>
      <c r="AB61" s="501"/>
      <c r="AC61" s="295">
        <f>IF($AB$2="2018年",'Offer Statistics'!BG61,IF($AB$2="2019年",'Offer Statistics'!BG123,IF($AB$2="2020年",'Offer Statistics'!BG185)))</f>
        <v>790</v>
      </c>
      <c r="AD61" s="284">
        <f>IF($AB$2="2018年",'Offer Statistics'!BB61,IF($AB$2="2019年",'Offer Statistics'!BB123,IF($AB$2="2020年",'Offer Statistics'!BB185)))</f>
        <v>80</v>
      </c>
      <c r="AE61" s="284">
        <f>IF($AB$2="2018年",'Offer Statistics'!BC61,IF($AB$2="2019年",'Offer Statistics'!BC123,IF($AB$2="2020年",'Offer Statistics'!BC185)))</f>
        <v>84</v>
      </c>
      <c r="AF61" s="284">
        <f>IF($AB$2="2018年",'Offer Statistics'!BD61,IF($AB$2="2019年",'Offer Statistics'!BD123,IF($AB$2="2020年",'Offer Statistics'!BD185)))</f>
        <v>184</v>
      </c>
      <c r="AG61" s="284">
        <f>IF($AB$2="2018年",'Offer Statistics'!BE61,IF($AB$2="2019年",'Offer Statistics'!BE123,IF($AB$2="2020年",'Offer Statistics'!BE185)))</f>
        <v>207</v>
      </c>
      <c r="AH61" s="284">
        <f>IF($AB$2="2018年",'Offer Statistics'!BF61,IF($AB$2="2019年",'Offer Statistics'!BF123,IF($AB$2="2020年",'Offer Statistics'!BF185)))</f>
        <v>235</v>
      </c>
      <c r="AI61" s="298"/>
      <c r="AJ61" s="338" t="str">
        <f t="shared" si="2"/>
        <v>JS4893</v>
      </c>
    </row>
    <row r="62" spans="1:36" s="11" customFormat="1" ht="18" customHeight="1">
      <c r="A62" s="175" t="s">
        <v>143</v>
      </c>
      <c r="B62" s="175" t="s">
        <v>297</v>
      </c>
      <c r="C62" s="175" t="s">
        <v>144</v>
      </c>
      <c r="D62" s="175" t="s">
        <v>2066</v>
      </c>
      <c r="E62" s="437" t="s">
        <v>190</v>
      </c>
      <c r="F62" s="176">
        <f>4*1.5+7*2+5.5+5.5*2+8.5+7</f>
        <v>52</v>
      </c>
      <c r="G62" s="176">
        <f>4*1.5+7*2+4+5.5*2+7+5.5</f>
        <v>47.5</v>
      </c>
      <c r="H62" s="176">
        <f>5.5*1.5+7*2+5.5+4*2+5.5+5.5</f>
        <v>46.75</v>
      </c>
      <c r="I62" s="193">
        <f>計分版!D225</f>
        <v>3.4999999999999999E-9</v>
      </c>
      <c r="J62" s="177">
        <f t="shared" si="3"/>
        <v>-47.499999996500001</v>
      </c>
      <c r="K62" s="178">
        <f t="shared" si="4"/>
        <v>-13571428570.428572</v>
      </c>
      <c r="L62" s="295">
        <v>76</v>
      </c>
      <c r="M62" s="382">
        <f>入學要求!S207</f>
        <v>0</v>
      </c>
      <c r="N62" s="370" t="s">
        <v>2194</v>
      </c>
      <c r="O62" s="296">
        <v>4</v>
      </c>
      <c r="P62" s="296">
        <v>5</v>
      </c>
      <c r="Q62" s="296">
        <v>3</v>
      </c>
      <c r="R62" s="296">
        <v>3</v>
      </c>
      <c r="S62" s="296">
        <v>3</v>
      </c>
      <c r="T62" s="296">
        <v>3</v>
      </c>
      <c r="U62" s="501"/>
      <c r="V62" s="295">
        <f>IF($U$2="2018年",'Offer Statistics'!BO62,IF($U$2="2019年",'Offer Statistics'!BO124,IF($U$2="2020年",'Offer Statistics'!BO186)))</f>
        <v>60</v>
      </c>
      <c r="W62" s="284">
        <f>IF($U$2="2018年",'Offer Statistics'!BJ62,IF($U$2="2019年",'Offer Statistics'!BJ124,IF($U$2="2020年",'Offer Statistics'!BJ186)))</f>
        <v>60</v>
      </c>
      <c r="X62" s="284">
        <f>IF($U$2="2018年",'Offer Statistics'!BK62,IF($U$2="2019年",'Offer Statistics'!BK124,IF($U$2="2020年",'Offer Statistics'!BK186)))</f>
        <v>0</v>
      </c>
      <c r="Y62" s="284">
        <f>IF($U$2="2018年",'Offer Statistics'!BL62,IF($U$2="2019年",'Offer Statistics'!BL124,IF($U$2="2020年",'Offer Statistics'!BL186)))</f>
        <v>0</v>
      </c>
      <c r="Z62" s="284">
        <f>IF($U$2="2018年",'Offer Statistics'!BM62,IF($U$2="2019年",'Offer Statistics'!BM124,IF($U$2="2020年",'Offer Statistics'!BM186)))</f>
        <v>0</v>
      </c>
      <c r="AA62" s="284">
        <f>IF($U$2="2018年",'Offer Statistics'!BN62,IF($U$2="2019年",'Offer Statistics'!BN124,IF($U$2="2020年",'Offer Statistics'!BN186)))</f>
        <v>0</v>
      </c>
      <c r="AB62" s="501"/>
      <c r="AC62" s="295">
        <f>IF($AB$2="2018年",'Offer Statistics'!BG62,IF($AB$2="2019年",'Offer Statistics'!BG124,IF($AB$2="2020年",'Offer Statistics'!BG186)))</f>
        <v>762</v>
      </c>
      <c r="AD62" s="284">
        <f>IF($AB$2="2018年",'Offer Statistics'!BB62,IF($AB$2="2019年",'Offer Statistics'!BB124,IF($AB$2="2020年",'Offer Statistics'!BB186)))</f>
        <v>182</v>
      </c>
      <c r="AE62" s="284">
        <f>IF($AB$2="2018年",'Offer Statistics'!BC62,IF($AB$2="2019年",'Offer Statistics'!BC124,IF($AB$2="2020年",'Offer Statistics'!BC186)))</f>
        <v>96</v>
      </c>
      <c r="AF62" s="284">
        <f>IF($AB$2="2018年",'Offer Statistics'!BD62,IF($AB$2="2019年",'Offer Statistics'!BD124,IF($AB$2="2020年",'Offer Statistics'!BD186)))</f>
        <v>123</v>
      </c>
      <c r="AG62" s="284">
        <f>IF($AB$2="2018年",'Offer Statistics'!BE62,IF($AB$2="2019年",'Offer Statistics'!BE124,IF($AB$2="2020年",'Offer Statistics'!BE186)))</f>
        <v>161</v>
      </c>
      <c r="AH62" s="284">
        <f>IF($AB$2="2018年",'Offer Statistics'!BF62,IF($AB$2="2019年",'Offer Statistics'!BF124,IF($AB$2="2020年",'Offer Statistics'!BF186)))</f>
        <v>200</v>
      </c>
      <c r="AI62" s="298"/>
      <c r="AJ62" s="338" t="str">
        <f t="shared" si="2"/>
        <v>JS4903</v>
      </c>
    </row>
    <row r="63" spans="1:36" ht="18" customHeight="1"/>
    <row r="64" spans="1:36" ht="18" customHeight="1">
      <c r="A64" s="4" t="s">
        <v>2201</v>
      </c>
    </row>
    <row r="65" spans="1:36" ht="18" customHeight="1">
      <c r="A65" s="187" t="s">
        <v>2242</v>
      </c>
      <c r="E65" s="369"/>
      <c r="F65" s="371"/>
      <c r="G65" s="371"/>
      <c r="H65" s="371"/>
      <c r="I65" s="371"/>
      <c r="J65" s="371"/>
      <c r="K65" s="371"/>
      <c r="L65" s="371"/>
      <c r="N65" s="371"/>
      <c r="U65" s="371"/>
    </row>
    <row r="66" spans="1:36" ht="18" customHeight="1">
      <c r="A66" s="175" t="s">
        <v>1274</v>
      </c>
    </row>
    <row r="67" spans="1:36" ht="18" customHeight="1">
      <c r="A67" s="175" t="s">
        <v>2207</v>
      </c>
      <c r="E67" s="369"/>
      <c r="F67" s="371"/>
      <c r="G67" s="371"/>
      <c r="H67" s="371"/>
      <c r="I67" s="371"/>
      <c r="J67" s="371"/>
      <c r="K67" s="371"/>
      <c r="L67" s="371"/>
      <c r="N67" s="371"/>
      <c r="U67" s="371"/>
    </row>
    <row r="68" spans="1:36" ht="18" customHeight="1">
      <c r="C68" s="186"/>
      <c r="E68" s="438"/>
      <c r="F68" s="175"/>
      <c r="G68" s="175"/>
      <c r="H68" s="438"/>
      <c r="I68" s="175"/>
      <c r="J68" s="175"/>
      <c r="K68" s="437"/>
      <c r="L68" s="438"/>
      <c r="M68" s="175"/>
      <c r="N68" s="175"/>
      <c r="U68" s="175"/>
    </row>
    <row r="69" spans="1:36" s="187" customFormat="1" ht="18" customHeight="1">
      <c r="A69" s="187" t="s">
        <v>2352</v>
      </c>
      <c r="E69" s="272"/>
      <c r="F69" s="35"/>
      <c r="G69" s="35"/>
      <c r="H69" s="35"/>
      <c r="I69" s="35"/>
      <c r="J69" s="36"/>
      <c r="K69" s="37"/>
      <c r="L69" s="35"/>
      <c r="N69" s="35"/>
      <c r="O69" s="35"/>
      <c r="P69" s="35"/>
      <c r="Q69" s="35"/>
      <c r="R69" s="35"/>
      <c r="S69" s="35"/>
      <c r="T69" s="35"/>
      <c r="U69" s="35"/>
      <c r="V69" s="35"/>
      <c r="W69" s="35"/>
      <c r="X69" s="35"/>
      <c r="Y69" s="35"/>
      <c r="Z69" s="35"/>
      <c r="AA69" s="35"/>
      <c r="AB69" s="35"/>
      <c r="AC69" s="35"/>
      <c r="AD69" s="35"/>
      <c r="AE69" s="35"/>
      <c r="AF69" s="35"/>
      <c r="AG69" s="35"/>
      <c r="AH69" s="35"/>
      <c r="AJ69" s="35"/>
    </row>
    <row r="70" spans="1:36" ht="18" customHeight="1">
      <c r="E70" s="393"/>
      <c r="F70" s="394"/>
      <c r="G70" s="394"/>
      <c r="H70" s="394"/>
      <c r="I70" s="394"/>
      <c r="J70" s="394"/>
      <c r="K70" s="394"/>
      <c r="L70" s="394"/>
      <c r="M70" s="394"/>
      <c r="N70" s="394"/>
      <c r="U70" s="394"/>
    </row>
    <row r="71" spans="1:36" ht="18" customHeight="1">
      <c r="A71" s="4" t="s">
        <v>2243</v>
      </c>
      <c r="E71" s="393"/>
      <c r="F71" s="394"/>
      <c r="G71" s="394"/>
      <c r="H71" s="394"/>
      <c r="I71" s="394"/>
      <c r="J71" s="394"/>
      <c r="K71" s="394"/>
      <c r="L71" s="394"/>
      <c r="M71" s="394"/>
      <c r="N71" s="394"/>
      <c r="U71" s="394"/>
    </row>
    <row r="72" spans="1:36" ht="18" customHeight="1">
      <c r="A72" s="175" t="s">
        <v>2272</v>
      </c>
      <c r="E72" s="393"/>
      <c r="F72" s="394"/>
      <c r="G72" s="394"/>
      <c r="H72" s="394"/>
      <c r="I72" s="394"/>
      <c r="J72" s="394"/>
      <c r="K72" s="394"/>
      <c r="L72" s="394"/>
      <c r="M72" s="394"/>
      <c r="N72" s="394"/>
      <c r="U72" s="394"/>
    </row>
    <row r="73" spans="1:36" ht="18" customHeight="1">
      <c r="A73" s="175" t="s">
        <v>2273</v>
      </c>
      <c r="E73" s="393"/>
      <c r="F73" s="394"/>
      <c r="G73" s="394"/>
      <c r="H73" s="394"/>
      <c r="I73" s="394"/>
      <c r="J73" s="394"/>
      <c r="K73" s="394"/>
      <c r="L73" s="394"/>
      <c r="M73" s="394"/>
      <c r="N73" s="394"/>
      <c r="U73" s="394"/>
    </row>
    <row r="74" spans="1:36" ht="18" customHeight="1">
      <c r="E74" s="393"/>
      <c r="F74" s="394"/>
      <c r="G74" s="394"/>
      <c r="H74" s="394"/>
      <c r="I74" s="394"/>
      <c r="J74" s="394"/>
      <c r="K74" s="394"/>
      <c r="L74" s="394"/>
      <c r="M74" s="394"/>
      <c r="N74" s="394"/>
      <c r="U74" s="394"/>
    </row>
    <row r="75" spans="1:36" ht="18" customHeight="1">
      <c r="A75" s="175" t="s">
        <v>2275</v>
      </c>
      <c r="E75" s="393"/>
      <c r="F75" s="394"/>
      <c r="G75" s="394"/>
      <c r="H75" s="394"/>
      <c r="I75" s="394"/>
      <c r="J75" s="394"/>
      <c r="K75" s="394"/>
      <c r="L75" s="394"/>
      <c r="M75" s="394"/>
      <c r="N75" s="394"/>
      <c r="U75" s="394"/>
    </row>
    <row r="76" spans="1:36" ht="18" customHeight="1">
      <c r="A76" s="175" t="s">
        <v>2274</v>
      </c>
      <c r="E76" s="393"/>
      <c r="F76" s="394"/>
      <c r="G76" s="394"/>
      <c r="H76" s="394"/>
      <c r="I76" s="394"/>
      <c r="J76" s="394"/>
      <c r="K76" s="394"/>
      <c r="L76" s="394"/>
      <c r="M76" s="394"/>
      <c r="N76" s="394"/>
      <c r="U76" s="394"/>
    </row>
    <row r="77" spans="1:36" ht="18" customHeight="1">
      <c r="E77" s="393"/>
      <c r="F77" s="394"/>
      <c r="G77" s="394"/>
      <c r="H77" s="394"/>
      <c r="I77" s="394"/>
      <c r="J77" s="394"/>
      <c r="K77" s="394"/>
      <c r="L77" s="394"/>
      <c r="M77" s="394"/>
      <c r="N77" s="394"/>
      <c r="U77" s="394"/>
    </row>
    <row r="78" spans="1:36" ht="18" customHeight="1">
      <c r="A78" s="175" t="s">
        <v>2276</v>
      </c>
      <c r="E78" s="393"/>
      <c r="F78" s="394"/>
      <c r="G78" s="394"/>
      <c r="H78" s="394"/>
      <c r="I78" s="394"/>
      <c r="J78" s="394"/>
      <c r="K78" s="394"/>
      <c r="L78" s="394"/>
      <c r="M78" s="394"/>
      <c r="N78" s="394"/>
      <c r="U78" s="394"/>
    </row>
    <row r="79" spans="1:36" ht="18" customHeight="1">
      <c r="B79" s="175" t="s">
        <v>2277</v>
      </c>
      <c r="E79" s="393"/>
      <c r="F79" s="394"/>
      <c r="G79" s="394"/>
      <c r="H79" s="394"/>
      <c r="I79" s="394"/>
      <c r="J79" s="394"/>
      <c r="K79" s="394"/>
      <c r="L79" s="394"/>
      <c r="M79" s="394"/>
      <c r="N79" s="394"/>
      <c r="U79" s="394"/>
    </row>
    <row r="80" spans="1:36" ht="18" customHeight="1">
      <c r="A80" s="183"/>
      <c r="B80" s="175" t="s">
        <v>2278</v>
      </c>
      <c r="E80" s="393"/>
      <c r="F80" s="394"/>
      <c r="G80" s="394"/>
      <c r="H80" s="394"/>
      <c r="I80" s="394"/>
      <c r="J80" s="394"/>
      <c r="K80" s="394"/>
      <c r="L80" s="394"/>
      <c r="M80" s="394"/>
      <c r="N80" s="394"/>
      <c r="U80" s="394"/>
    </row>
    <row r="81" spans="1:21" ht="18" customHeight="1">
      <c r="B81" s="175" t="s">
        <v>2279</v>
      </c>
      <c r="E81" s="393"/>
      <c r="F81" s="394"/>
      <c r="G81" s="394"/>
      <c r="H81" s="394"/>
      <c r="I81" s="394"/>
      <c r="J81" s="394"/>
      <c r="K81" s="394"/>
      <c r="L81" s="394"/>
      <c r="M81" s="394"/>
      <c r="N81" s="394"/>
      <c r="U81" s="394"/>
    </row>
    <row r="82" spans="1:21" ht="18" customHeight="1">
      <c r="B82" s="175" t="s">
        <v>2280</v>
      </c>
      <c r="E82" s="393"/>
      <c r="F82" s="394"/>
      <c r="G82" s="394"/>
      <c r="H82" s="394"/>
      <c r="I82" s="394"/>
      <c r="J82" s="394"/>
      <c r="K82" s="394"/>
      <c r="L82" s="394"/>
      <c r="M82" s="394"/>
      <c r="N82" s="394"/>
      <c r="U82" s="394"/>
    </row>
    <row r="83" spans="1:21" ht="18" customHeight="1">
      <c r="E83" s="393"/>
      <c r="F83" s="394"/>
      <c r="G83" s="394"/>
      <c r="H83" s="394"/>
      <c r="I83" s="394"/>
      <c r="J83" s="394"/>
      <c r="K83" s="394"/>
      <c r="L83" s="394"/>
      <c r="M83" s="394"/>
      <c r="N83" s="394"/>
      <c r="U83" s="394"/>
    </row>
    <row r="84" spans="1:21" ht="18" customHeight="1">
      <c r="A84" s="175" t="s">
        <v>2281</v>
      </c>
      <c r="E84" s="393"/>
      <c r="F84" s="394"/>
      <c r="G84" s="394"/>
      <c r="H84" s="394"/>
      <c r="I84" s="394"/>
      <c r="J84" s="394"/>
      <c r="K84" s="394"/>
      <c r="L84" s="394"/>
      <c r="M84" s="394"/>
      <c r="N84" s="394"/>
      <c r="U84" s="394"/>
    </row>
    <row r="85" spans="1:21" ht="18" customHeight="1">
      <c r="A85" s="194"/>
    </row>
    <row r="86" spans="1:21" ht="18" customHeight="1">
      <c r="A86" s="4" t="s">
        <v>1147</v>
      </c>
    </row>
    <row r="87" spans="1:21" ht="18" customHeight="1">
      <c r="A87" s="194" t="s">
        <v>2036</v>
      </c>
      <c r="E87" s="369"/>
      <c r="F87" s="371"/>
      <c r="G87" s="371"/>
    </row>
    <row r="88" spans="1:21" ht="18" customHeight="1">
      <c r="A88" s="194" t="s">
        <v>2220</v>
      </c>
      <c r="E88" s="369"/>
      <c r="F88" s="371"/>
      <c r="G88" s="371"/>
    </row>
    <row r="89" spans="1:21" ht="18" customHeight="1">
      <c r="A89" s="195" t="s">
        <v>2221</v>
      </c>
      <c r="E89" s="369"/>
      <c r="F89" s="371"/>
      <c r="G89" s="371"/>
    </row>
    <row r="90" spans="1:21" ht="18" customHeight="1">
      <c r="A90" s="194" t="s">
        <v>2222</v>
      </c>
      <c r="E90" s="369"/>
      <c r="F90" s="371"/>
      <c r="G90" s="371"/>
    </row>
    <row r="91" spans="1:21" ht="18" customHeight="1">
      <c r="E91" s="369"/>
      <c r="F91" s="371"/>
      <c r="G91" s="371"/>
    </row>
    <row r="92" spans="1:21" ht="18" hidden="1" customHeight="1"/>
    <row r="93" spans="1:21" ht="18" hidden="1" customHeight="1"/>
    <row r="94" spans="1:21" ht="18" hidden="1" customHeight="1"/>
  </sheetData>
  <mergeCells count="4">
    <mergeCell ref="J1:K1"/>
    <mergeCell ref="L13:L14"/>
    <mergeCell ref="U2:U62"/>
    <mergeCell ref="AB2:AB62"/>
  </mergeCells>
  <phoneticPr fontId="2" type="noConversion"/>
  <conditionalFormatting sqref="J2:J62">
    <cfRule type="cellIs" dxfId="321" priority="133" operator="equal">
      <formula>"/"</formula>
    </cfRule>
    <cfRule type="cellIs" dxfId="320" priority="134" operator="lessThan">
      <formula>0</formula>
    </cfRule>
    <cfRule type="cellIs" dxfId="319" priority="135" operator="greaterThan">
      <formula>0</formula>
    </cfRule>
  </conditionalFormatting>
  <conditionalFormatting sqref="K2:K62">
    <cfRule type="cellIs" dxfId="318" priority="130" operator="equal">
      <formula>"/"</formula>
    </cfRule>
    <cfRule type="cellIs" dxfId="317" priority="131" operator="lessThan">
      <formula>0</formula>
    </cfRule>
    <cfRule type="cellIs" dxfId="316" priority="132" operator="greaterThan">
      <formula>0</formula>
    </cfRule>
  </conditionalFormatting>
  <conditionalFormatting sqref="F2:F62">
    <cfRule type="expression" dxfId="315" priority="129">
      <formula>$J$1="差距(UQ)"</formula>
    </cfRule>
  </conditionalFormatting>
  <conditionalFormatting sqref="G2:G62">
    <cfRule type="expression" dxfId="314" priority="128">
      <formula>$J$1="差距(Median)"</formula>
    </cfRule>
  </conditionalFormatting>
  <conditionalFormatting sqref="H2:H62">
    <cfRule type="expression" dxfId="313" priority="127">
      <formula>$J$1="差距(LQ)"</formula>
    </cfRule>
  </conditionalFormatting>
  <conditionalFormatting sqref="M2:M62">
    <cfRule type="cellIs" dxfId="312" priority="124" operator="equal">
      <formula>2</formula>
    </cfRule>
    <cfRule type="cellIs" dxfId="311" priority="125" operator="equal">
      <formula>1</formula>
    </cfRule>
    <cfRule type="cellIs" dxfId="310" priority="126" operator="equal">
      <formula>0</formula>
    </cfRule>
  </conditionalFormatting>
  <conditionalFormatting sqref="V2:AA62 AC3:AH62 AB2:AH2 AI2:AJ62 A2:N62">
    <cfRule type="expression" dxfId="309" priority="136">
      <formula>MOD(ROW(),2)=0</formula>
    </cfRule>
  </conditionalFormatting>
  <conditionalFormatting sqref="U2 AB2 AI2:AI62">
    <cfRule type="expression" dxfId="308" priority="61">
      <formula>TRUE</formula>
    </cfRule>
  </conditionalFormatting>
  <hyperlinks>
    <hyperlink ref="A90" r:id="rId1" xr:uid="{00000000-0004-0000-0A00-000000000000}"/>
    <hyperlink ref="A89" r:id="rId2" xr:uid="{00000000-0004-0000-0A00-000001000000}"/>
    <hyperlink ref="A88" r:id="rId3" xr:uid="{00000000-0004-0000-0A00-000002000000}"/>
    <hyperlink ref="A87" r:id="rId4" xr:uid="{00000000-0004-0000-0A00-000003000000}"/>
  </hyperlinks>
  <pageMargins left="0.7" right="0.7" top="0.75" bottom="0.75" header="0.3" footer="0.3"/>
  <pageSetup paperSize="9" orientation="portrait" r:id="rId5"/>
  <legacyDrawing r:id="rId6"/>
  <extLst>
    <ext xmlns:x14="http://schemas.microsoft.com/office/spreadsheetml/2009/9/main" uri="{78C0D931-6437-407d-A8EE-F0AAD7539E65}">
      <x14:conditionalFormattings>
        <x14:conditionalFormatting xmlns:xm="http://schemas.microsoft.com/office/excel/2006/main">
          <x14:cfRule type="expression" priority="1" id="{AC901B07-DB6D-4A26-9393-09BA887390AC}">
            <xm:f>入學要求!L147=0</xm:f>
            <x14:dxf>
              <font>
                <color rgb="FF9C0006"/>
              </font>
              <fill>
                <patternFill>
                  <bgColor rgb="FFFFC7CE"/>
                </patternFill>
              </fill>
            </x14:dxf>
          </x14:cfRule>
          <x14:cfRule type="expression" priority="2" id="{454DBB8D-0D46-4E1B-B9CB-F2CE79BB10AF}">
            <xm:f>入學要求!L147=2</xm:f>
            <x14:dxf>
              <font>
                <color rgb="FF9C5700"/>
              </font>
              <fill>
                <patternFill>
                  <bgColor rgb="FFFFEB9C"/>
                </patternFill>
              </fill>
            </x14:dxf>
          </x14:cfRule>
          <x14:cfRule type="expression" priority="3" id="{A016018A-2B1F-431D-AFF5-6205EE593A66}">
            <xm:f>入學要求!L147=1</xm:f>
            <x14:dxf>
              <font>
                <color rgb="FF006100"/>
              </font>
              <fill>
                <patternFill>
                  <bgColor rgb="FFC6EFCE"/>
                </patternFill>
              </fill>
            </x14:dxf>
          </x14:cfRule>
          <xm:sqref>O2:T62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選單!$J$1:$J$3</xm:f>
          </x14:formula1>
          <xm:sqref>J1:K1</xm:sqref>
        </x14:dataValidation>
        <x14:dataValidation type="list" allowBlank="1" showInputMessage="1" showErrorMessage="1" xr:uid="{00000000-0002-0000-0A00-000001000000}">
          <x14:formula1>
            <xm:f>選單!$I$1:$I$3</xm:f>
          </x14:formula1>
          <xm:sqref>U2:V2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工作表9"/>
  <dimension ref="A1:AO41"/>
  <sheetViews>
    <sheetView zoomScaleNormal="100" workbookViewId="0">
      <pane ySplit="1" topLeftCell="A2" activePane="bottomLeft" state="frozen"/>
      <selection pane="bottomLeft"/>
    </sheetView>
  </sheetViews>
  <sheetFormatPr defaultColWidth="0" defaultRowHeight="13.8" zeroHeight="1"/>
  <cols>
    <col min="1" max="1" width="7.109375" style="5" customWidth="1"/>
    <col min="2" max="2" width="9.109375" style="5" customWidth="1"/>
    <col min="3" max="3" width="25.77734375" style="5" customWidth="1"/>
    <col min="4" max="4" width="10.6640625" style="5" hidden="1" customWidth="1"/>
    <col min="5" max="5" width="9.77734375" style="363" customWidth="1"/>
    <col min="6" max="8" width="7.77734375" style="18" customWidth="1"/>
    <col min="9" max="9" width="7.6640625" style="27" customWidth="1"/>
    <col min="10" max="10" width="7.6640625" style="28" customWidth="1"/>
    <col min="11" max="11" width="4.88671875" style="18" customWidth="1"/>
    <col min="12" max="12" width="4.6640625" style="371" customWidth="1"/>
    <col min="13" max="13" width="9.77734375" style="18" customWidth="1"/>
    <col min="14" max="19" width="2.21875" style="18" customWidth="1"/>
    <col min="20" max="20" width="8.88671875" style="5" customWidth="1"/>
    <col min="21" max="26" width="6.33203125" style="175" customWidth="1"/>
    <col min="27" max="27" width="8.88671875" style="175" customWidth="1"/>
    <col min="28" max="28" width="6.33203125" style="5" customWidth="1"/>
    <col min="29" max="30" width="6.33203125" style="175" customWidth="1"/>
    <col min="31" max="31" width="6.33203125" style="5" customWidth="1"/>
    <col min="32" max="33" width="6.33203125" style="175" customWidth="1"/>
    <col min="34" max="34" width="3.109375" style="175" customWidth="1"/>
    <col min="35" max="35" width="8.109375" style="307" customWidth="1"/>
    <col min="36" max="41" width="0" style="5" hidden="1" customWidth="1"/>
    <col min="42" max="16384" width="9" style="5" hidden="1"/>
  </cols>
  <sheetData>
    <row r="1" spans="1:35" s="46" customFormat="1" ht="18" customHeight="1">
      <c r="A1" s="46" t="s">
        <v>203</v>
      </c>
      <c r="B1" s="46" t="s">
        <v>298</v>
      </c>
      <c r="C1" s="46" t="s">
        <v>367</v>
      </c>
      <c r="E1" s="362" t="s">
        <v>204</v>
      </c>
      <c r="F1" s="310" t="s">
        <v>300</v>
      </c>
      <c r="G1" s="310" t="s">
        <v>301</v>
      </c>
      <c r="H1" s="47" t="s">
        <v>205</v>
      </c>
      <c r="I1" s="507" t="s">
        <v>363</v>
      </c>
      <c r="J1" s="507"/>
      <c r="K1" s="47" t="s">
        <v>361</v>
      </c>
      <c r="L1" s="374" t="s">
        <v>376</v>
      </c>
      <c r="M1" s="47" t="s">
        <v>2189</v>
      </c>
      <c r="N1" s="47" t="s">
        <v>369</v>
      </c>
      <c r="O1" s="47" t="s">
        <v>370</v>
      </c>
      <c r="P1" s="47" t="s">
        <v>371</v>
      </c>
      <c r="Q1" s="47" t="s">
        <v>372</v>
      </c>
      <c r="R1" s="47" t="s">
        <v>373</v>
      </c>
      <c r="S1" s="47" t="s">
        <v>374</v>
      </c>
      <c r="T1" s="306" t="s">
        <v>2029</v>
      </c>
      <c r="U1" s="306" t="s">
        <v>2027</v>
      </c>
      <c r="V1" s="306" t="s">
        <v>2021</v>
      </c>
      <c r="W1" s="306" t="s">
        <v>2022</v>
      </c>
      <c r="X1" s="306" t="s">
        <v>2023</v>
      </c>
      <c r="Y1" s="306" t="s">
        <v>2024</v>
      </c>
      <c r="Z1" s="306" t="s">
        <v>2025</v>
      </c>
      <c r="AA1" s="306" t="s">
        <v>2038</v>
      </c>
      <c r="AB1" s="306" t="s">
        <v>2027</v>
      </c>
      <c r="AC1" s="306" t="s">
        <v>2021</v>
      </c>
      <c r="AD1" s="306" t="s">
        <v>2022</v>
      </c>
      <c r="AE1" s="306" t="s">
        <v>2023</v>
      </c>
      <c r="AF1" s="306" t="s">
        <v>2024</v>
      </c>
      <c r="AG1" s="306" t="s">
        <v>2025</v>
      </c>
      <c r="AI1" s="306"/>
    </row>
    <row r="2" spans="1:35" s="11" customFormat="1" ht="18" customHeight="1">
      <c r="A2" s="5" t="s">
        <v>561</v>
      </c>
      <c r="B2" s="5" t="s">
        <v>383</v>
      </c>
      <c r="C2" s="5" t="s">
        <v>563</v>
      </c>
      <c r="D2" s="5" t="s">
        <v>1367</v>
      </c>
      <c r="E2" s="363" t="s">
        <v>789</v>
      </c>
      <c r="F2" s="7">
        <v>30</v>
      </c>
      <c r="G2" s="7">
        <v>29</v>
      </c>
      <c r="H2" s="71">
        <f>計分版!D228</f>
        <v>1.9500000000000001E-9</v>
      </c>
      <c r="I2" s="39">
        <f>IF(I$1="差距(Median)",H2-F2,IF(I$1="差距(UQ)",H2-#REF!,IF(I$1="差距(LQ)",H2-G2)))</f>
        <v>-29.999999998050001</v>
      </c>
      <c r="J2" s="40">
        <f>IF(I$1="差距(Median)",(H2-F2)/H2,IF(I$1="差距(UQ)",(H2-#REF!)/H2,IF(I$1="差距(LQ)",(H2-G2)/H2)))</f>
        <v>-15384615383.615385</v>
      </c>
      <c r="K2" s="101">
        <v>21</v>
      </c>
      <c r="L2" s="380">
        <f>入學要求!S211</f>
        <v>0</v>
      </c>
      <c r="M2" s="249" t="s">
        <v>2193</v>
      </c>
      <c r="N2" s="19">
        <v>3</v>
      </c>
      <c r="O2" s="19">
        <v>3</v>
      </c>
      <c r="P2" s="19">
        <v>2</v>
      </c>
      <c r="Q2" s="19">
        <v>2</v>
      </c>
      <c r="R2" s="19">
        <v>3</v>
      </c>
      <c r="S2" s="19">
        <v>3</v>
      </c>
      <c r="T2" s="501" t="s">
        <v>2030</v>
      </c>
      <c r="U2" s="302">
        <f>IF($T$2="2018年",'Offer Statistics'!CF2,IF($T$2="2019年",'Offer Statistics'!CF28,IF($T$2="2020年",'Offer Statistics'!CF54)))</f>
        <v>23</v>
      </c>
      <c r="V2" s="284">
        <f>IF($T$2="2018年",'Offer Statistics'!CA2,IF($T$2="2019年",'Offer Statistics'!CA28,IF($T$2="2020年",'Offer Statistics'!CA54)))</f>
        <v>23</v>
      </c>
      <c r="W2" s="284">
        <f>IF($T$2="2018年",'Offer Statistics'!CB2,IF($T$2="2019年",'Offer Statistics'!CB28,IF($T$2="2020年",'Offer Statistics'!CB54)))</f>
        <v>0</v>
      </c>
      <c r="X2" s="284">
        <f>IF($T$2="2018年",'Offer Statistics'!CC2,IF($T$2="2019年",'Offer Statistics'!CC28,IF($T$2="2020年",'Offer Statistics'!CC54)))</f>
        <v>0</v>
      </c>
      <c r="Y2" s="284">
        <f>IF($T$2="2018年",'Offer Statistics'!CD2,IF($T$2="2019年",'Offer Statistics'!CD28,IF($T$2="2020年",'Offer Statistics'!CD54)))</f>
        <v>0</v>
      </c>
      <c r="Z2" s="284">
        <f>IF($T$2="2018年",'Offer Statistics'!CE2,IF($T$2="2019年",'Offer Statistics'!CE28,IF($T$2="2020年",'Offer Statistics'!CE54)))</f>
        <v>0</v>
      </c>
      <c r="AA2" s="501" t="str">
        <f>T2</f>
        <v>2020年</v>
      </c>
      <c r="AB2" s="302">
        <f>IF($T$2="2018年",'Offer Statistics'!BX2,IF($T$2="2019年",'Offer Statistics'!BX28,IF($T$2="2020年",'Offer Statistics'!BX54)))</f>
        <v>483</v>
      </c>
      <c r="AC2" s="284">
        <f>IF($T$2="2018年",'Offer Statistics'!BS2,IF($T$2="2019年",'Offer Statistics'!BS28,IF($T$2="2020年",'Offer Statistics'!BS54)))</f>
        <v>91</v>
      </c>
      <c r="AD2" s="284">
        <f>IF($T$2="2018年",'Offer Statistics'!BT2,IF($T$2="2019年",'Offer Statistics'!BT28,IF($T$2="2020年",'Offer Statistics'!BT54)))</f>
        <v>74</v>
      </c>
      <c r="AE2" s="284">
        <f>IF($T$2="2018年",'Offer Statistics'!BU2,IF($T$2="2019年",'Offer Statistics'!BU28,IF($T$2="2020年",'Offer Statistics'!BU54)))</f>
        <v>96</v>
      </c>
      <c r="AF2" s="284">
        <f>IF($T$2="2018年",'Offer Statistics'!BV2,IF($T$2="2019年",'Offer Statistics'!BV28,IF($T$2="2020年",'Offer Statistics'!BV54)))</f>
        <v>96</v>
      </c>
      <c r="AG2" s="284">
        <f>IF($T$2="2018年",'Offer Statistics'!BW2,IF($T$2="2019年",'Offer Statistics'!BW28,IF($T$2="2020年",'Offer Statistics'!BW54)))</f>
        <v>126</v>
      </c>
      <c r="AH2" s="175"/>
      <c r="AI2" s="307" t="str">
        <f>A2</f>
        <v>JS5101</v>
      </c>
    </row>
    <row r="3" spans="1:35" ht="18" customHeight="1">
      <c r="A3" s="5" t="s">
        <v>564</v>
      </c>
      <c r="B3" s="5" t="s">
        <v>383</v>
      </c>
      <c r="C3" s="5" t="s">
        <v>565</v>
      </c>
      <c r="D3" s="5" t="s">
        <v>1368</v>
      </c>
      <c r="E3" s="363" t="s">
        <v>626</v>
      </c>
      <c r="F3" s="7">
        <v>27.5</v>
      </c>
      <c r="G3" s="7">
        <v>26</v>
      </c>
      <c r="H3" s="71">
        <f>計分版!D229</f>
        <v>3.3000000000000002E-9</v>
      </c>
      <c r="I3" s="39">
        <f>IF(I$1="差距(Median)",H3-F3,IF(I$1="差距(UQ)",H3-#REF!,IF(I$1="差距(LQ)",H3-G3)))</f>
        <v>-27.499999996700002</v>
      </c>
      <c r="J3" s="40">
        <f>IF(I$1="差距(Median)",(H3-F3)/H3,IF(I$1="差距(UQ)",(H3-#REF!)/H3,IF(I$1="差距(LQ)",(H3-G3)/H3)))</f>
        <v>-8333333332.333333</v>
      </c>
      <c r="K3" s="501" t="s">
        <v>2443</v>
      </c>
      <c r="L3" s="380">
        <f>入學要求!S212</f>
        <v>0</v>
      </c>
      <c r="M3" s="82" t="s">
        <v>2188</v>
      </c>
      <c r="N3" s="19">
        <v>3</v>
      </c>
      <c r="O3" s="19">
        <v>3</v>
      </c>
      <c r="P3" s="19">
        <v>2</v>
      </c>
      <c r="Q3" s="19">
        <v>2</v>
      </c>
      <c r="R3" s="19">
        <v>3</v>
      </c>
      <c r="S3" s="19">
        <v>3</v>
      </c>
      <c r="T3" s="501"/>
      <c r="U3" s="302">
        <f>IF($T$2="2018年",'Offer Statistics'!CF3,IF($T$2="2019年",'Offer Statistics'!CF29,IF($T$2="2020年",'Offer Statistics'!CF55)))</f>
        <v>191</v>
      </c>
      <c r="V3" s="284">
        <f>IF($T$2="2018年",'Offer Statistics'!CA3,IF($T$2="2019年",'Offer Statistics'!CA29,IF($T$2="2020年",'Offer Statistics'!CA55)))</f>
        <v>179</v>
      </c>
      <c r="W3" s="284">
        <f>IF($T$2="2018年",'Offer Statistics'!CB3,IF($T$2="2019年",'Offer Statistics'!CB29,IF($T$2="2020年",'Offer Statistics'!CB55)))</f>
        <v>12</v>
      </c>
      <c r="X3" s="284">
        <f>IF($T$2="2018年",'Offer Statistics'!CC3,IF($T$2="2019年",'Offer Statistics'!CC29,IF($T$2="2020年",'Offer Statistics'!CC55)))</f>
        <v>0</v>
      </c>
      <c r="Y3" s="284">
        <f>IF($T$2="2018年",'Offer Statistics'!CD3,IF($T$2="2019年",'Offer Statistics'!CD29,IF($T$2="2020年",'Offer Statistics'!CD55)))</f>
        <v>0</v>
      </c>
      <c r="Z3" s="284">
        <f>IF($T$2="2018年",'Offer Statistics'!CE3,IF($T$2="2019年",'Offer Statistics'!CE29,IF($T$2="2020年",'Offer Statistics'!CE55)))</f>
        <v>0</v>
      </c>
      <c r="AA3" s="501"/>
      <c r="AB3" s="302">
        <f>IF($T$2="2018年",'Offer Statistics'!BX3,IF($T$2="2019年",'Offer Statistics'!BX29,IF($T$2="2020年",'Offer Statistics'!BX55)))</f>
        <v>2926</v>
      </c>
      <c r="AC3" s="284">
        <f>IF($T$2="2018年",'Offer Statistics'!BS3,IF($T$2="2019年",'Offer Statistics'!BS29,IF($T$2="2020年",'Offer Statistics'!BS55)))</f>
        <v>651</v>
      </c>
      <c r="AD3" s="284">
        <f>IF($T$2="2018年",'Offer Statistics'!BT3,IF($T$2="2019年",'Offer Statistics'!BT29,IF($T$2="2020年",'Offer Statistics'!BT55)))</f>
        <v>661</v>
      </c>
      <c r="AE3" s="284">
        <f>IF($T$2="2018年",'Offer Statistics'!BU3,IF($T$2="2019年",'Offer Statistics'!BU29,IF($T$2="2020年",'Offer Statistics'!BU55)))</f>
        <v>647</v>
      </c>
      <c r="AF3" s="284">
        <f>IF($T$2="2018年",'Offer Statistics'!BV3,IF($T$2="2019年",'Offer Statistics'!BV29,IF($T$2="2020年",'Offer Statistics'!BV55)))</f>
        <v>558</v>
      </c>
      <c r="AG3" s="284">
        <f>IF($T$2="2018年",'Offer Statistics'!BW3,IF($T$2="2019年",'Offer Statistics'!BW29,IF($T$2="2020年",'Offer Statistics'!BW55)))</f>
        <v>409</v>
      </c>
      <c r="AI3" s="338" t="str">
        <f t="shared" ref="AI3:AI26" si="0">A3</f>
        <v>JS5102</v>
      </c>
    </row>
    <row r="4" spans="1:35" s="11" customFormat="1" ht="18" customHeight="1">
      <c r="A4" s="5" t="s">
        <v>566</v>
      </c>
      <c r="B4" s="5" t="s">
        <v>383</v>
      </c>
      <c r="C4" s="5" t="s">
        <v>567</v>
      </c>
      <c r="D4" s="5" t="s">
        <v>1369</v>
      </c>
      <c r="E4" s="363" t="s">
        <v>626</v>
      </c>
      <c r="F4" s="7">
        <v>30</v>
      </c>
      <c r="G4" s="7">
        <v>28.5</v>
      </c>
      <c r="H4" s="71">
        <f>計分版!D230</f>
        <v>3.05E-9</v>
      </c>
      <c r="I4" s="39">
        <f>IF(I$1="差距(Median)",H4-F4,IF(I$1="差距(UQ)",H4-#REF!,IF(I$1="差距(LQ)",H4-G4)))</f>
        <v>-29.999999996949999</v>
      </c>
      <c r="J4" s="40">
        <f>IF(I$1="差距(Median)",(H4-F4)/H4,IF(I$1="差距(UQ)",(H4-#REF!)/H4,IF(I$1="差距(LQ)",(H4-G4)/H4)))</f>
        <v>-9836065572.7704906</v>
      </c>
      <c r="K4" s="501"/>
      <c r="L4" s="380">
        <f>入學要求!S213</f>
        <v>0</v>
      </c>
      <c r="M4" s="371" t="s">
        <v>2188</v>
      </c>
      <c r="N4" s="19">
        <v>3</v>
      </c>
      <c r="O4" s="19">
        <v>3</v>
      </c>
      <c r="P4" s="19">
        <v>2</v>
      </c>
      <c r="Q4" s="19">
        <v>2</v>
      </c>
      <c r="R4" s="19">
        <v>3</v>
      </c>
      <c r="S4" s="19">
        <v>3</v>
      </c>
      <c r="T4" s="501"/>
      <c r="U4" s="302">
        <f>IF($T$2="2018年",'Offer Statistics'!CF4,IF($T$2="2019年",'Offer Statistics'!CF30,IF($T$2="2020年",'Offer Statistics'!CF56)))</f>
        <v>273</v>
      </c>
      <c r="V4" s="284">
        <f>IF($T$2="2018年",'Offer Statistics'!CA4,IF($T$2="2019年",'Offer Statistics'!CA30,IF($T$2="2020年",'Offer Statistics'!CA56)))</f>
        <v>262</v>
      </c>
      <c r="W4" s="284">
        <f>IF($T$2="2018年",'Offer Statistics'!CB4,IF($T$2="2019年",'Offer Statistics'!CB30,IF($T$2="2020年",'Offer Statistics'!CB56)))</f>
        <v>11</v>
      </c>
      <c r="X4" s="284">
        <f>IF($T$2="2018年",'Offer Statistics'!CC4,IF($T$2="2019年",'Offer Statistics'!CC30,IF($T$2="2020年",'Offer Statistics'!CC56)))</f>
        <v>0</v>
      </c>
      <c r="Y4" s="284">
        <f>IF($T$2="2018年",'Offer Statistics'!CD4,IF($T$2="2019年",'Offer Statistics'!CD30,IF($T$2="2020年",'Offer Statistics'!CD56)))</f>
        <v>0</v>
      </c>
      <c r="Z4" s="284">
        <f>IF($T$2="2018年",'Offer Statistics'!CE4,IF($T$2="2019年",'Offer Statistics'!CE30,IF($T$2="2020年",'Offer Statistics'!CE56)))</f>
        <v>0</v>
      </c>
      <c r="AA4" s="501"/>
      <c r="AB4" s="302">
        <f>IF($T$2="2018年",'Offer Statistics'!BX4,IF($T$2="2019年",'Offer Statistics'!BX30,IF($T$2="2020年",'Offer Statistics'!BX56)))</f>
        <v>3754</v>
      </c>
      <c r="AC4" s="284">
        <f>IF($T$2="2018年",'Offer Statistics'!BS4,IF($T$2="2019年",'Offer Statistics'!BS30,IF($T$2="2020年",'Offer Statistics'!BS56)))</f>
        <v>1110</v>
      </c>
      <c r="AD4" s="284">
        <f>IF($T$2="2018年",'Offer Statistics'!BT4,IF($T$2="2019年",'Offer Statistics'!BT30,IF($T$2="2020年",'Offer Statistics'!BT56)))</f>
        <v>816</v>
      </c>
      <c r="AE4" s="284">
        <f>IF($T$2="2018年",'Offer Statistics'!BU4,IF($T$2="2019年",'Offer Statistics'!BU30,IF($T$2="2020年",'Offer Statistics'!BU56)))</f>
        <v>792</v>
      </c>
      <c r="AF4" s="284">
        <f>IF($T$2="2018年",'Offer Statistics'!BV4,IF($T$2="2019年",'Offer Statistics'!BV30,IF($T$2="2020年",'Offer Statistics'!BV56)))</f>
        <v>606</v>
      </c>
      <c r="AG4" s="284">
        <f>IF($T$2="2018年",'Offer Statistics'!BW4,IF($T$2="2019年",'Offer Statistics'!BW30,IF($T$2="2020年",'Offer Statistics'!BW56)))</f>
        <v>430</v>
      </c>
      <c r="AH4" s="175"/>
      <c r="AI4" s="338" t="str">
        <f t="shared" si="0"/>
        <v>JS5103</v>
      </c>
    </row>
    <row r="5" spans="1:35" s="11" customFormat="1" ht="18" customHeight="1">
      <c r="A5" s="5" t="s">
        <v>1326</v>
      </c>
      <c r="B5" s="5" t="s">
        <v>383</v>
      </c>
      <c r="C5" s="5" t="s">
        <v>1325</v>
      </c>
      <c r="D5" s="5" t="s">
        <v>1371</v>
      </c>
      <c r="E5" s="384" t="s">
        <v>626</v>
      </c>
      <c r="F5" s="7" t="s">
        <v>360</v>
      </c>
      <c r="G5" s="7" t="s">
        <v>360</v>
      </c>
      <c r="H5" s="71">
        <f>計分版!D231</f>
        <v>3.3000000000000002E-9</v>
      </c>
      <c r="I5" s="8" t="s">
        <v>360</v>
      </c>
      <c r="J5" s="9" t="s">
        <v>360</v>
      </c>
      <c r="K5" s="124">
        <v>40</v>
      </c>
      <c r="L5" s="380">
        <f>入學要求!S214</f>
        <v>0</v>
      </c>
      <c r="M5" s="371" t="s">
        <v>2188</v>
      </c>
      <c r="N5" s="19">
        <v>3</v>
      </c>
      <c r="O5" s="19">
        <v>3</v>
      </c>
      <c r="P5" s="19">
        <v>2</v>
      </c>
      <c r="Q5" s="19">
        <v>2</v>
      </c>
      <c r="R5" s="19">
        <v>3</v>
      </c>
      <c r="S5" s="19">
        <v>3</v>
      </c>
      <c r="T5" s="501"/>
      <c r="U5" s="302" t="str">
        <f>IF($T$2="2018年",'Offer Statistics'!CF5,IF($T$2="2019年",'Offer Statistics'!CF31,IF($T$2="2020年",'Offer Statistics'!CF57)))</f>
        <v>/</v>
      </c>
      <c r="V5" s="284" t="str">
        <f>IF($T$2="2018年",'Offer Statistics'!CA5,IF($T$2="2019年",'Offer Statistics'!CA31,IF($T$2="2020年",'Offer Statistics'!CA57)))</f>
        <v>/</v>
      </c>
      <c r="W5" s="284" t="str">
        <f>IF($T$2="2018年",'Offer Statistics'!CB5,IF($T$2="2019年",'Offer Statistics'!CB31,IF($T$2="2020年",'Offer Statistics'!CB57)))</f>
        <v>/</v>
      </c>
      <c r="X5" s="284" t="str">
        <f>IF($T$2="2018年",'Offer Statistics'!CC5,IF($T$2="2019年",'Offer Statistics'!CC31,IF($T$2="2020年",'Offer Statistics'!CC57)))</f>
        <v>/</v>
      </c>
      <c r="Y5" s="284" t="str">
        <f>IF($T$2="2018年",'Offer Statistics'!CD5,IF($T$2="2019年",'Offer Statistics'!CD31,IF($T$2="2020年",'Offer Statistics'!CD57)))</f>
        <v>/</v>
      </c>
      <c r="Z5" s="284" t="str">
        <f>IF($T$2="2018年",'Offer Statistics'!CE5,IF($T$2="2019年",'Offer Statistics'!CE31,IF($T$2="2020年",'Offer Statistics'!CE57)))</f>
        <v>/</v>
      </c>
      <c r="AA5" s="501"/>
      <c r="AB5" s="302" t="str">
        <f>IF($T$2="2018年",'Offer Statistics'!BX5,IF($T$2="2019年",'Offer Statistics'!BX31,IF($T$2="2020年",'Offer Statistics'!BX57)))</f>
        <v>/</v>
      </c>
      <c r="AC5" s="284" t="str">
        <f>IF($T$2="2018年",'Offer Statistics'!BS5,IF($T$2="2019年",'Offer Statistics'!BS31,IF($T$2="2020年",'Offer Statistics'!BS57)))</f>
        <v>/</v>
      </c>
      <c r="AD5" s="284" t="str">
        <f>IF($T$2="2018年",'Offer Statistics'!BT5,IF($T$2="2019年",'Offer Statistics'!BT31,IF($T$2="2020年",'Offer Statistics'!BT57)))</f>
        <v>/</v>
      </c>
      <c r="AE5" s="284" t="str">
        <f>IF($T$2="2018年",'Offer Statistics'!BU5,IF($T$2="2019年",'Offer Statistics'!BU31,IF($T$2="2020年",'Offer Statistics'!BU57)))</f>
        <v>/</v>
      </c>
      <c r="AF5" s="284" t="str">
        <f>IF($T$2="2018年",'Offer Statistics'!BV5,IF($T$2="2019年",'Offer Statistics'!BV31,IF($T$2="2020年",'Offer Statistics'!BV57)))</f>
        <v>/</v>
      </c>
      <c r="AG5" s="284" t="str">
        <f>IF($T$2="2018年",'Offer Statistics'!BW5,IF($T$2="2019年",'Offer Statistics'!BW31,IF($T$2="2020年",'Offer Statistics'!BW57)))</f>
        <v>/</v>
      </c>
      <c r="AH5" s="175"/>
      <c r="AI5" s="338" t="str">
        <f t="shared" si="0"/>
        <v>JS5181</v>
      </c>
    </row>
    <row r="6" spans="1:35" ht="18" customHeight="1">
      <c r="A6" s="5" t="s">
        <v>568</v>
      </c>
      <c r="B6" s="5" t="s">
        <v>778</v>
      </c>
      <c r="C6" s="5" t="s">
        <v>569</v>
      </c>
      <c r="D6" s="5" t="s">
        <v>1372</v>
      </c>
      <c r="E6" s="363" t="s">
        <v>626</v>
      </c>
      <c r="F6" s="7">
        <v>37</v>
      </c>
      <c r="G6" s="7">
        <v>34.5</v>
      </c>
      <c r="H6" s="71">
        <f>計分版!D232</f>
        <v>2.8499999999999999E-9</v>
      </c>
      <c r="I6" s="39">
        <f>IF(I$1="差距(Median)",H6-F6,IF(I$1="差距(UQ)",H6-#REF!,IF(I$1="差距(LQ)",H6-G6)))</f>
        <v>-36.999999997149999</v>
      </c>
      <c r="J6" s="40">
        <f>IF(I$1="差距(Median)",(H6-F6)/H6,IF(I$1="差距(UQ)",(H6-#REF!)/H6,IF(I$1="差距(LQ)",(H6-G6)/H6)))</f>
        <v>-12982456139.350878</v>
      </c>
      <c r="K6" s="101">
        <v>524</v>
      </c>
      <c r="L6" s="380">
        <f>入學要求!S215</f>
        <v>0</v>
      </c>
      <c r="M6" s="371" t="s">
        <v>2188</v>
      </c>
      <c r="N6" s="19">
        <v>3</v>
      </c>
      <c r="O6" s="19">
        <v>3</v>
      </c>
      <c r="P6" s="19">
        <v>2</v>
      </c>
      <c r="Q6" s="19">
        <v>2</v>
      </c>
      <c r="R6" s="19">
        <v>3</v>
      </c>
      <c r="S6" s="19">
        <v>3</v>
      </c>
      <c r="T6" s="501"/>
      <c r="U6" s="302">
        <f>IF($T$2="2018年",'Offer Statistics'!CF6,IF($T$2="2019年",'Offer Statistics'!CF32,IF($T$2="2020年",'Offer Statistics'!CF58)))</f>
        <v>488</v>
      </c>
      <c r="V6" s="284">
        <f>IF($T$2="2018年",'Offer Statistics'!CA6,IF($T$2="2019年",'Offer Statistics'!CA32,IF($T$2="2020年",'Offer Statistics'!CA58)))</f>
        <v>485</v>
      </c>
      <c r="W6" s="284">
        <f>IF($T$2="2018年",'Offer Statistics'!CB6,IF($T$2="2019年",'Offer Statistics'!CB32,IF($T$2="2020年",'Offer Statistics'!CB58)))</f>
        <v>3</v>
      </c>
      <c r="X6" s="284">
        <f>IF($T$2="2018年",'Offer Statistics'!CC6,IF($T$2="2019年",'Offer Statistics'!CC32,IF($T$2="2020年",'Offer Statistics'!CC58)))</f>
        <v>0</v>
      </c>
      <c r="Y6" s="284">
        <f>IF($T$2="2018年",'Offer Statistics'!CD6,IF($T$2="2019年",'Offer Statistics'!CD32,IF($T$2="2020年",'Offer Statistics'!CD58)))</f>
        <v>0</v>
      </c>
      <c r="Z6" s="284">
        <f>IF($T$2="2018年",'Offer Statistics'!CE6,IF($T$2="2019年",'Offer Statistics'!CE32,IF($T$2="2020年",'Offer Statistics'!CE58)))</f>
        <v>0</v>
      </c>
      <c r="AA6" s="501"/>
      <c r="AB6" s="302">
        <f>IF($T$2="2018年",'Offer Statistics'!BX6,IF($T$2="2019年",'Offer Statistics'!BX32,IF($T$2="2020年",'Offer Statistics'!BX58)))</f>
        <v>4778</v>
      </c>
      <c r="AC6" s="284">
        <f>IF($T$2="2018年",'Offer Statistics'!BS6,IF($T$2="2019年",'Offer Statistics'!BS32,IF($T$2="2020年",'Offer Statistics'!BS58)))</f>
        <v>1513</v>
      </c>
      <c r="AD6" s="284">
        <f>IF($T$2="2018年",'Offer Statistics'!BT6,IF($T$2="2019年",'Offer Statistics'!BT32,IF($T$2="2020年",'Offer Statistics'!BT58)))</f>
        <v>903</v>
      </c>
      <c r="AE6" s="284">
        <f>IF($T$2="2018年",'Offer Statistics'!BU6,IF($T$2="2019年",'Offer Statistics'!BU32,IF($T$2="2020年",'Offer Statistics'!BU58)))</f>
        <v>891</v>
      </c>
      <c r="AF6" s="284">
        <f>IF($T$2="2018年",'Offer Statistics'!BV6,IF($T$2="2019年",'Offer Statistics'!BV32,IF($T$2="2020年",'Offer Statistics'!BV58)))</f>
        <v>835</v>
      </c>
      <c r="AG6" s="284">
        <f>IF($T$2="2018年",'Offer Statistics'!BW6,IF($T$2="2019年",'Offer Statistics'!BW32,IF($T$2="2020年",'Offer Statistics'!BW58)))</f>
        <v>636</v>
      </c>
      <c r="AI6" s="338" t="str">
        <f t="shared" si="0"/>
        <v>JS5200</v>
      </c>
    </row>
    <row r="7" spans="1:35" s="11" customFormat="1" ht="18" customHeight="1">
      <c r="A7" s="5" t="s">
        <v>570</v>
      </c>
      <c r="B7" s="5" t="s">
        <v>778</v>
      </c>
      <c r="C7" s="5" t="s">
        <v>571</v>
      </c>
      <c r="D7" s="5" t="s">
        <v>1373</v>
      </c>
      <c r="E7" s="363" t="s">
        <v>626</v>
      </c>
      <c r="F7" s="7">
        <v>39</v>
      </c>
      <c r="G7" s="7">
        <v>37</v>
      </c>
      <c r="H7" s="71">
        <f>計分版!D233</f>
        <v>2.6999999999999998E-9</v>
      </c>
      <c r="I7" s="39">
        <f>IF(I$1="差距(Median)",H7-F7,IF(I$1="差距(UQ)",H7-#REF!,IF(I$1="差距(LQ)",H7-G7)))</f>
        <v>-38.999999997300002</v>
      </c>
      <c r="J7" s="40">
        <f>IF(I$1="差距(Median)",(H7-F7)/H7,IF(I$1="差距(UQ)",(H7-#REF!)/H7,IF(I$1="差距(LQ)",(H7-G7)/H7)))</f>
        <v>-14444444443.444447</v>
      </c>
      <c r="K7" s="101">
        <v>25</v>
      </c>
      <c r="L7" s="380">
        <f>入學要求!S216</f>
        <v>0</v>
      </c>
      <c r="M7" s="369" t="s">
        <v>2194</v>
      </c>
      <c r="N7" s="19">
        <v>3</v>
      </c>
      <c r="O7" s="19">
        <v>3</v>
      </c>
      <c r="P7" s="19">
        <v>2</v>
      </c>
      <c r="Q7" s="19">
        <v>2</v>
      </c>
      <c r="R7" s="19">
        <v>3</v>
      </c>
      <c r="S7" s="19">
        <v>3</v>
      </c>
      <c r="T7" s="501"/>
      <c r="U7" s="302">
        <f>IF($T$2="2018年",'Offer Statistics'!CF7,IF($T$2="2019年",'Offer Statistics'!CF33,IF($T$2="2020年",'Offer Statistics'!CF59)))</f>
        <v>10</v>
      </c>
      <c r="V7" s="284">
        <f>IF($T$2="2018年",'Offer Statistics'!CA7,IF($T$2="2019年",'Offer Statistics'!CA33,IF($T$2="2020年",'Offer Statistics'!CA59)))</f>
        <v>10</v>
      </c>
      <c r="W7" s="284">
        <f>IF($T$2="2018年",'Offer Statistics'!CB7,IF($T$2="2019年",'Offer Statistics'!CB33,IF($T$2="2020年",'Offer Statistics'!CB59)))</f>
        <v>0</v>
      </c>
      <c r="X7" s="284">
        <f>IF($T$2="2018年",'Offer Statistics'!CC7,IF($T$2="2019年",'Offer Statistics'!CC33,IF($T$2="2020年",'Offer Statistics'!CC59)))</f>
        <v>0</v>
      </c>
      <c r="Y7" s="284">
        <f>IF($T$2="2018年",'Offer Statistics'!CD7,IF($T$2="2019年",'Offer Statistics'!CD33,IF($T$2="2020年",'Offer Statistics'!CD59)))</f>
        <v>0</v>
      </c>
      <c r="Z7" s="284">
        <f>IF($T$2="2018年",'Offer Statistics'!CE7,IF($T$2="2019年",'Offer Statistics'!CE33,IF($T$2="2020年",'Offer Statistics'!CE59)))</f>
        <v>0</v>
      </c>
      <c r="AA7" s="501"/>
      <c r="AB7" s="302">
        <f>IF($T$2="2018年",'Offer Statistics'!BX7,IF($T$2="2019年",'Offer Statistics'!BX33,IF($T$2="2020年",'Offer Statistics'!BX59)))</f>
        <v>343</v>
      </c>
      <c r="AC7" s="284">
        <f>IF($T$2="2018年",'Offer Statistics'!BS7,IF($T$2="2019年",'Offer Statistics'!BS33,IF($T$2="2020年",'Offer Statistics'!BS59)))</f>
        <v>31</v>
      </c>
      <c r="AD7" s="284">
        <f>IF($T$2="2018年",'Offer Statistics'!BT7,IF($T$2="2019年",'Offer Statistics'!BT33,IF($T$2="2020年",'Offer Statistics'!BT59)))</f>
        <v>40</v>
      </c>
      <c r="AE7" s="284">
        <f>IF($T$2="2018年",'Offer Statistics'!BU7,IF($T$2="2019年",'Offer Statistics'!BU33,IF($T$2="2020年",'Offer Statistics'!BU59)))</f>
        <v>77</v>
      </c>
      <c r="AF7" s="284">
        <f>IF($T$2="2018年",'Offer Statistics'!BV7,IF($T$2="2019年",'Offer Statistics'!BV33,IF($T$2="2020年",'Offer Statistics'!BV59)))</f>
        <v>105</v>
      </c>
      <c r="AG7" s="284">
        <f>IF($T$2="2018年",'Offer Statistics'!BW7,IF($T$2="2019年",'Offer Statistics'!BW33,IF($T$2="2020年",'Offer Statistics'!BW59)))</f>
        <v>90</v>
      </c>
      <c r="AH7" s="175"/>
      <c r="AI7" s="338" t="str">
        <f t="shared" si="0"/>
        <v>JS5211</v>
      </c>
    </row>
    <row r="8" spans="1:35" s="11" customFormat="1" ht="18" customHeight="1">
      <c r="A8" s="5" t="s">
        <v>1327</v>
      </c>
      <c r="B8" s="5" t="s">
        <v>778</v>
      </c>
      <c r="C8" s="5" t="s">
        <v>1328</v>
      </c>
      <c r="D8" s="5" t="s">
        <v>1375</v>
      </c>
      <c r="E8" s="384" t="s">
        <v>626</v>
      </c>
      <c r="F8" s="7" t="s">
        <v>360</v>
      </c>
      <c r="G8" s="7" t="s">
        <v>360</v>
      </c>
      <c r="H8" s="71">
        <f>計分版!D234</f>
        <v>2.8499999999999999E-9</v>
      </c>
      <c r="I8" s="8" t="s">
        <v>360</v>
      </c>
      <c r="J8" s="9" t="s">
        <v>360</v>
      </c>
      <c r="K8" s="124">
        <v>150</v>
      </c>
      <c r="L8" s="380">
        <f>入學要求!S217</f>
        <v>0</v>
      </c>
      <c r="M8" s="371" t="s">
        <v>2188</v>
      </c>
      <c r="N8" s="19">
        <v>3</v>
      </c>
      <c r="O8" s="19">
        <v>3</v>
      </c>
      <c r="P8" s="19">
        <v>2</v>
      </c>
      <c r="Q8" s="19">
        <v>2</v>
      </c>
      <c r="R8" s="19">
        <v>3</v>
      </c>
      <c r="S8" s="19">
        <v>3</v>
      </c>
      <c r="T8" s="501"/>
      <c r="U8" s="302" t="str">
        <f>IF($T$2="2018年",'Offer Statistics'!CF8,IF($T$2="2019年",'Offer Statistics'!CF34,IF($T$2="2020年",'Offer Statistics'!CF60)))</f>
        <v>/</v>
      </c>
      <c r="V8" s="284" t="str">
        <f>IF($T$2="2018年",'Offer Statistics'!CA8,IF($T$2="2019年",'Offer Statistics'!CA34,IF($T$2="2020年",'Offer Statistics'!CA60)))</f>
        <v>/</v>
      </c>
      <c r="W8" s="284" t="str">
        <f>IF($T$2="2018年",'Offer Statistics'!CB8,IF($T$2="2019年",'Offer Statistics'!CB34,IF($T$2="2020年",'Offer Statistics'!CB60)))</f>
        <v>/</v>
      </c>
      <c r="X8" s="284" t="str">
        <f>IF($T$2="2018年",'Offer Statistics'!CC8,IF($T$2="2019年",'Offer Statistics'!CC34,IF($T$2="2020年",'Offer Statistics'!CC60)))</f>
        <v>/</v>
      </c>
      <c r="Y8" s="284" t="str">
        <f>IF($T$2="2018年",'Offer Statistics'!CD8,IF($T$2="2019年",'Offer Statistics'!CD34,IF($T$2="2020年",'Offer Statistics'!CD60)))</f>
        <v>/</v>
      </c>
      <c r="Z8" s="284" t="str">
        <f>IF($T$2="2018年",'Offer Statistics'!CE8,IF($T$2="2019年",'Offer Statistics'!CE34,IF($T$2="2020年",'Offer Statistics'!CE60)))</f>
        <v>/</v>
      </c>
      <c r="AA8" s="501"/>
      <c r="AB8" s="302" t="str">
        <f>IF($T$2="2018年",'Offer Statistics'!BX8,IF($T$2="2019年",'Offer Statistics'!BX34,IF($T$2="2020年",'Offer Statistics'!BX60)))</f>
        <v>/</v>
      </c>
      <c r="AC8" s="284" t="str">
        <f>IF($T$2="2018年",'Offer Statistics'!BS8,IF($T$2="2019年",'Offer Statistics'!BS34,IF($T$2="2020年",'Offer Statistics'!BS60)))</f>
        <v>/</v>
      </c>
      <c r="AD8" s="284" t="str">
        <f>IF($T$2="2018年",'Offer Statistics'!BT8,IF($T$2="2019年",'Offer Statistics'!BT34,IF($T$2="2020年",'Offer Statistics'!BT60)))</f>
        <v>/</v>
      </c>
      <c r="AE8" s="284" t="str">
        <f>IF($T$2="2018年",'Offer Statistics'!BU8,IF($T$2="2019年",'Offer Statistics'!BU34,IF($T$2="2020年",'Offer Statistics'!BU60)))</f>
        <v>/</v>
      </c>
      <c r="AF8" s="284" t="str">
        <f>IF($T$2="2018年",'Offer Statistics'!BV8,IF($T$2="2019年",'Offer Statistics'!BV34,IF($T$2="2020年",'Offer Statistics'!BV60)))</f>
        <v>/</v>
      </c>
      <c r="AG8" s="284" t="str">
        <f>IF($T$2="2018年",'Offer Statistics'!BW8,IF($T$2="2019年",'Offer Statistics'!BW34,IF($T$2="2020年",'Offer Statistics'!BW60)))</f>
        <v>/</v>
      </c>
      <c r="AH8" s="175"/>
      <c r="AI8" s="338" t="str">
        <f t="shared" si="0"/>
        <v>JS5282</v>
      </c>
    </row>
    <row r="9" spans="1:35" ht="18" customHeight="1">
      <c r="A9" s="5" t="s">
        <v>572</v>
      </c>
      <c r="B9" s="5" t="s">
        <v>779</v>
      </c>
      <c r="C9" s="5" t="s">
        <v>574</v>
      </c>
      <c r="D9" s="5" t="s">
        <v>1377</v>
      </c>
      <c r="E9" s="363" t="s">
        <v>627</v>
      </c>
      <c r="F9" s="7">
        <v>35</v>
      </c>
      <c r="G9" s="7">
        <v>34</v>
      </c>
      <c r="H9" s="71">
        <f>計分版!D235</f>
        <v>4.0000000000000002E-9</v>
      </c>
      <c r="I9" s="39">
        <f>IF(I$1="差距(Median)",H9-F9,IF(I$1="差距(UQ)",H9-#REF!,IF(I$1="差距(LQ)",H9-G9)))</f>
        <v>-34.999999996</v>
      </c>
      <c r="J9" s="40">
        <f>IF(I$1="差距(Median)",(H9-F9)/H9,IF(I$1="差距(UQ)",(H9-#REF!)/H9,IF(I$1="差距(LQ)",(H9-G9)/H9)))</f>
        <v>-8749999999</v>
      </c>
      <c r="K9" s="101">
        <v>385</v>
      </c>
      <c r="L9" s="380">
        <f>入學要求!S218</f>
        <v>0</v>
      </c>
      <c r="M9" s="371" t="s">
        <v>2188</v>
      </c>
      <c r="N9" s="19">
        <v>3</v>
      </c>
      <c r="O9" s="19">
        <v>4</v>
      </c>
      <c r="P9" s="19">
        <v>3</v>
      </c>
      <c r="Q9" s="19">
        <v>2</v>
      </c>
      <c r="R9" s="19">
        <v>3</v>
      </c>
      <c r="S9" s="19">
        <v>3</v>
      </c>
      <c r="T9" s="501"/>
      <c r="U9" s="302">
        <f>IF($T$2="2018年",'Offer Statistics'!CF9,IF($T$2="2019年",'Offer Statistics'!CF35,IF($T$2="2020年",'Offer Statistics'!CF61)))</f>
        <v>295</v>
      </c>
      <c r="V9" s="284">
        <f>IF($T$2="2018年",'Offer Statistics'!CA9,IF($T$2="2019年",'Offer Statistics'!CA35,IF($T$2="2020年",'Offer Statistics'!CA61)))</f>
        <v>295</v>
      </c>
      <c r="W9" s="284">
        <f>IF($T$2="2018年",'Offer Statistics'!CB9,IF($T$2="2019年",'Offer Statistics'!CB35,IF($T$2="2020年",'Offer Statistics'!CB61)))</f>
        <v>0</v>
      </c>
      <c r="X9" s="284">
        <f>IF($T$2="2018年",'Offer Statistics'!CC9,IF($T$2="2019年",'Offer Statistics'!CC35,IF($T$2="2020年",'Offer Statistics'!CC61)))</f>
        <v>0</v>
      </c>
      <c r="Y9" s="284">
        <f>IF($T$2="2018年",'Offer Statistics'!CD9,IF($T$2="2019年",'Offer Statistics'!CD35,IF($T$2="2020年",'Offer Statistics'!CD61)))</f>
        <v>0</v>
      </c>
      <c r="Z9" s="284">
        <f>IF($T$2="2018年",'Offer Statistics'!CE9,IF($T$2="2019年",'Offer Statistics'!CE35,IF($T$2="2020年",'Offer Statistics'!CE61)))</f>
        <v>0</v>
      </c>
      <c r="AA9" s="501"/>
      <c r="AB9" s="302">
        <f>IF($T$2="2018年",'Offer Statistics'!BX9,IF($T$2="2019年",'Offer Statistics'!BX35,IF($T$2="2020年",'Offer Statistics'!BX61)))</f>
        <v>3260</v>
      </c>
      <c r="AC9" s="284">
        <f>IF($T$2="2018年",'Offer Statistics'!BS9,IF($T$2="2019年",'Offer Statistics'!BS35,IF($T$2="2020年",'Offer Statistics'!BS61)))</f>
        <v>1038</v>
      </c>
      <c r="AD9" s="284">
        <f>IF($T$2="2018年",'Offer Statistics'!BT9,IF($T$2="2019年",'Offer Statistics'!BT35,IF($T$2="2020年",'Offer Statistics'!BT61)))</f>
        <v>382</v>
      </c>
      <c r="AE9" s="284">
        <f>IF($T$2="2018年",'Offer Statistics'!BU9,IF($T$2="2019年",'Offer Statistics'!BU35,IF($T$2="2020年",'Offer Statistics'!BU61)))</f>
        <v>517</v>
      </c>
      <c r="AF9" s="284">
        <f>IF($T$2="2018年",'Offer Statistics'!BV9,IF($T$2="2019年",'Offer Statistics'!BV35,IF($T$2="2020年",'Offer Statistics'!BV61)))</f>
        <v>687</v>
      </c>
      <c r="AG9" s="284">
        <f>IF($T$2="2018年",'Offer Statistics'!BW9,IF($T$2="2019年",'Offer Statistics'!BW35,IF($T$2="2020年",'Offer Statistics'!BW61)))</f>
        <v>636</v>
      </c>
      <c r="AI9" s="338" t="str">
        <f t="shared" si="0"/>
        <v>JS5300</v>
      </c>
    </row>
    <row r="10" spans="1:35" s="11" customFormat="1" ht="18" customHeight="1">
      <c r="A10" s="5" t="s">
        <v>575</v>
      </c>
      <c r="B10" s="5" t="s">
        <v>779</v>
      </c>
      <c r="C10" s="5" t="s">
        <v>577</v>
      </c>
      <c r="D10" s="5" t="s">
        <v>1378</v>
      </c>
      <c r="E10" s="363" t="s">
        <v>627</v>
      </c>
      <c r="F10" s="7">
        <v>37</v>
      </c>
      <c r="G10" s="7">
        <v>35</v>
      </c>
      <c r="H10" s="71">
        <f>計分版!D236</f>
        <v>4.0000000000000002E-9</v>
      </c>
      <c r="I10" s="39">
        <f>IF(I$1="差距(Median)",H10-F10,IF(I$1="差距(UQ)",H10-#REF!,IF(I$1="差距(LQ)",H10-G10)))</f>
        <v>-36.999999996</v>
      </c>
      <c r="J10" s="40">
        <f>IF(I$1="差距(Median)",(H10-F10)/H10,IF(I$1="差距(UQ)",(H10-#REF!)/H10,IF(I$1="差距(LQ)",(H10-G10)/H10)))</f>
        <v>-9249999999</v>
      </c>
      <c r="K10" s="101">
        <v>125</v>
      </c>
      <c r="L10" s="380">
        <f>入學要求!S219</f>
        <v>0</v>
      </c>
      <c r="M10" s="371" t="s">
        <v>2188</v>
      </c>
      <c r="N10" s="19">
        <v>3</v>
      </c>
      <c r="O10" s="19">
        <v>4</v>
      </c>
      <c r="P10" s="19">
        <v>3</v>
      </c>
      <c r="Q10" s="19">
        <v>2</v>
      </c>
      <c r="R10" s="19">
        <v>3</v>
      </c>
      <c r="S10" s="19">
        <v>3</v>
      </c>
      <c r="T10" s="501"/>
      <c r="U10" s="302">
        <f>IF($T$2="2018年",'Offer Statistics'!CF10,IF($T$2="2019年",'Offer Statistics'!CF36,IF($T$2="2020年",'Offer Statistics'!CF62)))</f>
        <v>15</v>
      </c>
      <c r="V10" s="284">
        <f>IF($T$2="2018年",'Offer Statistics'!CA10,IF($T$2="2019年",'Offer Statistics'!CA36,IF($T$2="2020年",'Offer Statistics'!CA62)))</f>
        <v>15</v>
      </c>
      <c r="W10" s="284">
        <f>IF($T$2="2018年",'Offer Statistics'!CB10,IF($T$2="2019年",'Offer Statistics'!CB36,IF($T$2="2020年",'Offer Statistics'!CB62)))</f>
        <v>0</v>
      </c>
      <c r="X10" s="284">
        <f>IF($T$2="2018年",'Offer Statistics'!CC10,IF($T$2="2019年",'Offer Statistics'!CC36,IF($T$2="2020年",'Offer Statistics'!CC62)))</f>
        <v>0</v>
      </c>
      <c r="Y10" s="284">
        <f>IF($T$2="2018年",'Offer Statistics'!CD10,IF($T$2="2019年",'Offer Statistics'!CD36,IF($T$2="2020年",'Offer Statistics'!CD62)))</f>
        <v>0</v>
      </c>
      <c r="Z10" s="284">
        <f>IF($T$2="2018年",'Offer Statistics'!CE10,IF($T$2="2019年",'Offer Statistics'!CE36,IF($T$2="2020年",'Offer Statistics'!CE62)))</f>
        <v>0</v>
      </c>
      <c r="AA10" s="501"/>
      <c r="AB10" s="302">
        <f>IF($T$2="2018年",'Offer Statistics'!BX10,IF($T$2="2019年",'Offer Statistics'!BX36,IF($T$2="2020年",'Offer Statistics'!BX62)))</f>
        <v>1115</v>
      </c>
      <c r="AC10" s="284">
        <f>IF($T$2="2018年",'Offer Statistics'!BS10,IF($T$2="2019年",'Offer Statistics'!BS36,IF($T$2="2020年",'Offer Statistics'!BS62)))</f>
        <v>65</v>
      </c>
      <c r="AD10" s="284">
        <f>IF($T$2="2018年",'Offer Statistics'!BT10,IF($T$2="2019年",'Offer Statistics'!BT36,IF($T$2="2020年",'Offer Statistics'!BT62)))</f>
        <v>131</v>
      </c>
      <c r="AE10" s="284">
        <f>IF($T$2="2018年",'Offer Statistics'!BU10,IF($T$2="2019年",'Offer Statistics'!BU36,IF($T$2="2020年",'Offer Statistics'!BU62)))</f>
        <v>244</v>
      </c>
      <c r="AF10" s="284">
        <f>IF($T$2="2018年",'Offer Statistics'!BV10,IF($T$2="2019年",'Offer Statistics'!BV36,IF($T$2="2020年",'Offer Statistics'!BV62)))</f>
        <v>369</v>
      </c>
      <c r="AG10" s="284">
        <f>IF($T$2="2018年",'Offer Statistics'!BW10,IF($T$2="2019年",'Offer Statistics'!BW36,IF($T$2="2020年",'Offer Statistics'!BW62)))</f>
        <v>306</v>
      </c>
      <c r="AH10" s="175"/>
      <c r="AI10" s="338" t="str">
        <f t="shared" si="0"/>
        <v>JS5311</v>
      </c>
    </row>
    <row r="11" spans="1:35" ht="18" customHeight="1">
      <c r="A11" s="5" t="s">
        <v>578</v>
      </c>
      <c r="B11" s="5" t="s">
        <v>779</v>
      </c>
      <c r="C11" s="5" t="s">
        <v>580</v>
      </c>
      <c r="D11" s="5" t="s">
        <v>1379</v>
      </c>
      <c r="E11" s="363" t="s">
        <v>781</v>
      </c>
      <c r="F11" s="7">
        <v>44</v>
      </c>
      <c r="G11" s="7">
        <v>43</v>
      </c>
      <c r="H11" s="71">
        <f>計分版!D237</f>
        <v>4.1499999999999999E-9</v>
      </c>
      <c r="I11" s="39">
        <f>IF(I$1="差距(Median)",H11-F11,IF(I$1="差距(UQ)",H11-#REF!,IF(I$1="差距(LQ)",H11-G11)))</f>
        <v>-43.999999995849997</v>
      </c>
      <c r="J11" s="40">
        <f>IF(I$1="差距(Median)",(H11-F11)/H11,IF(I$1="差距(UQ)",(H11-#REF!)/H11,IF(I$1="差距(LQ)",(H11-G11)/H11)))</f>
        <v>-10602409637.554216</v>
      </c>
      <c r="K11" s="101">
        <v>30</v>
      </c>
      <c r="L11" s="380">
        <f>入學要求!S220</f>
        <v>0</v>
      </c>
      <c r="M11" s="371" t="s">
        <v>2188</v>
      </c>
      <c r="N11" s="19">
        <v>3</v>
      </c>
      <c r="O11" s="19">
        <v>4</v>
      </c>
      <c r="P11" s="19">
        <v>3</v>
      </c>
      <c r="Q11" s="19">
        <v>2</v>
      </c>
      <c r="R11" s="19">
        <v>3</v>
      </c>
      <c r="S11" s="19">
        <v>3</v>
      </c>
      <c r="T11" s="501"/>
      <c r="U11" s="302">
        <f>IF($T$2="2018年",'Offer Statistics'!CF11,IF($T$2="2019年",'Offer Statistics'!CF37,IF($T$2="2020年",'Offer Statistics'!CF63)))</f>
        <v>45</v>
      </c>
      <c r="V11" s="284">
        <f>IF($T$2="2018年",'Offer Statistics'!CA11,IF($T$2="2019年",'Offer Statistics'!CA37,IF($T$2="2020年",'Offer Statistics'!CA63)))</f>
        <v>45</v>
      </c>
      <c r="W11" s="284">
        <f>IF($T$2="2018年",'Offer Statistics'!CB11,IF($T$2="2019年",'Offer Statistics'!CB37,IF($T$2="2020年",'Offer Statistics'!CB63)))</f>
        <v>0</v>
      </c>
      <c r="X11" s="284">
        <f>IF($T$2="2018年",'Offer Statistics'!CC11,IF($T$2="2019年",'Offer Statistics'!CC37,IF($T$2="2020年",'Offer Statistics'!CC63)))</f>
        <v>0</v>
      </c>
      <c r="Y11" s="284">
        <f>IF($T$2="2018年",'Offer Statistics'!CD11,IF($T$2="2019年",'Offer Statistics'!CD37,IF($T$2="2020年",'Offer Statistics'!CD63)))</f>
        <v>0</v>
      </c>
      <c r="Z11" s="284">
        <f>IF($T$2="2018年",'Offer Statistics'!CE11,IF($T$2="2019年",'Offer Statistics'!CE37,IF($T$2="2020年",'Offer Statistics'!CE63)))</f>
        <v>0</v>
      </c>
      <c r="AA11" s="501"/>
      <c r="AB11" s="302">
        <f>IF($T$2="2018年",'Offer Statistics'!BX11,IF($T$2="2019年",'Offer Statistics'!BX37,IF($T$2="2020年",'Offer Statistics'!BX63)))</f>
        <v>981</v>
      </c>
      <c r="AC11" s="284">
        <f>IF($T$2="2018年",'Offer Statistics'!BS11,IF($T$2="2019年",'Offer Statistics'!BS37,IF($T$2="2020年",'Offer Statistics'!BS63)))</f>
        <v>115</v>
      </c>
      <c r="AD11" s="284">
        <f>IF($T$2="2018年",'Offer Statistics'!BT11,IF($T$2="2019年",'Offer Statistics'!BT37,IF($T$2="2020年",'Offer Statistics'!BT63)))</f>
        <v>79</v>
      </c>
      <c r="AE11" s="284">
        <f>IF($T$2="2018年",'Offer Statistics'!BU11,IF($T$2="2019年",'Offer Statistics'!BU37,IF($T$2="2020年",'Offer Statistics'!BU63)))</f>
        <v>209</v>
      </c>
      <c r="AF11" s="284">
        <f>IF($T$2="2018年",'Offer Statistics'!BV11,IF($T$2="2019年",'Offer Statistics'!BV37,IF($T$2="2020年",'Offer Statistics'!BV63)))</f>
        <v>314</v>
      </c>
      <c r="AG11" s="284">
        <f>IF($T$2="2018年",'Offer Statistics'!BW11,IF($T$2="2019年",'Offer Statistics'!BW37,IF($T$2="2020年",'Offer Statistics'!BW63)))</f>
        <v>264</v>
      </c>
      <c r="AI11" s="338" t="str">
        <f t="shared" si="0"/>
        <v>JS5312</v>
      </c>
    </row>
    <row r="12" spans="1:35" s="11" customFormat="1" ht="18" customHeight="1">
      <c r="A12" s="5" t="s">
        <v>581</v>
      </c>
      <c r="B12" s="5" t="s">
        <v>779</v>
      </c>
      <c r="C12" s="5" t="s">
        <v>583</v>
      </c>
      <c r="D12" s="5" t="s">
        <v>1380</v>
      </c>
      <c r="E12" s="363" t="s">
        <v>627</v>
      </c>
      <c r="F12" s="7">
        <v>49</v>
      </c>
      <c r="G12" s="7">
        <v>47</v>
      </c>
      <c r="H12" s="71">
        <f>計分版!D238</f>
        <v>4.0000000000000002E-9</v>
      </c>
      <c r="I12" s="39">
        <f>IF(I$1="差距(Median)",H12-F12,IF(I$1="差距(UQ)",H12-#REF!,IF(I$1="差距(LQ)",H12-G12)))</f>
        <v>-48.999999996</v>
      </c>
      <c r="J12" s="40">
        <f>IF(I$1="差距(Median)",(H12-F12)/H12,IF(I$1="差距(UQ)",(H12-#REF!)/H12,IF(I$1="差距(LQ)",(H12-G12)/H12)))</f>
        <v>-12249999999</v>
      </c>
      <c r="K12" s="101">
        <v>26</v>
      </c>
      <c r="L12" s="380">
        <f>入學要求!S221</f>
        <v>0</v>
      </c>
      <c r="M12" s="369" t="s">
        <v>2194</v>
      </c>
      <c r="N12" s="19">
        <v>3</v>
      </c>
      <c r="O12" s="19">
        <v>4</v>
      </c>
      <c r="P12" s="19">
        <v>3</v>
      </c>
      <c r="Q12" s="19">
        <v>2</v>
      </c>
      <c r="R12" s="19">
        <v>3</v>
      </c>
      <c r="S12" s="19">
        <v>3</v>
      </c>
      <c r="T12" s="501"/>
      <c r="U12" s="302">
        <f>IF($T$2="2018年",'Offer Statistics'!CF12,IF($T$2="2019年",'Offer Statistics'!CF38,IF($T$2="2020年",'Offer Statistics'!CF64)))</f>
        <v>20</v>
      </c>
      <c r="V12" s="284">
        <f>IF($T$2="2018年",'Offer Statistics'!CA12,IF($T$2="2019年",'Offer Statistics'!CA38,IF($T$2="2020年",'Offer Statistics'!CA64)))</f>
        <v>20</v>
      </c>
      <c r="W12" s="284">
        <f>IF($T$2="2018年",'Offer Statistics'!CB12,IF($T$2="2019年",'Offer Statistics'!CB38,IF($T$2="2020年",'Offer Statistics'!CB64)))</f>
        <v>0</v>
      </c>
      <c r="X12" s="284">
        <f>IF($T$2="2018年",'Offer Statistics'!CC12,IF($T$2="2019年",'Offer Statistics'!CC38,IF($T$2="2020年",'Offer Statistics'!CC64)))</f>
        <v>0</v>
      </c>
      <c r="Y12" s="284">
        <f>IF($T$2="2018年",'Offer Statistics'!CD12,IF($T$2="2019年",'Offer Statistics'!CD38,IF($T$2="2020年",'Offer Statistics'!CD64)))</f>
        <v>0</v>
      </c>
      <c r="Z12" s="284">
        <f>IF($T$2="2018年",'Offer Statistics'!CE12,IF($T$2="2019年",'Offer Statistics'!CE38,IF($T$2="2020年",'Offer Statistics'!CE64)))</f>
        <v>0</v>
      </c>
      <c r="AA12" s="501"/>
      <c r="AB12" s="302">
        <f>IF($T$2="2018年",'Offer Statistics'!BX12,IF($T$2="2019年",'Offer Statistics'!BX38,IF($T$2="2020年",'Offer Statistics'!BX64)))</f>
        <v>573</v>
      </c>
      <c r="AC12" s="284">
        <f>IF($T$2="2018年",'Offer Statistics'!BS12,IF($T$2="2019年",'Offer Statistics'!BS38,IF($T$2="2020年",'Offer Statistics'!BS64)))</f>
        <v>73</v>
      </c>
      <c r="AD12" s="284">
        <f>IF($T$2="2018年",'Offer Statistics'!BT12,IF($T$2="2019年",'Offer Statistics'!BT38,IF($T$2="2020年",'Offer Statistics'!BT64)))</f>
        <v>57</v>
      </c>
      <c r="AE12" s="284">
        <f>IF($T$2="2018年",'Offer Statistics'!BU12,IF($T$2="2019年",'Offer Statistics'!BU38,IF($T$2="2020年",'Offer Statistics'!BU64)))</f>
        <v>83</v>
      </c>
      <c r="AF12" s="284">
        <f>IF($T$2="2018年",'Offer Statistics'!BV12,IF($T$2="2019年",'Offer Statistics'!BV38,IF($T$2="2020年",'Offer Statistics'!BV64)))</f>
        <v>166</v>
      </c>
      <c r="AG12" s="284">
        <f>IF($T$2="2018年",'Offer Statistics'!BW12,IF($T$2="2019年",'Offer Statistics'!BW38,IF($T$2="2020年",'Offer Statistics'!BW64)))</f>
        <v>194</v>
      </c>
      <c r="AH12" s="175"/>
      <c r="AI12" s="338" t="str">
        <f t="shared" si="0"/>
        <v>JS5313</v>
      </c>
    </row>
    <row r="13" spans="1:35" ht="18" customHeight="1">
      <c r="A13" s="5" t="s">
        <v>584</v>
      </c>
      <c r="B13" s="5" t="s">
        <v>779</v>
      </c>
      <c r="C13" s="5" t="s">
        <v>586</v>
      </c>
      <c r="D13" s="5" t="s">
        <v>1381</v>
      </c>
      <c r="E13" s="363" t="s">
        <v>627</v>
      </c>
      <c r="F13" s="7">
        <v>39</v>
      </c>
      <c r="G13" s="7">
        <v>36</v>
      </c>
      <c r="H13" s="71">
        <f>計分版!D239</f>
        <v>4.0000000000000002E-9</v>
      </c>
      <c r="I13" s="39">
        <f>IF(I$1="差距(Median)",H13-F13,IF(I$1="差距(UQ)",H13-#REF!,IF(I$1="差距(LQ)",H13-G13)))</f>
        <v>-38.999999996</v>
      </c>
      <c r="J13" s="40">
        <f>IF(I$1="差距(Median)",(H13-F13)/H13,IF(I$1="差距(UQ)",(H13-#REF!)/H13,IF(I$1="差距(LQ)",(H13-G13)/H13)))</f>
        <v>-9749999999</v>
      </c>
      <c r="K13" s="501" t="s">
        <v>2444</v>
      </c>
      <c r="L13" s="380">
        <f>入學要求!S222</f>
        <v>0</v>
      </c>
      <c r="M13" s="371" t="s">
        <v>2188</v>
      </c>
      <c r="N13" s="19">
        <v>3</v>
      </c>
      <c r="O13" s="19">
        <v>4</v>
      </c>
      <c r="P13" s="19">
        <v>3</v>
      </c>
      <c r="Q13" s="19">
        <v>2</v>
      </c>
      <c r="R13" s="19">
        <v>3</v>
      </c>
      <c r="S13" s="19">
        <v>3</v>
      </c>
      <c r="T13" s="501"/>
      <c r="U13" s="302">
        <f>IF($T$2="2018年",'Offer Statistics'!CF13,IF($T$2="2019年",'Offer Statistics'!CF39,IF($T$2="2020年",'Offer Statistics'!CF65)))</f>
        <v>32</v>
      </c>
      <c r="V13" s="284">
        <f>IF($T$2="2018年",'Offer Statistics'!CA13,IF($T$2="2019年",'Offer Statistics'!CA39,IF($T$2="2020年",'Offer Statistics'!CA65)))</f>
        <v>32</v>
      </c>
      <c r="W13" s="284">
        <f>IF($T$2="2018年",'Offer Statistics'!CB13,IF($T$2="2019年",'Offer Statistics'!CB39,IF($T$2="2020年",'Offer Statistics'!CB65)))</f>
        <v>0</v>
      </c>
      <c r="X13" s="284">
        <f>IF($T$2="2018年",'Offer Statistics'!CC13,IF($T$2="2019年",'Offer Statistics'!CC39,IF($T$2="2020年",'Offer Statistics'!CC65)))</f>
        <v>0</v>
      </c>
      <c r="Y13" s="284">
        <f>IF($T$2="2018年",'Offer Statistics'!CD13,IF($T$2="2019年",'Offer Statistics'!CD39,IF($T$2="2020年",'Offer Statistics'!CD65)))</f>
        <v>0</v>
      </c>
      <c r="Z13" s="284">
        <f>IF($T$2="2018年",'Offer Statistics'!CE13,IF($T$2="2019年",'Offer Statistics'!CE39,IF($T$2="2020年",'Offer Statistics'!CE65)))</f>
        <v>0</v>
      </c>
      <c r="AA13" s="501"/>
      <c r="AB13" s="302">
        <f>IF($T$2="2018年",'Offer Statistics'!BX13,IF($T$2="2019年",'Offer Statistics'!BX39,IF($T$2="2020年",'Offer Statistics'!BX65)))</f>
        <v>784</v>
      </c>
      <c r="AC13" s="284">
        <f>IF($T$2="2018年",'Offer Statistics'!BS13,IF($T$2="2019年",'Offer Statistics'!BS39,IF($T$2="2020年",'Offer Statistics'!BS65)))</f>
        <v>106</v>
      </c>
      <c r="AD13" s="284">
        <f>IF($T$2="2018年",'Offer Statistics'!BT13,IF($T$2="2019年",'Offer Statistics'!BT39,IF($T$2="2020年",'Offer Statistics'!BT65)))</f>
        <v>87</v>
      </c>
      <c r="AE13" s="284">
        <f>IF($T$2="2018年",'Offer Statistics'!BU13,IF($T$2="2019年",'Offer Statistics'!BU39,IF($T$2="2020年",'Offer Statistics'!BU65)))</f>
        <v>153</v>
      </c>
      <c r="AF13" s="284">
        <f>IF($T$2="2018年",'Offer Statistics'!BV13,IF($T$2="2019年",'Offer Statistics'!BV39,IF($T$2="2020年",'Offer Statistics'!BV65)))</f>
        <v>226</v>
      </c>
      <c r="AG13" s="284">
        <f>IF($T$2="2018年",'Offer Statistics'!BW13,IF($T$2="2019年",'Offer Statistics'!BW39,IF($T$2="2020年",'Offer Statistics'!BW65)))</f>
        <v>212</v>
      </c>
      <c r="AI13" s="338" t="str">
        <f t="shared" si="0"/>
        <v>JS5314</v>
      </c>
    </row>
    <row r="14" spans="1:35" s="11" customFormat="1" ht="18" customHeight="1">
      <c r="A14" s="5" t="s">
        <v>587</v>
      </c>
      <c r="B14" s="5" t="s">
        <v>779</v>
      </c>
      <c r="C14" s="5" t="s">
        <v>589</v>
      </c>
      <c r="D14" s="5" t="s">
        <v>1382</v>
      </c>
      <c r="E14" s="363" t="s">
        <v>627</v>
      </c>
      <c r="F14" s="7">
        <v>37</v>
      </c>
      <c r="G14" s="7">
        <v>35</v>
      </c>
      <c r="H14" s="71">
        <f>計分版!D240</f>
        <v>4.0000000000000002E-9</v>
      </c>
      <c r="I14" s="39">
        <f>IF(I$1="差距(Median)",H14-F14,IF(I$1="差距(UQ)",H14-#REF!,IF(I$1="差距(LQ)",H14-G14)))</f>
        <v>-36.999999996</v>
      </c>
      <c r="J14" s="40">
        <f>IF(I$1="差距(Median)",(H14-F14)/H14,IF(I$1="差距(UQ)",(H14-#REF!)/H14,IF(I$1="差距(LQ)",(H14-G14)/H14)))</f>
        <v>-9249999999</v>
      </c>
      <c r="K14" s="501"/>
      <c r="L14" s="380">
        <f>入學要求!S223</f>
        <v>0</v>
      </c>
      <c r="M14" s="371" t="s">
        <v>2188</v>
      </c>
      <c r="N14" s="19">
        <v>3</v>
      </c>
      <c r="O14" s="19">
        <v>4</v>
      </c>
      <c r="P14" s="19">
        <v>3</v>
      </c>
      <c r="Q14" s="19">
        <v>2</v>
      </c>
      <c r="R14" s="19">
        <v>3</v>
      </c>
      <c r="S14" s="19">
        <v>3</v>
      </c>
      <c r="T14" s="501"/>
      <c r="U14" s="302">
        <f>IF($T$2="2018年",'Offer Statistics'!CF14,IF($T$2="2019年",'Offer Statistics'!CF40,IF($T$2="2020年",'Offer Statistics'!CF66)))</f>
        <v>10</v>
      </c>
      <c r="V14" s="284">
        <f>IF($T$2="2018年",'Offer Statistics'!CA14,IF($T$2="2019年",'Offer Statistics'!CA40,IF($T$2="2020年",'Offer Statistics'!CA66)))</f>
        <v>10</v>
      </c>
      <c r="W14" s="284">
        <f>IF($T$2="2018年",'Offer Statistics'!CB14,IF($T$2="2019年",'Offer Statistics'!CB40,IF($T$2="2020年",'Offer Statistics'!CB66)))</f>
        <v>0</v>
      </c>
      <c r="X14" s="284">
        <f>IF($T$2="2018年",'Offer Statistics'!CC14,IF($T$2="2019年",'Offer Statistics'!CC40,IF($T$2="2020年",'Offer Statistics'!CC66)))</f>
        <v>0</v>
      </c>
      <c r="Y14" s="284">
        <f>IF($T$2="2018年",'Offer Statistics'!CD14,IF($T$2="2019年",'Offer Statistics'!CD40,IF($T$2="2020年",'Offer Statistics'!CD66)))</f>
        <v>0</v>
      </c>
      <c r="Z14" s="284">
        <f>IF($T$2="2018年",'Offer Statistics'!CE14,IF($T$2="2019年",'Offer Statistics'!CE40,IF($T$2="2020年",'Offer Statistics'!CE66)))</f>
        <v>0</v>
      </c>
      <c r="AA14" s="501"/>
      <c r="AB14" s="302">
        <f>IF($T$2="2018年",'Offer Statistics'!BX14,IF($T$2="2019年",'Offer Statistics'!BX40,IF($T$2="2020年",'Offer Statistics'!BX66)))</f>
        <v>1651</v>
      </c>
      <c r="AC14" s="284">
        <f>IF($T$2="2018年",'Offer Statistics'!BS14,IF($T$2="2019年",'Offer Statistics'!BS40,IF($T$2="2020年",'Offer Statistics'!BS66)))</f>
        <v>82</v>
      </c>
      <c r="AD14" s="284">
        <f>IF($T$2="2018年",'Offer Statistics'!BT14,IF($T$2="2019年",'Offer Statistics'!BT40,IF($T$2="2020年",'Offer Statistics'!BT66)))</f>
        <v>187</v>
      </c>
      <c r="AE14" s="284">
        <f>IF($T$2="2018年",'Offer Statistics'!BU14,IF($T$2="2019年",'Offer Statistics'!BU40,IF($T$2="2020年",'Offer Statistics'!BU66)))</f>
        <v>357</v>
      </c>
      <c r="AF14" s="284">
        <f>IF($T$2="2018年",'Offer Statistics'!BV14,IF($T$2="2019年",'Offer Statistics'!BV40,IF($T$2="2020年",'Offer Statistics'!BV66)))</f>
        <v>536</v>
      </c>
      <c r="AG14" s="284">
        <f>IF($T$2="2018年",'Offer Statistics'!BW14,IF($T$2="2019年",'Offer Statistics'!BW40,IF($T$2="2020年",'Offer Statistics'!BW66)))</f>
        <v>489</v>
      </c>
      <c r="AH14" s="175"/>
      <c r="AI14" s="338" t="str">
        <f t="shared" si="0"/>
        <v>JS5315</v>
      </c>
    </row>
    <row r="15" spans="1:35" ht="18" customHeight="1">
      <c r="A15" s="5" t="s">
        <v>590</v>
      </c>
      <c r="B15" s="5" t="s">
        <v>779</v>
      </c>
      <c r="C15" s="5" t="s">
        <v>592</v>
      </c>
      <c r="D15" s="5" t="s">
        <v>1383</v>
      </c>
      <c r="E15" s="363" t="s">
        <v>627</v>
      </c>
      <c r="F15" s="7">
        <v>36</v>
      </c>
      <c r="G15" s="7">
        <v>35</v>
      </c>
      <c r="H15" s="71">
        <f>計分版!D241</f>
        <v>4.0000000000000002E-9</v>
      </c>
      <c r="I15" s="39">
        <f>IF(I$1="差距(Median)",H15-F15,IF(I$1="差距(UQ)",H15-#REF!,IF(I$1="差距(LQ)",H15-G15)))</f>
        <v>-35.999999996</v>
      </c>
      <c r="J15" s="40">
        <f>IF(I$1="差距(Median)",(H15-F15)/H15,IF(I$1="差距(UQ)",(H15-#REF!)/H15,IF(I$1="差距(LQ)",(H15-G15)/H15)))</f>
        <v>-8999999999</v>
      </c>
      <c r="K15" s="501"/>
      <c r="L15" s="380">
        <f>入學要求!S224</f>
        <v>0</v>
      </c>
      <c r="M15" s="371" t="s">
        <v>2188</v>
      </c>
      <c r="N15" s="19">
        <v>3</v>
      </c>
      <c r="O15" s="19">
        <v>4</v>
      </c>
      <c r="P15" s="19">
        <v>3</v>
      </c>
      <c r="Q15" s="19">
        <v>2</v>
      </c>
      <c r="R15" s="19">
        <v>3</v>
      </c>
      <c r="S15" s="19">
        <v>3</v>
      </c>
      <c r="T15" s="501"/>
      <c r="U15" s="302">
        <f>IF($T$2="2018年",'Offer Statistics'!CF15,IF($T$2="2019年",'Offer Statistics'!CF41,IF($T$2="2020年",'Offer Statistics'!CF67)))</f>
        <v>17</v>
      </c>
      <c r="V15" s="284">
        <f>IF($T$2="2018年",'Offer Statistics'!CA15,IF($T$2="2019年",'Offer Statistics'!CA41,IF($T$2="2020年",'Offer Statistics'!CA67)))</f>
        <v>17</v>
      </c>
      <c r="W15" s="284">
        <f>IF($T$2="2018年",'Offer Statistics'!CB15,IF($T$2="2019年",'Offer Statistics'!CB41,IF($T$2="2020年",'Offer Statistics'!CB67)))</f>
        <v>0</v>
      </c>
      <c r="X15" s="284">
        <f>IF($T$2="2018年",'Offer Statistics'!CC15,IF($T$2="2019年",'Offer Statistics'!CC41,IF($T$2="2020年",'Offer Statistics'!CC67)))</f>
        <v>0</v>
      </c>
      <c r="Y15" s="284">
        <f>IF($T$2="2018年",'Offer Statistics'!CD15,IF($T$2="2019年",'Offer Statistics'!CD41,IF($T$2="2020年",'Offer Statistics'!CD67)))</f>
        <v>0</v>
      </c>
      <c r="Z15" s="284">
        <f>IF($T$2="2018年",'Offer Statistics'!CE15,IF($T$2="2019年",'Offer Statistics'!CE41,IF($T$2="2020年",'Offer Statistics'!CE67)))</f>
        <v>0</v>
      </c>
      <c r="AA15" s="501"/>
      <c r="AB15" s="302">
        <f>IF($T$2="2018年",'Offer Statistics'!BX15,IF($T$2="2019年",'Offer Statistics'!BX41,IF($T$2="2020年",'Offer Statistics'!BX67)))</f>
        <v>1772</v>
      </c>
      <c r="AC15" s="284">
        <f>IF($T$2="2018年",'Offer Statistics'!BS15,IF($T$2="2019年",'Offer Statistics'!BS41,IF($T$2="2020年",'Offer Statistics'!BS67)))</f>
        <v>134</v>
      </c>
      <c r="AD15" s="284">
        <f>IF($T$2="2018年",'Offer Statistics'!BT15,IF($T$2="2019年",'Offer Statistics'!BT41,IF($T$2="2020年",'Offer Statistics'!BT67)))</f>
        <v>191</v>
      </c>
      <c r="AE15" s="284">
        <f>IF($T$2="2018年",'Offer Statistics'!BU15,IF($T$2="2019年",'Offer Statistics'!BU41,IF($T$2="2020年",'Offer Statistics'!BU67)))</f>
        <v>380</v>
      </c>
      <c r="AF15" s="284">
        <f>IF($T$2="2018年",'Offer Statistics'!BV15,IF($T$2="2019年",'Offer Statistics'!BV41,IF($T$2="2020年",'Offer Statistics'!BV67)))</f>
        <v>548</v>
      </c>
      <c r="AG15" s="284">
        <f>IF($T$2="2018年",'Offer Statistics'!BW15,IF($T$2="2019年",'Offer Statistics'!BW41,IF($T$2="2020年",'Offer Statistics'!BW67)))</f>
        <v>519</v>
      </c>
      <c r="AI15" s="338" t="str">
        <f t="shared" si="0"/>
        <v>JS5316</v>
      </c>
    </row>
    <row r="16" spans="1:35" s="11" customFormat="1" ht="18" customHeight="1">
      <c r="A16" s="5" t="s">
        <v>593</v>
      </c>
      <c r="B16" s="5" t="s">
        <v>779</v>
      </c>
      <c r="C16" s="5" t="s">
        <v>595</v>
      </c>
      <c r="D16" s="5" t="s">
        <v>1384</v>
      </c>
      <c r="E16" s="363" t="s">
        <v>627</v>
      </c>
      <c r="F16" s="7" t="s">
        <v>360</v>
      </c>
      <c r="G16" s="7" t="s">
        <v>360</v>
      </c>
      <c r="H16" s="71">
        <f>計分版!D242</f>
        <v>4.0000000000000002E-9</v>
      </c>
      <c r="I16" s="8" t="s">
        <v>360</v>
      </c>
      <c r="J16" s="9" t="s">
        <v>360</v>
      </c>
      <c r="K16" s="501"/>
      <c r="L16" s="380">
        <f>入學要求!S225</f>
        <v>0</v>
      </c>
      <c r="M16" s="371" t="s">
        <v>2188</v>
      </c>
      <c r="N16" s="19">
        <v>3</v>
      </c>
      <c r="O16" s="19">
        <v>4</v>
      </c>
      <c r="P16" s="19">
        <v>3</v>
      </c>
      <c r="Q16" s="19">
        <v>2</v>
      </c>
      <c r="R16" s="19">
        <v>3</v>
      </c>
      <c r="S16" s="19">
        <v>3</v>
      </c>
      <c r="T16" s="501"/>
      <c r="U16" s="302">
        <f>IF($T$2="2018年",'Offer Statistics'!CF16,IF($T$2="2019年",'Offer Statistics'!CF42,IF($T$2="2020年",'Offer Statistics'!CF68)))</f>
        <v>3</v>
      </c>
      <c r="V16" s="284">
        <f>IF($T$2="2018年",'Offer Statistics'!CA16,IF($T$2="2019年",'Offer Statistics'!CA42,IF($T$2="2020年",'Offer Statistics'!CA68)))</f>
        <v>3</v>
      </c>
      <c r="W16" s="284">
        <f>IF($T$2="2018年",'Offer Statistics'!CB16,IF($T$2="2019年",'Offer Statistics'!CB42,IF($T$2="2020年",'Offer Statistics'!CB68)))</f>
        <v>0</v>
      </c>
      <c r="X16" s="284">
        <f>IF($T$2="2018年",'Offer Statistics'!CC16,IF($T$2="2019年",'Offer Statistics'!CC42,IF($T$2="2020年",'Offer Statistics'!CC68)))</f>
        <v>0</v>
      </c>
      <c r="Y16" s="284">
        <f>IF($T$2="2018年",'Offer Statistics'!CD16,IF($T$2="2019年",'Offer Statistics'!CD42,IF($T$2="2020年",'Offer Statistics'!CD68)))</f>
        <v>0</v>
      </c>
      <c r="Z16" s="284">
        <f>IF($T$2="2018年",'Offer Statistics'!CE16,IF($T$2="2019年",'Offer Statistics'!CE42,IF($T$2="2020年",'Offer Statistics'!CE68)))</f>
        <v>0</v>
      </c>
      <c r="AA16" s="501"/>
      <c r="AB16" s="302">
        <f>IF($T$2="2018年",'Offer Statistics'!BX16,IF($T$2="2019年",'Offer Statistics'!BX42,IF($T$2="2020年",'Offer Statistics'!BX68)))</f>
        <v>924</v>
      </c>
      <c r="AC16" s="284">
        <f>IF($T$2="2018年",'Offer Statistics'!BS16,IF($T$2="2019年",'Offer Statistics'!BS42,IF($T$2="2020年",'Offer Statistics'!BS68)))</f>
        <v>45</v>
      </c>
      <c r="AD16" s="284">
        <f>IF($T$2="2018年",'Offer Statistics'!BT16,IF($T$2="2019年",'Offer Statistics'!BT42,IF($T$2="2020年",'Offer Statistics'!BT68)))</f>
        <v>91</v>
      </c>
      <c r="AE16" s="284">
        <f>IF($T$2="2018年",'Offer Statistics'!BU16,IF($T$2="2019年",'Offer Statistics'!BU42,IF($T$2="2020年",'Offer Statistics'!BU68)))</f>
        <v>207</v>
      </c>
      <c r="AF16" s="284">
        <f>IF($T$2="2018年",'Offer Statistics'!BV16,IF($T$2="2019年",'Offer Statistics'!BV42,IF($T$2="2020年",'Offer Statistics'!BV68)))</f>
        <v>284</v>
      </c>
      <c r="AG16" s="284">
        <f>IF($T$2="2018年",'Offer Statistics'!BW16,IF($T$2="2019年",'Offer Statistics'!BW42,IF($T$2="2020年",'Offer Statistics'!BW68)))</f>
        <v>297</v>
      </c>
      <c r="AH16" s="175"/>
      <c r="AI16" s="338" t="str">
        <f t="shared" si="0"/>
        <v>JS5317</v>
      </c>
    </row>
    <row r="17" spans="1:36" ht="18" customHeight="1">
      <c r="A17" s="5" t="s">
        <v>596</v>
      </c>
      <c r="B17" s="5" t="s">
        <v>779</v>
      </c>
      <c r="C17" s="5" t="s">
        <v>598</v>
      </c>
      <c r="D17" s="5" t="s">
        <v>1385</v>
      </c>
      <c r="E17" s="363" t="s">
        <v>627</v>
      </c>
      <c r="F17" s="7">
        <v>37</v>
      </c>
      <c r="G17" s="7">
        <v>36</v>
      </c>
      <c r="H17" s="71">
        <f>計分版!D243</f>
        <v>4.0000000000000002E-9</v>
      </c>
      <c r="I17" s="39">
        <f>IF(I$1="差距(Median)",H17-F17,IF(I$1="差距(UQ)",H17-#REF!,IF(I$1="差距(LQ)",H17-G17)))</f>
        <v>-36.999999996</v>
      </c>
      <c r="J17" s="40">
        <f>IF(I$1="差距(Median)",(H17-F17)/H17,IF(I$1="差距(UQ)",(H17-#REF!)/H17,IF(I$1="差距(LQ)",(H17-G17)/H17)))</f>
        <v>-9249999999</v>
      </c>
      <c r="K17" s="101">
        <v>60</v>
      </c>
      <c r="L17" s="380">
        <f>入學要求!S226</f>
        <v>0</v>
      </c>
      <c r="M17" s="371" t="s">
        <v>2188</v>
      </c>
      <c r="N17" s="19">
        <v>3</v>
      </c>
      <c r="O17" s="19">
        <v>4</v>
      </c>
      <c r="P17" s="19">
        <v>3</v>
      </c>
      <c r="Q17" s="19">
        <v>2</v>
      </c>
      <c r="R17" s="19">
        <v>3</v>
      </c>
      <c r="S17" s="19">
        <v>3</v>
      </c>
      <c r="T17" s="501"/>
      <c r="U17" s="302">
        <f>IF($T$2="2018年",'Offer Statistics'!CF17,IF($T$2="2019年",'Offer Statistics'!CF43,IF($T$2="2020年",'Offer Statistics'!CF69)))</f>
        <v>55</v>
      </c>
      <c r="V17" s="284">
        <f>IF($T$2="2018年",'Offer Statistics'!CA17,IF($T$2="2019年",'Offer Statistics'!CA43,IF($T$2="2020年",'Offer Statistics'!CA69)))</f>
        <v>55</v>
      </c>
      <c r="W17" s="284">
        <f>IF($T$2="2018年",'Offer Statistics'!CB17,IF($T$2="2019年",'Offer Statistics'!CB43,IF($T$2="2020年",'Offer Statistics'!CB69)))</f>
        <v>0</v>
      </c>
      <c r="X17" s="284">
        <f>IF($T$2="2018年",'Offer Statistics'!CC17,IF($T$2="2019年",'Offer Statistics'!CC43,IF($T$2="2020年",'Offer Statistics'!CC69)))</f>
        <v>0</v>
      </c>
      <c r="Y17" s="284">
        <f>IF($T$2="2018年",'Offer Statistics'!CD17,IF($T$2="2019年",'Offer Statistics'!CD43,IF($T$2="2020年",'Offer Statistics'!CD69)))</f>
        <v>0</v>
      </c>
      <c r="Z17" s="284">
        <f>IF($T$2="2018年",'Offer Statistics'!CE17,IF($T$2="2019年",'Offer Statistics'!CE43,IF($T$2="2020年",'Offer Statistics'!CE69)))</f>
        <v>0</v>
      </c>
      <c r="AA17" s="501"/>
      <c r="AB17" s="302">
        <f>IF($T$2="2018年",'Offer Statistics'!BX17,IF($T$2="2019年",'Offer Statistics'!BX43,IF($T$2="2020年",'Offer Statistics'!BX69)))</f>
        <v>1277</v>
      </c>
      <c r="AC17" s="284">
        <f>IF($T$2="2018年",'Offer Statistics'!BS17,IF($T$2="2019年",'Offer Statistics'!BS43,IF($T$2="2020年",'Offer Statistics'!BS69)))</f>
        <v>229</v>
      </c>
      <c r="AD17" s="284">
        <f>IF($T$2="2018年",'Offer Statistics'!BT17,IF($T$2="2019年",'Offer Statistics'!BT43,IF($T$2="2020年",'Offer Statistics'!BT69)))</f>
        <v>184</v>
      </c>
      <c r="AE17" s="284">
        <f>IF($T$2="2018年",'Offer Statistics'!BU17,IF($T$2="2019年",'Offer Statistics'!BU43,IF($T$2="2020年",'Offer Statistics'!BU69)))</f>
        <v>242</v>
      </c>
      <c r="AF17" s="284">
        <f>IF($T$2="2018年",'Offer Statistics'!BV17,IF($T$2="2019年",'Offer Statistics'!BV43,IF($T$2="2020年",'Offer Statistics'!BV69)))</f>
        <v>326</v>
      </c>
      <c r="AG17" s="284">
        <f>IF($T$2="2018年",'Offer Statistics'!BW17,IF($T$2="2019年",'Offer Statistics'!BW43,IF($T$2="2020年",'Offer Statistics'!BW69)))</f>
        <v>296</v>
      </c>
      <c r="AI17" s="338" t="str">
        <f t="shared" si="0"/>
        <v>JS5318</v>
      </c>
    </row>
    <row r="18" spans="1:36" s="11" customFormat="1" ht="18" customHeight="1">
      <c r="A18" s="5" t="s">
        <v>599</v>
      </c>
      <c r="B18" s="5" t="s">
        <v>779</v>
      </c>
      <c r="C18" s="5" t="s">
        <v>601</v>
      </c>
      <c r="D18" s="5" t="s">
        <v>1386</v>
      </c>
      <c r="E18" s="363" t="s">
        <v>781</v>
      </c>
      <c r="F18" s="7">
        <v>46</v>
      </c>
      <c r="G18" s="7">
        <v>45</v>
      </c>
      <c r="H18" s="71">
        <f>計分版!D244</f>
        <v>4.1499999999999999E-9</v>
      </c>
      <c r="I18" s="39">
        <f>IF(I$1="差距(Median)",H18-F18,IF(I$1="差距(UQ)",H18-#REF!,IF(I$1="差距(LQ)",H18-G18)))</f>
        <v>-45.999999995849997</v>
      </c>
      <c r="J18" s="40">
        <f>IF(I$1="差距(Median)",(H18-F18)/H18,IF(I$1="差距(UQ)",(H18-#REF!)/H18,IF(I$1="差距(LQ)",(H18-G18)/H18)))</f>
        <v>-11084337348.397591</v>
      </c>
      <c r="K18" s="101">
        <v>26</v>
      </c>
      <c r="L18" s="380">
        <f>入學要求!S227</f>
        <v>0</v>
      </c>
      <c r="M18" s="369" t="s">
        <v>2194</v>
      </c>
      <c r="N18" s="19">
        <v>3</v>
      </c>
      <c r="O18" s="19">
        <v>4</v>
      </c>
      <c r="P18" s="19">
        <v>3</v>
      </c>
      <c r="Q18" s="19">
        <v>2</v>
      </c>
      <c r="R18" s="19">
        <v>3</v>
      </c>
      <c r="S18" s="19">
        <v>3</v>
      </c>
      <c r="T18" s="501"/>
      <c r="U18" s="302">
        <f>IF($T$2="2018年",'Offer Statistics'!CF18,IF($T$2="2019年",'Offer Statistics'!CF44,IF($T$2="2020年",'Offer Statistics'!CF70)))</f>
        <v>27</v>
      </c>
      <c r="V18" s="284">
        <f>IF($T$2="2018年",'Offer Statistics'!CA18,IF($T$2="2019年",'Offer Statistics'!CA44,IF($T$2="2020年",'Offer Statistics'!CA70)))</f>
        <v>27</v>
      </c>
      <c r="W18" s="284">
        <f>IF($T$2="2018年",'Offer Statistics'!CB18,IF($T$2="2019年",'Offer Statistics'!CB44,IF($T$2="2020年",'Offer Statistics'!CB70)))</f>
        <v>0</v>
      </c>
      <c r="X18" s="284">
        <f>IF($T$2="2018年",'Offer Statistics'!CC18,IF($T$2="2019年",'Offer Statistics'!CC44,IF($T$2="2020年",'Offer Statistics'!CC70)))</f>
        <v>0</v>
      </c>
      <c r="Y18" s="284">
        <f>IF($T$2="2018年",'Offer Statistics'!CD18,IF($T$2="2019年",'Offer Statistics'!CD44,IF($T$2="2020年",'Offer Statistics'!CD70)))</f>
        <v>0</v>
      </c>
      <c r="Z18" s="284">
        <f>IF($T$2="2018年",'Offer Statistics'!CE18,IF($T$2="2019年",'Offer Statistics'!CE44,IF($T$2="2020年",'Offer Statistics'!CE70)))</f>
        <v>0</v>
      </c>
      <c r="AA18" s="501"/>
      <c r="AB18" s="302">
        <f>IF($T$2="2018年",'Offer Statistics'!BX18,IF($T$2="2019年",'Offer Statistics'!BX44,IF($T$2="2020年",'Offer Statistics'!BX70)))</f>
        <v>778</v>
      </c>
      <c r="AC18" s="284">
        <f>IF($T$2="2018年",'Offer Statistics'!BS18,IF($T$2="2019年",'Offer Statistics'!BS44,IF($T$2="2020年",'Offer Statistics'!BS70)))</f>
        <v>72</v>
      </c>
      <c r="AD18" s="284">
        <f>IF($T$2="2018年",'Offer Statistics'!BT18,IF($T$2="2019年",'Offer Statistics'!BT44,IF($T$2="2020年",'Offer Statistics'!BT70)))</f>
        <v>83</v>
      </c>
      <c r="AE18" s="284">
        <f>IF($T$2="2018年",'Offer Statistics'!BU18,IF($T$2="2019年",'Offer Statistics'!BU44,IF($T$2="2020年",'Offer Statistics'!BU70)))</f>
        <v>186</v>
      </c>
      <c r="AF18" s="284">
        <f>IF($T$2="2018年",'Offer Statistics'!BV18,IF($T$2="2019年",'Offer Statistics'!BV44,IF($T$2="2020年",'Offer Statistics'!BV70)))</f>
        <v>238</v>
      </c>
      <c r="AG18" s="284">
        <f>IF($T$2="2018年",'Offer Statistics'!BW18,IF($T$2="2019年",'Offer Statistics'!BW44,IF($T$2="2020年",'Offer Statistics'!BW70)))</f>
        <v>199</v>
      </c>
      <c r="AH18" s="175"/>
      <c r="AI18" s="338" t="str">
        <f t="shared" si="0"/>
        <v>JS5331</v>
      </c>
    </row>
    <row r="19" spans="1:36" ht="18" customHeight="1">
      <c r="A19" s="5" t="s">
        <v>602</v>
      </c>
      <c r="B19" s="5" t="s">
        <v>779</v>
      </c>
      <c r="C19" s="5" t="s">
        <v>604</v>
      </c>
      <c r="D19" s="5" t="s">
        <v>1387</v>
      </c>
      <c r="E19" s="363" t="s">
        <v>781</v>
      </c>
      <c r="F19" s="7">
        <v>52</v>
      </c>
      <c r="G19" s="7">
        <v>51</v>
      </c>
      <c r="H19" s="71">
        <f>計分版!D245</f>
        <v>4.1499999999999999E-9</v>
      </c>
      <c r="I19" s="39">
        <f>IF(I$1="差距(Median)",H19-F19,IF(I$1="差距(UQ)",H19-#REF!,IF(I$1="差距(LQ)",H19-G19)))</f>
        <v>-51.999999995849997</v>
      </c>
      <c r="J19" s="40">
        <f>IF(I$1="差距(Median)",(H19-F19)/H19,IF(I$1="差距(UQ)",(H19-#REF!)/H19,IF(I$1="差距(LQ)",(H19-G19)/H19)))</f>
        <v>-12530120480.92771</v>
      </c>
      <c r="K19" s="101">
        <v>20</v>
      </c>
      <c r="L19" s="380">
        <f>入學要求!S228</f>
        <v>0</v>
      </c>
      <c r="M19" s="369" t="s">
        <v>2194</v>
      </c>
      <c r="N19" s="19">
        <v>3</v>
      </c>
      <c r="O19" s="19">
        <v>4</v>
      </c>
      <c r="P19" s="19">
        <v>3</v>
      </c>
      <c r="Q19" s="19">
        <v>2</v>
      </c>
      <c r="R19" s="19">
        <v>3</v>
      </c>
      <c r="S19" s="19">
        <v>3</v>
      </c>
      <c r="T19" s="501"/>
      <c r="U19" s="302">
        <f>IF($T$2="2018年",'Offer Statistics'!CF19,IF($T$2="2019年",'Offer Statistics'!CF45,IF($T$2="2020年",'Offer Statistics'!CF71)))</f>
        <v>20</v>
      </c>
      <c r="V19" s="284">
        <f>IF($T$2="2018年",'Offer Statistics'!CA19,IF($T$2="2019年",'Offer Statistics'!CA45,IF($T$2="2020年",'Offer Statistics'!CA71)))</f>
        <v>20</v>
      </c>
      <c r="W19" s="284">
        <f>IF($T$2="2018年",'Offer Statistics'!CB19,IF($T$2="2019年",'Offer Statistics'!CB45,IF($T$2="2020年",'Offer Statistics'!CB71)))</f>
        <v>0</v>
      </c>
      <c r="X19" s="284">
        <f>IF($T$2="2018年",'Offer Statistics'!CC19,IF($T$2="2019年",'Offer Statistics'!CC45,IF($T$2="2020年",'Offer Statistics'!CC71)))</f>
        <v>0</v>
      </c>
      <c r="Y19" s="284">
        <f>IF($T$2="2018年",'Offer Statistics'!CD19,IF($T$2="2019年",'Offer Statistics'!CD45,IF($T$2="2020年",'Offer Statistics'!CD71)))</f>
        <v>0</v>
      </c>
      <c r="Z19" s="284">
        <f>IF($T$2="2018年",'Offer Statistics'!CE19,IF($T$2="2019年",'Offer Statistics'!CE45,IF($T$2="2020年",'Offer Statistics'!CE71)))</f>
        <v>0</v>
      </c>
      <c r="AA19" s="501"/>
      <c r="AB19" s="302">
        <f>IF($T$2="2018年",'Offer Statistics'!BX19,IF($T$2="2019年",'Offer Statistics'!BX45,IF($T$2="2020年",'Offer Statistics'!BX71)))</f>
        <v>370</v>
      </c>
      <c r="AC19" s="284">
        <f>IF($T$2="2018年",'Offer Statistics'!BS19,IF($T$2="2019年",'Offer Statistics'!BS45,IF($T$2="2020年",'Offer Statistics'!BS71)))</f>
        <v>68</v>
      </c>
      <c r="AD19" s="284">
        <f>IF($T$2="2018年",'Offer Statistics'!BT19,IF($T$2="2019年",'Offer Statistics'!BT45,IF($T$2="2020年",'Offer Statistics'!BT71)))</f>
        <v>44</v>
      </c>
      <c r="AE19" s="284">
        <f>IF($T$2="2018年",'Offer Statistics'!BU19,IF($T$2="2019年",'Offer Statistics'!BU45,IF($T$2="2020年",'Offer Statistics'!BU71)))</f>
        <v>68</v>
      </c>
      <c r="AF19" s="284">
        <f>IF($T$2="2018年",'Offer Statistics'!BV19,IF($T$2="2019年",'Offer Statistics'!BV45,IF($T$2="2020年",'Offer Statistics'!BV71)))</f>
        <v>81</v>
      </c>
      <c r="AG19" s="284">
        <f>IF($T$2="2018年",'Offer Statistics'!BW19,IF($T$2="2019年",'Offer Statistics'!BW45,IF($T$2="2020年",'Offer Statistics'!BW71)))</f>
        <v>109</v>
      </c>
      <c r="AI19" s="338" t="str">
        <f t="shared" si="0"/>
        <v>JS5332</v>
      </c>
    </row>
    <row r="20" spans="1:36" s="11" customFormat="1" ht="18" customHeight="1">
      <c r="A20" s="5" t="s">
        <v>605</v>
      </c>
      <c r="B20" s="5" t="s">
        <v>777</v>
      </c>
      <c r="C20" s="5" t="s">
        <v>607</v>
      </c>
      <c r="D20" s="5" t="s">
        <v>1388</v>
      </c>
      <c r="E20" s="363" t="s">
        <v>628</v>
      </c>
      <c r="F20" s="7">
        <v>31</v>
      </c>
      <c r="G20" s="7">
        <v>30</v>
      </c>
      <c r="H20" s="71">
        <f>計分版!D246</f>
        <v>3.5499999999999999E-9</v>
      </c>
      <c r="I20" s="39">
        <f>IF(I$1="差距(Median)",H20-F20,IF(I$1="差距(UQ)",H20-#REF!,IF(I$1="差距(LQ)",H20-G20)))</f>
        <v>-30.999999996450001</v>
      </c>
      <c r="J20" s="40">
        <f>IF(I$1="差距(Median)",(H20-F20)/H20,IF(I$1="差距(UQ)",(H20-#REF!)/H20,IF(I$1="差距(LQ)",(H20-G20)/H20)))</f>
        <v>-8732394365.1971836</v>
      </c>
      <c r="K20" s="101">
        <v>50</v>
      </c>
      <c r="L20" s="380">
        <f>入學要求!S229</f>
        <v>0</v>
      </c>
      <c r="M20" s="371" t="s">
        <v>2188</v>
      </c>
      <c r="N20" s="19">
        <v>3</v>
      </c>
      <c r="O20" s="19">
        <v>3</v>
      </c>
      <c r="P20" s="19">
        <v>2</v>
      </c>
      <c r="Q20" s="19">
        <v>2</v>
      </c>
      <c r="R20" s="19">
        <v>3</v>
      </c>
      <c r="S20" s="19">
        <v>3</v>
      </c>
      <c r="T20" s="501"/>
      <c r="U20" s="302">
        <f>IF($T$2="2018年",'Offer Statistics'!CF20,IF($T$2="2019年",'Offer Statistics'!CF46,IF($T$2="2020年",'Offer Statistics'!CF72)))</f>
        <v>42</v>
      </c>
      <c r="V20" s="284">
        <f>IF($T$2="2018年",'Offer Statistics'!CA20,IF($T$2="2019年",'Offer Statistics'!CA46,IF($T$2="2020年",'Offer Statistics'!CA72)))</f>
        <v>41</v>
      </c>
      <c r="W20" s="284">
        <f>IF($T$2="2018年",'Offer Statistics'!CB20,IF($T$2="2019年",'Offer Statistics'!CB46,IF($T$2="2020年",'Offer Statistics'!CB72)))</f>
        <v>1</v>
      </c>
      <c r="X20" s="284">
        <f>IF($T$2="2018年",'Offer Statistics'!CC20,IF($T$2="2019年",'Offer Statistics'!CC46,IF($T$2="2020年",'Offer Statistics'!CC72)))</f>
        <v>0</v>
      </c>
      <c r="Y20" s="284">
        <f>IF($T$2="2018年",'Offer Statistics'!CD20,IF($T$2="2019年",'Offer Statistics'!CD46,IF($T$2="2020年",'Offer Statistics'!CD72)))</f>
        <v>0</v>
      </c>
      <c r="Z20" s="284">
        <f>IF($T$2="2018年",'Offer Statistics'!CE20,IF($T$2="2019年",'Offer Statistics'!CE46,IF($T$2="2020年",'Offer Statistics'!CE72)))</f>
        <v>0</v>
      </c>
      <c r="AA20" s="501"/>
      <c r="AB20" s="302">
        <f>IF($T$2="2018年",'Offer Statistics'!BX20,IF($T$2="2019年",'Offer Statistics'!BX46,IF($T$2="2020年",'Offer Statistics'!BX72)))</f>
        <v>644</v>
      </c>
      <c r="AC20" s="284">
        <f>IF($T$2="2018年",'Offer Statistics'!BS20,IF($T$2="2019年",'Offer Statistics'!BS46,IF($T$2="2020年",'Offer Statistics'!BS72)))</f>
        <v>107</v>
      </c>
      <c r="AD20" s="284">
        <f>IF($T$2="2018年",'Offer Statistics'!BT20,IF($T$2="2019年",'Offer Statistics'!BT46,IF($T$2="2020年",'Offer Statistics'!BT72)))</f>
        <v>109</v>
      </c>
      <c r="AE20" s="284">
        <f>IF($T$2="2018年",'Offer Statistics'!BU20,IF($T$2="2019年",'Offer Statistics'!BU46,IF($T$2="2020年",'Offer Statistics'!BU72)))</f>
        <v>115</v>
      </c>
      <c r="AF20" s="284">
        <f>IF($T$2="2018年",'Offer Statistics'!BV20,IF($T$2="2019年",'Offer Statistics'!BV46,IF($T$2="2020年",'Offer Statistics'!BV72)))</f>
        <v>165</v>
      </c>
      <c r="AG20" s="284">
        <f>IF($T$2="2018年",'Offer Statistics'!BW20,IF($T$2="2019年",'Offer Statistics'!BW46,IF($T$2="2020年",'Offer Statistics'!BW72)))</f>
        <v>148</v>
      </c>
      <c r="AH20" s="175"/>
      <c r="AI20" s="338" t="str">
        <f t="shared" si="0"/>
        <v>JS5411</v>
      </c>
    </row>
    <row r="21" spans="1:36" ht="18" customHeight="1">
      <c r="A21" s="5" t="s">
        <v>608</v>
      </c>
      <c r="B21" s="5" t="s">
        <v>777</v>
      </c>
      <c r="C21" s="5" t="s">
        <v>610</v>
      </c>
      <c r="D21" s="5" t="s">
        <v>1389</v>
      </c>
      <c r="E21" s="363" t="s">
        <v>627</v>
      </c>
      <c r="F21" s="7">
        <v>35</v>
      </c>
      <c r="G21" s="7">
        <v>34</v>
      </c>
      <c r="H21" s="71">
        <f>計分版!D247</f>
        <v>4.1499999999999999E-9</v>
      </c>
      <c r="I21" s="39">
        <f>IF(I$1="差距(Median)",H21-F21,IF(I$1="差距(UQ)",H21-#REF!,IF(I$1="差距(LQ)",H21-G21)))</f>
        <v>-34.999999995849997</v>
      </c>
      <c r="J21" s="40">
        <f>IF(I$1="差距(Median)",(H21-F21)/H21,IF(I$1="差距(UQ)",(H21-#REF!)/H21,IF(I$1="差距(LQ)",(H21-G21)/H21)))</f>
        <v>-8433734938.7590351</v>
      </c>
      <c r="K21" s="101">
        <v>28</v>
      </c>
      <c r="L21" s="380">
        <f>入學要求!S230</f>
        <v>0</v>
      </c>
      <c r="M21" s="371" t="s">
        <v>2188</v>
      </c>
      <c r="N21" s="19">
        <v>3</v>
      </c>
      <c r="O21" s="19">
        <v>3</v>
      </c>
      <c r="P21" s="19">
        <v>3</v>
      </c>
      <c r="Q21" s="19">
        <v>2</v>
      </c>
      <c r="R21" s="19">
        <v>3</v>
      </c>
      <c r="S21" s="19">
        <v>3</v>
      </c>
      <c r="T21" s="501"/>
      <c r="U21" s="302">
        <f>IF($T$2="2018年",'Offer Statistics'!CF21,IF($T$2="2019年",'Offer Statistics'!CF47,IF($T$2="2020年",'Offer Statistics'!CF73)))</f>
        <v>18</v>
      </c>
      <c r="V21" s="284">
        <f>IF($T$2="2018年",'Offer Statistics'!CA21,IF($T$2="2019年",'Offer Statistics'!CA47,IF($T$2="2020年",'Offer Statistics'!CA73)))</f>
        <v>17</v>
      </c>
      <c r="W21" s="284">
        <f>IF($T$2="2018年",'Offer Statistics'!CB21,IF($T$2="2019年",'Offer Statistics'!CB47,IF($T$2="2020年",'Offer Statistics'!CB73)))</f>
        <v>1</v>
      </c>
      <c r="X21" s="284">
        <f>IF($T$2="2018年",'Offer Statistics'!CC21,IF($T$2="2019年",'Offer Statistics'!CC47,IF($T$2="2020年",'Offer Statistics'!CC73)))</f>
        <v>0</v>
      </c>
      <c r="Y21" s="284">
        <f>IF($T$2="2018年",'Offer Statistics'!CD21,IF($T$2="2019年",'Offer Statistics'!CD47,IF($T$2="2020年",'Offer Statistics'!CD73)))</f>
        <v>0</v>
      </c>
      <c r="Z21" s="284">
        <f>IF($T$2="2018年",'Offer Statistics'!CE21,IF($T$2="2019年",'Offer Statistics'!CE47,IF($T$2="2020年",'Offer Statistics'!CE73)))</f>
        <v>0</v>
      </c>
      <c r="AA21" s="501"/>
      <c r="AB21" s="302">
        <f>IF($T$2="2018年",'Offer Statistics'!BX21,IF($T$2="2019年",'Offer Statistics'!BX47,IF($T$2="2020年",'Offer Statistics'!BX73)))</f>
        <v>544</v>
      </c>
      <c r="AC21" s="284">
        <f>IF($T$2="2018年",'Offer Statistics'!BS21,IF($T$2="2019年",'Offer Statistics'!BS47,IF($T$2="2020年",'Offer Statistics'!BS73)))</f>
        <v>55</v>
      </c>
      <c r="AD21" s="284">
        <f>IF($T$2="2018年",'Offer Statistics'!BT21,IF($T$2="2019年",'Offer Statistics'!BT47,IF($T$2="2020年",'Offer Statistics'!BT73)))</f>
        <v>71</v>
      </c>
      <c r="AE21" s="284">
        <f>IF($T$2="2018年",'Offer Statistics'!BU21,IF($T$2="2019年",'Offer Statistics'!BU47,IF($T$2="2020年",'Offer Statistics'!BU73)))</f>
        <v>112</v>
      </c>
      <c r="AF21" s="284">
        <f>IF($T$2="2018年",'Offer Statistics'!BV21,IF($T$2="2019年",'Offer Statistics'!BV47,IF($T$2="2020年",'Offer Statistics'!BV73)))</f>
        <v>157</v>
      </c>
      <c r="AG21" s="284">
        <f>IF($T$2="2018年",'Offer Statistics'!BW21,IF($T$2="2019年",'Offer Statistics'!BW47,IF($T$2="2020年",'Offer Statistics'!BW73)))</f>
        <v>149</v>
      </c>
      <c r="AI21" s="338" t="str">
        <f t="shared" si="0"/>
        <v>JS5412</v>
      </c>
    </row>
    <row r="22" spans="1:36" s="11" customFormat="1" ht="18" customHeight="1">
      <c r="A22" s="5" t="s">
        <v>611</v>
      </c>
      <c r="B22" s="5" t="s">
        <v>780</v>
      </c>
      <c r="C22" s="5" t="s">
        <v>613</v>
      </c>
      <c r="D22" s="5" t="s">
        <v>1390</v>
      </c>
      <c r="E22" s="363" t="s">
        <v>627</v>
      </c>
      <c r="F22" s="7">
        <v>42.5</v>
      </c>
      <c r="G22" s="7">
        <v>41.5</v>
      </c>
      <c r="H22" s="71">
        <f>計分版!D248</f>
        <v>3.4000000000000003E-9</v>
      </c>
      <c r="I22" s="39">
        <f>IF(I$1="差距(Median)",H22-F22,IF(I$1="差距(UQ)",H22-#REF!,IF(I$1="差距(LQ)",H22-G22)))</f>
        <v>-42.499999996600003</v>
      </c>
      <c r="J22" s="40">
        <f>IF(I$1="差距(Median)",(H22-F22)/H22,IF(I$1="差距(UQ)",(H22-#REF!)/H22,IF(I$1="差距(LQ)",(H22-G22)/H22)))</f>
        <v>-12499999999</v>
      </c>
      <c r="K22" s="101">
        <v>26</v>
      </c>
      <c r="L22" s="380">
        <f>入學要求!S231</f>
        <v>0</v>
      </c>
      <c r="M22" s="371" t="s">
        <v>2188</v>
      </c>
      <c r="N22" s="19">
        <v>3</v>
      </c>
      <c r="O22" s="19">
        <v>4</v>
      </c>
      <c r="P22" s="19">
        <v>3</v>
      </c>
      <c r="Q22" s="19">
        <v>2</v>
      </c>
      <c r="R22" s="19">
        <v>3</v>
      </c>
      <c r="S22" s="19">
        <v>3</v>
      </c>
      <c r="T22" s="501"/>
      <c r="U22" s="302">
        <f>IF($T$2="2018年",'Offer Statistics'!CF22,IF($T$2="2019年",'Offer Statistics'!CF48,IF($T$2="2020年",'Offer Statistics'!CF74)))</f>
        <v>19</v>
      </c>
      <c r="V22" s="284">
        <f>IF($T$2="2018年",'Offer Statistics'!CA22,IF($T$2="2019年",'Offer Statistics'!CA48,IF($T$2="2020年",'Offer Statistics'!CA74)))</f>
        <v>19</v>
      </c>
      <c r="W22" s="284">
        <f>IF($T$2="2018年",'Offer Statistics'!CB22,IF($T$2="2019年",'Offer Statistics'!CB48,IF($T$2="2020年",'Offer Statistics'!CB74)))</f>
        <v>0</v>
      </c>
      <c r="X22" s="284">
        <f>IF($T$2="2018年",'Offer Statistics'!CC22,IF($T$2="2019年",'Offer Statistics'!CC48,IF($T$2="2020年",'Offer Statistics'!CC74)))</f>
        <v>0</v>
      </c>
      <c r="Y22" s="284">
        <f>IF($T$2="2018年",'Offer Statistics'!CD22,IF($T$2="2019年",'Offer Statistics'!CD48,IF($T$2="2020年",'Offer Statistics'!CD74)))</f>
        <v>0</v>
      </c>
      <c r="Z22" s="284">
        <f>IF($T$2="2018年",'Offer Statistics'!CE22,IF($T$2="2019年",'Offer Statistics'!CE48,IF($T$2="2020年",'Offer Statistics'!CE74)))</f>
        <v>0</v>
      </c>
      <c r="AA22" s="501"/>
      <c r="AB22" s="302">
        <f>IF($T$2="2018年",'Offer Statistics'!BX22,IF($T$2="2019年",'Offer Statistics'!BX48,IF($T$2="2020年",'Offer Statistics'!BX74)))</f>
        <v>805</v>
      </c>
      <c r="AC22" s="284">
        <f>IF($T$2="2018年",'Offer Statistics'!BS22,IF($T$2="2019年",'Offer Statistics'!BS48,IF($T$2="2020年",'Offer Statistics'!BS74)))</f>
        <v>64</v>
      </c>
      <c r="AD22" s="284">
        <f>IF($T$2="2018年",'Offer Statistics'!BT22,IF($T$2="2019年",'Offer Statistics'!BT48,IF($T$2="2020年",'Offer Statistics'!BT74)))</f>
        <v>68</v>
      </c>
      <c r="AE22" s="284">
        <f>IF($T$2="2018年",'Offer Statistics'!BU22,IF($T$2="2019年",'Offer Statistics'!BU48,IF($T$2="2020年",'Offer Statistics'!BU74)))</f>
        <v>172</v>
      </c>
      <c r="AF22" s="284">
        <f>IF($T$2="2018年",'Offer Statistics'!BV22,IF($T$2="2019年",'Offer Statistics'!BV48,IF($T$2="2020年",'Offer Statistics'!BV74)))</f>
        <v>269</v>
      </c>
      <c r="AG22" s="284">
        <f>IF($T$2="2018年",'Offer Statistics'!BW22,IF($T$2="2019年",'Offer Statistics'!BW48,IF($T$2="2020年",'Offer Statistics'!BW74)))</f>
        <v>232</v>
      </c>
      <c r="AH22" s="175"/>
      <c r="AI22" s="338" t="str">
        <f t="shared" si="0"/>
        <v>JS5811</v>
      </c>
    </row>
    <row r="23" spans="1:36" ht="18" customHeight="1">
      <c r="A23" s="5" t="s">
        <v>614</v>
      </c>
      <c r="B23" s="5" t="s">
        <v>780</v>
      </c>
      <c r="C23" s="5" t="s">
        <v>616</v>
      </c>
      <c r="D23" s="5" t="s">
        <v>1391</v>
      </c>
      <c r="E23" s="363" t="s">
        <v>627</v>
      </c>
      <c r="F23" s="7">
        <v>36</v>
      </c>
      <c r="G23" s="7">
        <v>35</v>
      </c>
      <c r="H23" s="71">
        <f>計分版!D249</f>
        <v>4.0000000000000002E-9</v>
      </c>
      <c r="I23" s="39">
        <f>IF(I$1="差距(Median)",H23-F23,IF(I$1="差距(UQ)",H23-#REF!,IF(I$1="差距(LQ)",H23-G23)))</f>
        <v>-35.999999996</v>
      </c>
      <c r="J23" s="40">
        <f>IF(I$1="差距(Median)",(H23-F23)/H23,IF(I$1="差距(UQ)",(H23-#REF!)/H23,IF(I$1="差距(LQ)",(H23-G23)/H23)))</f>
        <v>-8999999999</v>
      </c>
      <c r="K23" s="101">
        <v>15</v>
      </c>
      <c r="L23" s="380">
        <f>入學要求!S232</f>
        <v>0</v>
      </c>
      <c r="M23" s="371" t="s">
        <v>2194</v>
      </c>
      <c r="N23" s="19">
        <v>3</v>
      </c>
      <c r="O23" s="19">
        <v>4</v>
      </c>
      <c r="P23" s="19">
        <v>3</v>
      </c>
      <c r="Q23" s="19">
        <v>2</v>
      </c>
      <c r="R23" s="19">
        <v>3</v>
      </c>
      <c r="S23" s="19">
        <v>3</v>
      </c>
      <c r="T23" s="501"/>
      <c r="U23" s="302">
        <f>IF($T$2="2018年",'Offer Statistics'!CF23,IF($T$2="2019年",'Offer Statistics'!CF49,IF($T$2="2020年",'Offer Statistics'!CF75)))</f>
        <v>13</v>
      </c>
      <c r="V23" s="284">
        <f>IF($T$2="2018年",'Offer Statistics'!CA23,IF($T$2="2019年",'Offer Statistics'!CA49,IF($T$2="2020年",'Offer Statistics'!CA75)))</f>
        <v>13</v>
      </c>
      <c r="W23" s="284">
        <f>IF($T$2="2018年",'Offer Statistics'!CB23,IF($T$2="2019年",'Offer Statistics'!CB49,IF($T$2="2020年",'Offer Statistics'!CB75)))</f>
        <v>0</v>
      </c>
      <c r="X23" s="284">
        <f>IF($T$2="2018年",'Offer Statistics'!CC23,IF($T$2="2019年",'Offer Statistics'!CC49,IF($T$2="2020年",'Offer Statistics'!CC75)))</f>
        <v>0</v>
      </c>
      <c r="Y23" s="284">
        <f>IF($T$2="2018年",'Offer Statistics'!CD23,IF($T$2="2019年",'Offer Statistics'!CD49,IF($T$2="2020年",'Offer Statistics'!CD75)))</f>
        <v>0</v>
      </c>
      <c r="Z23" s="284">
        <f>IF($T$2="2018年",'Offer Statistics'!CE23,IF($T$2="2019年",'Offer Statistics'!CE49,IF($T$2="2020年",'Offer Statistics'!CE75)))</f>
        <v>0</v>
      </c>
      <c r="AA23" s="501"/>
      <c r="AB23" s="302">
        <f>IF($T$2="2018年",'Offer Statistics'!BX23,IF($T$2="2019年",'Offer Statistics'!BX49,IF($T$2="2020年",'Offer Statistics'!BX75)))</f>
        <v>648</v>
      </c>
      <c r="AC23" s="284">
        <f>IF($T$2="2018年",'Offer Statistics'!BS23,IF($T$2="2019年",'Offer Statistics'!BS49,IF($T$2="2020年",'Offer Statistics'!BS75)))</f>
        <v>47</v>
      </c>
      <c r="AD23" s="284">
        <f>IF($T$2="2018年",'Offer Statistics'!BT23,IF($T$2="2019年",'Offer Statistics'!BT49,IF($T$2="2020年",'Offer Statistics'!BT75)))</f>
        <v>58</v>
      </c>
      <c r="AE23" s="284">
        <f>IF($T$2="2018年",'Offer Statistics'!BU23,IF($T$2="2019年",'Offer Statistics'!BU49,IF($T$2="2020年",'Offer Statistics'!BU75)))</f>
        <v>147</v>
      </c>
      <c r="AF23" s="284">
        <f>IF($T$2="2018年",'Offer Statistics'!BV23,IF($T$2="2019年",'Offer Statistics'!BV49,IF($T$2="2020年",'Offer Statistics'!BV75)))</f>
        <v>198</v>
      </c>
      <c r="AG23" s="284">
        <f>IF($T$2="2018年",'Offer Statistics'!BW23,IF($T$2="2019年",'Offer Statistics'!BW49,IF($T$2="2020年",'Offer Statistics'!BW75)))</f>
        <v>198</v>
      </c>
      <c r="AI23" s="338" t="str">
        <f t="shared" si="0"/>
        <v>JS5812</v>
      </c>
    </row>
    <row r="24" spans="1:36" s="11" customFormat="1" ht="18" customHeight="1">
      <c r="A24" s="5" t="s">
        <v>617</v>
      </c>
      <c r="B24" s="5" t="s">
        <v>780</v>
      </c>
      <c r="C24" s="5" t="s">
        <v>618</v>
      </c>
      <c r="D24" s="5" t="s">
        <v>1392</v>
      </c>
      <c r="E24" s="363" t="s">
        <v>627</v>
      </c>
      <c r="F24" s="7">
        <v>45</v>
      </c>
      <c r="G24" s="7">
        <v>44</v>
      </c>
      <c r="H24" s="71">
        <f>計分版!D250</f>
        <v>4.4000000000000005E-9</v>
      </c>
      <c r="I24" s="39">
        <f>IF(I$1="差距(Median)",H24-F24,IF(I$1="差距(UQ)",H24-#REF!,IF(I$1="差距(LQ)",H24-G24)))</f>
        <v>-44.9999999956</v>
      </c>
      <c r="J24" s="40">
        <f>IF(I$1="差距(Median)",(H24-F24)/H24,IF(I$1="差距(UQ)",(H24-#REF!)/H24,IF(I$1="差距(LQ)",(H24-G24)/H24)))</f>
        <v>-10227272726.272726</v>
      </c>
      <c r="K24" s="101">
        <v>15</v>
      </c>
      <c r="L24" s="380">
        <f>入學要求!S233</f>
        <v>0</v>
      </c>
      <c r="M24" s="371" t="s">
        <v>2188</v>
      </c>
      <c r="N24" s="19">
        <v>3</v>
      </c>
      <c r="O24" s="19">
        <v>4</v>
      </c>
      <c r="P24" s="19">
        <v>3</v>
      </c>
      <c r="Q24" s="19">
        <v>2</v>
      </c>
      <c r="R24" s="19">
        <v>3</v>
      </c>
      <c r="S24" s="19">
        <v>3</v>
      </c>
      <c r="T24" s="501"/>
      <c r="U24" s="302">
        <f>IF($T$2="2018年",'Offer Statistics'!CF24,IF($T$2="2019年",'Offer Statistics'!CF50,IF($T$2="2020年",'Offer Statistics'!CF76)))</f>
        <v>15</v>
      </c>
      <c r="V24" s="284">
        <f>IF($T$2="2018年",'Offer Statistics'!CA24,IF($T$2="2019年",'Offer Statistics'!CA50,IF($T$2="2020年",'Offer Statistics'!CA76)))</f>
        <v>15</v>
      </c>
      <c r="W24" s="284">
        <f>IF($T$2="2018年",'Offer Statistics'!CB24,IF($T$2="2019年",'Offer Statistics'!CB50,IF($T$2="2020年",'Offer Statistics'!CB76)))</f>
        <v>0</v>
      </c>
      <c r="X24" s="284">
        <f>IF($T$2="2018年",'Offer Statistics'!CC24,IF($T$2="2019年",'Offer Statistics'!CC50,IF($T$2="2020年",'Offer Statistics'!CC76)))</f>
        <v>0</v>
      </c>
      <c r="Y24" s="284">
        <f>IF($T$2="2018年",'Offer Statistics'!CD24,IF($T$2="2019年",'Offer Statistics'!CD50,IF($T$2="2020年",'Offer Statistics'!CD76)))</f>
        <v>0</v>
      </c>
      <c r="Z24" s="284">
        <f>IF($T$2="2018年",'Offer Statistics'!CE24,IF($T$2="2019年",'Offer Statistics'!CE50,IF($T$2="2020年",'Offer Statistics'!CE76)))</f>
        <v>0</v>
      </c>
      <c r="AA24" s="501"/>
      <c r="AB24" s="302">
        <f>IF($T$2="2018年",'Offer Statistics'!BX24,IF($T$2="2019年",'Offer Statistics'!BX50,IF($T$2="2020年",'Offer Statistics'!BX76)))</f>
        <v>634</v>
      </c>
      <c r="AC24" s="284">
        <f>IF($T$2="2018年",'Offer Statistics'!BS24,IF($T$2="2019年",'Offer Statistics'!BS50,IF($T$2="2020年",'Offer Statistics'!BS76)))</f>
        <v>62</v>
      </c>
      <c r="AD24" s="284">
        <f>IF($T$2="2018年",'Offer Statistics'!BT24,IF($T$2="2019年",'Offer Statistics'!BT50,IF($T$2="2020年",'Offer Statistics'!BT76)))</f>
        <v>86</v>
      </c>
      <c r="AE24" s="284">
        <f>IF($T$2="2018年",'Offer Statistics'!BU24,IF($T$2="2019年",'Offer Statistics'!BU50,IF($T$2="2020年",'Offer Statistics'!BU76)))</f>
        <v>142</v>
      </c>
      <c r="AF24" s="284">
        <f>IF($T$2="2018年",'Offer Statistics'!BV24,IF($T$2="2019年",'Offer Statistics'!BV50,IF($T$2="2020年",'Offer Statistics'!BV76)))</f>
        <v>170</v>
      </c>
      <c r="AG24" s="284">
        <f>IF($T$2="2018年",'Offer Statistics'!BW24,IF($T$2="2019年",'Offer Statistics'!BW50,IF($T$2="2020年",'Offer Statistics'!BW76)))</f>
        <v>174</v>
      </c>
      <c r="AH24" s="175"/>
      <c r="AI24" s="338" t="str">
        <f t="shared" si="0"/>
        <v>JS5813</v>
      </c>
    </row>
    <row r="25" spans="1:36" ht="18" customHeight="1">
      <c r="A25" s="5" t="s">
        <v>619</v>
      </c>
      <c r="B25" s="5" t="s">
        <v>780</v>
      </c>
      <c r="C25" s="5" t="s">
        <v>621</v>
      </c>
      <c r="D25" s="5" t="s">
        <v>1393</v>
      </c>
      <c r="E25" s="363" t="s">
        <v>627</v>
      </c>
      <c r="F25" s="82">
        <v>45</v>
      </c>
      <c r="G25" s="7">
        <v>44</v>
      </c>
      <c r="H25" s="71">
        <f>計分版!D251</f>
        <v>4.1499999999999999E-9</v>
      </c>
      <c r="I25" s="39">
        <f>IF(I$1="差距(Median)",H25-F25,IF(I$1="差距(UQ)",H25-#REF!,IF(I$1="差距(LQ)",H25-G25)))</f>
        <v>-44.999999995849997</v>
      </c>
      <c r="J25" s="40">
        <f>IF(I$1="差距(Median)",(H25-F25)/H25,IF(I$1="差距(UQ)",(H25-#REF!)/H25,IF(I$1="差距(LQ)",(H25-G25)/H25)))</f>
        <v>-10843373492.975903</v>
      </c>
      <c r="K25" s="101">
        <v>23</v>
      </c>
      <c r="L25" s="380">
        <f>入學要求!S234</f>
        <v>0</v>
      </c>
      <c r="M25" s="369" t="s">
        <v>2194</v>
      </c>
      <c r="N25" s="19">
        <v>3</v>
      </c>
      <c r="O25" s="19">
        <v>4</v>
      </c>
      <c r="P25" s="19">
        <v>3</v>
      </c>
      <c r="Q25" s="19">
        <v>2</v>
      </c>
      <c r="R25" s="19">
        <v>3</v>
      </c>
      <c r="S25" s="19">
        <v>3</v>
      </c>
      <c r="T25" s="501"/>
      <c r="U25" s="302">
        <f>IF($T$2="2018年",'Offer Statistics'!CF25,IF($T$2="2019年",'Offer Statistics'!CF51,IF($T$2="2020年",'Offer Statistics'!CF77)))</f>
        <v>22</v>
      </c>
      <c r="V25" s="284">
        <f>IF($T$2="2018年",'Offer Statistics'!CA25,IF($T$2="2019年",'Offer Statistics'!CA51,IF($T$2="2020年",'Offer Statistics'!CA77)))</f>
        <v>22</v>
      </c>
      <c r="W25" s="284">
        <f>IF($T$2="2018年",'Offer Statistics'!CB25,IF($T$2="2019年",'Offer Statistics'!CB51,IF($T$2="2020年",'Offer Statistics'!CB77)))</f>
        <v>0</v>
      </c>
      <c r="X25" s="284">
        <f>IF($T$2="2018年",'Offer Statistics'!CC25,IF($T$2="2019年",'Offer Statistics'!CC51,IF($T$2="2020年",'Offer Statistics'!CC77)))</f>
        <v>0</v>
      </c>
      <c r="Y25" s="284">
        <f>IF($T$2="2018年",'Offer Statistics'!CD25,IF($T$2="2019年",'Offer Statistics'!CD51,IF($T$2="2020年",'Offer Statistics'!CD77)))</f>
        <v>0</v>
      </c>
      <c r="Z25" s="284">
        <f>IF($T$2="2018年",'Offer Statistics'!CE25,IF($T$2="2019年",'Offer Statistics'!CE51,IF($T$2="2020年",'Offer Statistics'!CE77)))</f>
        <v>0</v>
      </c>
      <c r="AA25" s="501"/>
      <c r="AB25" s="302">
        <f>IF($T$2="2018年",'Offer Statistics'!BX25,IF($T$2="2019年",'Offer Statistics'!BX51,IF($T$2="2020年",'Offer Statistics'!BX77)))</f>
        <v>584</v>
      </c>
      <c r="AC25" s="284">
        <f>IF($T$2="2018年",'Offer Statistics'!BS25,IF($T$2="2019年",'Offer Statistics'!BS51,IF($T$2="2020年",'Offer Statistics'!BS77)))</f>
        <v>63</v>
      </c>
      <c r="AD25" s="284">
        <f>IF($T$2="2018年",'Offer Statistics'!BT25,IF($T$2="2019年",'Offer Statistics'!BT51,IF($T$2="2020年",'Offer Statistics'!BT77)))</f>
        <v>63</v>
      </c>
      <c r="AE25" s="284">
        <f>IF($T$2="2018年",'Offer Statistics'!BU25,IF($T$2="2019年",'Offer Statistics'!BU51,IF($T$2="2020年",'Offer Statistics'!BU77)))</f>
        <v>106</v>
      </c>
      <c r="AF25" s="284">
        <f>IF($T$2="2018年",'Offer Statistics'!BV25,IF($T$2="2019年",'Offer Statistics'!BV51,IF($T$2="2020年",'Offer Statistics'!BV77)))</f>
        <v>185</v>
      </c>
      <c r="AG25" s="284">
        <f>IF($T$2="2018年",'Offer Statistics'!BW25,IF($T$2="2019年",'Offer Statistics'!BW51,IF($T$2="2020年",'Offer Statistics'!BW77)))</f>
        <v>167</v>
      </c>
      <c r="AI25" s="338" t="str">
        <f t="shared" si="0"/>
        <v>JS5814</v>
      </c>
    </row>
    <row r="26" spans="1:36" s="11" customFormat="1" ht="18" customHeight="1">
      <c r="A26" s="5" t="s">
        <v>622</v>
      </c>
      <c r="B26" s="5" t="s">
        <v>780</v>
      </c>
      <c r="C26" s="5" t="s">
        <v>623</v>
      </c>
      <c r="D26" s="5" t="s">
        <v>1394</v>
      </c>
      <c r="E26" s="363" t="s">
        <v>781</v>
      </c>
      <c r="F26" s="7">
        <v>57</v>
      </c>
      <c r="G26" s="7">
        <v>54.5</v>
      </c>
      <c r="H26" s="71">
        <f>計分版!D252</f>
        <v>3.4499999999999999E-9</v>
      </c>
      <c r="I26" s="39">
        <f>IF(I$1="差距(Median)",H26-F26,IF(I$1="差距(UQ)",H26-#REF!,IF(I$1="差距(LQ)",H26-G26)))</f>
        <v>-56.999999996550002</v>
      </c>
      <c r="J26" s="40">
        <f>IF(I$1="差距(Median)",(H26-F26)/H26,IF(I$1="差距(UQ)",(H26-#REF!)/H26,IF(I$1="差距(LQ)",(H26-G26)/H26)))</f>
        <v>-16521739129.434784</v>
      </c>
      <c r="K26" s="101">
        <v>21</v>
      </c>
      <c r="L26" s="380">
        <f>入學要求!S235</f>
        <v>0</v>
      </c>
      <c r="M26" s="369" t="s">
        <v>2194</v>
      </c>
      <c r="N26" s="19">
        <v>3</v>
      </c>
      <c r="O26" s="19">
        <v>4</v>
      </c>
      <c r="P26" s="19">
        <v>3</v>
      </c>
      <c r="Q26" s="19">
        <v>2</v>
      </c>
      <c r="R26" s="19">
        <v>3</v>
      </c>
      <c r="S26" s="19">
        <v>3</v>
      </c>
      <c r="T26" s="501"/>
      <c r="U26" s="302">
        <f>IF($T$2="2018年",'Offer Statistics'!CF26,IF($T$2="2019年",'Offer Statistics'!CF52,IF($T$2="2020年",'Offer Statistics'!CF78)))</f>
        <v>20</v>
      </c>
      <c r="V26" s="284">
        <f>IF($T$2="2018年",'Offer Statistics'!CA26,IF($T$2="2019年",'Offer Statistics'!CA52,IF($T$2="2020年",'Offer Statistics'!CA78)))</f>
        <v>20</v>
      </c>
      <c r="W26" s="284">
        <f>IF($T$2="2018年",'Offer Statistics'!CB26,IF($T$2="2019年",'Offer Statistics'!CB52,IF($T$2="2020年",'Offer Statistics'!CB78)))</f>
        <v>0</v>
      </c>
      <c r="X26" s="284">
        <f>IF($T$2="2018年",'Offer Statistics'!CC26,IF($T$2="2019年",'Offer Statistics'!CC52,IF($T$2="2020年",'Offer Statistics'!CC78)))</f>
        <v>0</v>
      </c>
      <c r="Y26" s="284">
        <f>IF($T$2="2018年",'Offer Statistics'!CD26,IF($T$2="2019年",'Offer Statistics'!CD52,IF($T$2="2020年",'Offer Statistics'!CD78)))</f>
        <v>0</v>
      </c>
      <c r="Z26" s="284">
        <f>IF($T$2="2018年",'Offer Statistics'!CE26,IF($T$2="2019年",'Offer Statistics'!CE52,IF($T$2="2020年",'Offer Statistics'!CE78)))</f>
        <v>0</v>
      </c>
      <c r="AA26" s="501"/>
      <c r="AB26" s="302">
        <f>IF($T$2="2018年",'Offer Statistics'!BX26,IF($T$2="2019年",'Offer Statistics'!BX52,IF($T$2="2020年",'Offer Statistics'!BX78)))</f>
        <v>455</v>
      </c>
      <c r="AC26" s="284">
        <f>IF($T$2="2018年",'Offer Statistics'!BS26,IF($T$2="2019年",'Offer Statistics'!BS52,IF($T$2="2020年",'Offer Statistics'!BS78)))</f>
        <v>64</v>
      </c>
      <c r="AD26" s="284">
        <f>IF($T$2="2018年",'Offer Statistics'!BT26,IF($T$2="2019年",'Offer Statistics'!BT52,IF($T$2="2020年",'Offer Statistics'!BT78)))</f>
        <v>45</v>
      </c>
      <c r="AE26" s="284">
        <f>IF($T$2="2018年",'Offer Statistics'!BU26,IF($T$2="2019年",'Offer Statistics'!BU52,IF($T$2="2020年",'Offer Statistics'!BU78)))</f>
        <v>91</v>
      </c>
      <c r="AF26" s="284">
        <f>IF($T$2="2018年",'Offer Statistics'!BV26,IF($T$2="2019年",'Offer Statistics'!BV52,IF($T$2="2020年",'Offer Statistics'!BV78)))</f>
        <v>125</v>
      </c>
      <c r="AG26" s="284">
        <f>IF($T$2="2018年",'Offer Statistics'!BW26,IF($T$2="2019年",'Offer Statistics'!BW52,IF($T$2="2020年",'Offer Statistics'!BW78)))</f>
        <v>130</v>
      </c>
      <c r="AH26" s="175"/>
      <c r="AI26" s="338" t="str">
        <f t="shared" si="0"/>
        <v>JS5901</v>
      </c>
    </row>
    <row r="27" spans="1:36" ht="18" customHeight="1"/>
    <row r="28" spans="1:36" ht="18" customHeight="1">
      <c r="A28" s="4" t="s">
        <v>2202</v>
      </c>
    </row>
    <row r="29" spans="1:36" ht="18" customHeight="1">
      <c r="A29" s="5" t="s">
        <v>1274</v>
      </c>
    </row>
    <row r="30" spans="1:36" s="175" customFormat="1" ht="18" customHeight="1">
      <c r="C30" s="186"/>
      <c r="E30" s="438"/>
      <c r="H30" s="438"/>
      <c r="K30" s="437"/>
      <c r="L30" s="438"/>
    </row>
    <row r="31" spans="1:36" s="187" customFormat="1" ht="18" customHeight="1">
      <c r="A31" s="187" t="s">
        <v>2352</v>
      </c>
      <c r="E31" s="272"/>
      <c r="F31" s="35"/>
      <c r="G31" s="35"/>
      <c r="H31" s="35"/>
      <c r="I31" s="35"/>
      <c r="J31" s="36"/>
      <c r="K31" s="37"/>
      <c r="L31" s="35"/>
      <c r="N31" s="35"/>
      <c r="O31" s="35"/>
      <c r="P31" s="35"/>
      <c r="Q31" s="35"/>
      <c r="R31" s="35"/>
      <c r="S31" s="35"/>
      <c r="T31" s="35"/>
      <c r="U31" s="35"/>
      <c r="V31" s="35"/>
      <c r="W31" s="35"/>
      <c r="X31" s="35"/>
      <c r="Y31" s="35"/>
      <c r="Z31" s="35"/>
      <c r="AA31" s="35"/>
      <c r="AB31" s="35"/>
      <c r="AC31" s="35"/>
      <c r="AD31" s="35"/>
      <c r="AE31" s="35"/>
      <c r="AF31" s="35"/>
      <c r="AG31" s="35"/>
      <c r="AH31" s="35"/>
      <c r="AJ31" s="35"/>
    </row>
    <row r="32" spans="1:36" s="175" customFormat="1" ht="18" customHeight="1">
      <c r="E32" s="363"/>
      <c r="F32" s="394"/>
      <c r="G32" s="394"/>
      <c r="H32" s="394"/>
      <c r="I32" s="27"/>
      <c r="J32" s="186"/>
      <c r="K32" s="394"/>
      <c r="L32" s="394"/>
      <c r="M32" s="394"/>
      <c r="N32" s="394"/>
      <c r="O32" s="394"/>
      <c r="P32" s="394"/>
      <c r="Q32" s="394"/>
      <c r="R32" s="394"/>
      <c r="S32" s="394"/>
      <c r="AI32" s="394"/>
    </row>
    <row r="33" spans="1:35" s="175" customFormat="1" ht="18" customHeight="1">
      <c r="A33" s="4" t="s">
        <v>2243</v>
      </c>
      <c r="E33" s="363"/>
      <c r="F33" s="394"/>
      <c r="G33" s="394"/>
      <c r="H33" s="394"/>
      <c r="I33" s="27"/>
      <c r="J33" s="186"/>
      <c r="K33" s="394"/>
      <c r="L33" s="394"/>
      <c r="M33" s="394"/>
      <c r="N33" s="394"/>
      <c r="O33" s="394"/>
      <c r="P33" s="394"/>
      <c r="Q33" s="394"/>
      <c r="R33" s="394"/>
      <c r="S33" s="394"/>
      <c r="AI33" s="394"/>
    </row>
    <row r="34" spans="1:35" s="175" customFormat="1" ht="18" customHeight="1">
      <c r="A34" s="175" t="s">
        <v>2282</v>
      </c>
      <c r="E34" s="363"/>
      <c r="F34" s="394"/>
      <c r="G34" s="394"/>
      <c r="H34" s="394"/>
      <c r="I34" s="27"/>
      <c r="J34" s="186"/>
      <c r="K34" s="394"/>
      <c r="L34" s="394"/>
      <c r="M34" s="394"/>
      <c r="N34" s="394"/>
      <c r="O34" s="394"/>
      <c r="P34" s="394"/>
      <c r="Q34" s="394"/>
      <c r="R34" s="394"/>
      <c r="S34" s="394"/>
      <c r="AI34" s="394"/>
    </row>
    <row r="35" spans="1:35" ht="18" customHeight="1">
      <c r="F35" s="72"/>
      <c r="G35" s="72"/>
      <c r="H35" s="72"/>
      <c r="K35" s="72"/>
      <c r="M35" s="72"/>
      <c r="N35" s="72"/>
      <c r="O35" s="72"/>
      <c r="P35" s="72"/>
      <c r="Q35" s="72"/>
      <c r="R35" s="72"/>
      <c r="S35" s="72"/>
    </row>
    <row r="36" spans="1:35" ht="18" customHeight="1">
      <c r="A36" s="4" t="s">
        <v>1147</v>
      </c>
      <c r="F36" s="72"/>
      <c r="G36" s="72"/>
      <c r="H36" s="72"/>
      <c r="K36" s="72"/>
      <c r="M36" s="72"/>
      <c r="N36" s="72"/>
      <c r="O36" s="72"/>
      <c r="P36" s="72"/>
      <c r="Q36" s="72"/>
      <c r="R36" s="72"/>
      <c r="S36" s="72"/>
    </row>
    <row r="37" spans="1:35" ht="18" customHeight="1">
      <c r="A37" s="195" t="s">
        <v>2219</v>
      </c>
      <c r="B37" s="175"/>
      <c r="C37" s="175"/>
      <c r="D37" s="175"/>
      <c r="F37" s="371"/>
      <c r="G37" s="72"/>
      <c r="H37" s="72"/>
      <c r="K37" s="72"/>
      <c r="M37" s="72"/>
      <c r="N37" s="72"/>
      <c r="O37" s="72"/>
      <c r="P37" s="72"/>
      <c r="Q37" s="72"/>
      <c r="R37" s="72"/>
      <c r="S37" s="72"/>
    </row>
    <row r="38" spans="1:35" ht="18" customHeight="1">
      <c r="A38" s="194" t="s">
        <v>2209</v>
      </c>
      <c r="B38" s="175"/>
      <c r="C38" s="175"/>
      <c r="D38" s="175"/>
      <c r="F38" s="371"/>
      <c r="H38" s="4"/>
    </row>
    <row r="39" spans="1:35" ht="18" customHeight="1">
      <c r="A39" s="195" t="s">
        <v>2210</v>
      </c>
      <c r="B39" s="175"/>
      <c r="C39" s="175"/>
      <c r="D39" s="175"/>
      <c r="F39" s="371"/>
      <c r="H39" s="175"/>
    </row>
    <row r="40" spans="1:35" ht="18" customHeight="1"/>
    <row r="41" spans="1:35"/>
  </sheetData>
  <mergeCells count="5">
    <mergeCell ref="I1:J1"/>
    <mergeCell ref="K3:K4"/>
    <mergeCell ref="T2:T26"/>
    <mergeCell ref="AA2:AA26"/>
    <mergeCell ref="K13:K16"/>
  </mergeCells>
  <phoneticPr fontId="2" type="noConversion"/>
  <conditionalFormatting sqref="I2:J4 I17:J26 I6:J7 I9:J15">
    <cfRule type="cellIs" dxfId="304" priority="113" operator="equal">
      <formula>"/"</formula>
    </cfRule>
    <cfRule type="cellIs" dxfId="303" priority="115" operator="lessThan">
      <formula>0</formula>
    </cfRule>
    <cfRule type="cellIs" dxfId="302" priority="116" operator="greaterThan">
      <formula>0</formula>
    </cfRule>
  </conditionalFormatting>
  <conditionalFormatting sqref="F2:F26">
    <cfRule type="expression" dxfId="301" priority="112">
      <formula>$I$1="差距(Median)"</formula>
    </cfRule>
  </conditionalFormatting>
  <conditionalFormatting sqref="G2:G26">
    <cfRule type="expression" dxfId="300" priority="99">
      <formula>$I$1="差距(LQ)"</formula>
    </cfRule>
  </conditionalFormatting>
  <conditionalFormatting sqref="L2:L26">
    <cfRule type="cellIs" dxfId="299" priority="96" operator="equal">
      <formula>2</formula>
    </cfRule>
    <cfRule type="cellIs" dxfId="298" priority="97" operator="equal">
      <formula>1</formula>
    </cfRule>
    <cfRule type="cellIs" dxfId="297" priority="98" operator="equal">
      <formula>0</formula>
    </cfRule>
  </conditionalFormatting>
  <conditionalFormatting sqref="A14:J16 L14:M16 A2:M13 A17:M26 T2:AI26">
    <cfRule type="expression" dxfId="296" priority="1361">
      <formula>MOD(ROW(),2)=0</formula>
    </cfRule>
  </conditionalFormatting>
  <conditionalFormatting sqref="I5:J5">
    <cfRule type="cellIs" dxfId="295" priority="56" operator="equal">
      <formula>"/"</formula>
    </cfRule>
    <cfRule type="cellIs" dxfId="294" priority="57" operator="lessThan">
      <formula>0</formula>
    </cfRule>
    <cfRule type="cellIs" dxfId="293" priority="58" operator="greaterThan">
      <formula>0</formula>
    </cfRule>
  </conditionalFormatting>
  <conditionalFormatting sqref="I5:J5">
    <cfRule type="expression" dxfId="292" priority="59">
      <formula>MOD(ROW(),2)=0</formula>
    </cfRule>
  </conditionalFormatting>
  <conditionalFormatting sqref="I16:J16">
    <cfRule type="cellIs" dxfId="291" priority="52" operator="equal">
      <formula>"/"</formula>
    </cfRule>
    <cfRule type="cellIs" dxfId="290" priority="53" operator="lessThan">
      <formula>0</formula>
    </cfRule>
    <cfRule type="cellIs" dxfId="289" priority="54" operator="greaterThan">
      <formula>0</formula>
    </cfRule>
  </conditionalFormatting>
  <conditionalFormatting sqref="I16:J16">
    <cfRule type="expression" dxfId="288" priority="55">
      <formula>MOD(ROW(),2)=0</formula>
    </cfRule>
  </conditionalFormatting>
  <conditionalFormatting sqref="I8:J8">
    <cfRule type="cellIs" dxfId="287" priority="48" operator="equal">
      <formula>"/"</formula>
    </cfRule>
    <cfRule type="cellIs" dxfId="286" priority="49" operator="lessThan">
      <formula>0</formula>
    </cfRule>
    <cfRule type="cellIs" dxfId="285" priority="50" operator="greaterThan">
      <formula>0</formula>
    </cfRule>
  </conditionalFormatting>
  <conditionalFormatting sqref="I8:J8">
    <cfRule type="expression" dxfId="284" priority="51">
      <formula>MOD(ROW(),2)=0</formula>
    </cfRule>
  </conditionalFormatting>
  <conditionalFormatting sqref="T2 AA2 AH2:AH27">
    <cfRule type="expression" dxfId="283" priority="4">
      <formula>TRUE</formula>
    </cfRule>
  </conditionalFormatting>
  <hyperlinks>
    <hyperlink ref="A38" r:id="rId1" location="jupas-interview" xr:uid="{00000000-0004-0000-0B00-000000000000}"/>
    <hyperlink ref="A39" r:id="rId2" xr:uid="{00000000-0004-0000-0B00-000001000000}"/>
    <hyperlink ref="A37" r:id="rId3" xr:uid="{00000000-0004-0000-0B00-000002000000}"/>
  </hyperlinks>
  <pageMargins left="0.7" right="0.7" top="0.75" bottom="0.75" header="0.3" footer="0.3"/>
  <legacyDrawing r:id="rId4"/>
  <extLst>
    <ext xmlns:x14="http://schemas.microsoft.com/office/spreadsheetml/2009/9/main" uri="{78C0D931-6437-407d-A8EE-F0AAD7539E65}">
      <x14:conditionalFormattings>
        <x14:conditionalFormatting xmlns:xm="http://schemas.microsoft.com/office/excel/2006/main">
          <x14:cfRule type="expression" priority="1" id="{633466DD-AB2C-467E-86F2-4F769A09B45D}">
            <xm:f>入學要求!L211=0</xm:f>
            <x14:dxf>
              <font>
                <color rgb="FF9C0006"/>
              </font>
              <fill>
                <patternFill>
                  <bgColor rgb="FFFFC7CE"/>
                </patternFill>
              </fill>
            </x14:dxf>
          </x14:cfRule>
          <x14:cfRule type="expression" priority="2" id="{D36570DE-4BFF-4E20-B45F-8CCBF3765966}">
            <xm:f>入學要求!L211=2</xm:f>
            <x14:dxf>
              <font>
                <color rgb="FF9C5700"/>
              </font>
              <fill>
                <patternFill>
                  <bgColor rgb="FFFFEB9C"/>
                </patternFill>
              </fill>
            </x14:dxf>
          </x14:cfRule>
          <x14:cfRule type="expression" priority="3" id="{C5477194-6912-4E3E-9AED-6152CA618FCE}">
            <xm:f>入學要求!L211=1</xm:f>
            <x14:dxf>
              <font>
                <color rgb="FF006100"/>
              </font>
              <fill>
                <patternFill>
                  <bgColor rgb="FFC6EFCE"/>
                </patternFill>
              </fill>
            </x14:dxf>
          </x14:cfRule>
          <xm:sqref>N2:S26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選單!$J$2:$J$3</xm:f>
          </x14:formula1>
          <xm:sqref>I1:J1</xm:sqref>
        </x14:dataValidation>
        <x14:dataValidation type="list" allowBlank="1" showInputMessage="1" showErrorMessage="1" xr:uid="{00000000-0002-0000-0B00-000001000000}">
          <x14:formula1>
            <xm:f>選單!$I$1:$I$3</xm:f>
          </x14:formula1>
          <xm:sqref>T2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4"/>
  <dimension ref="A1:AJ422"/>
  <sheetViews>
    <sheetView zoomScale="85" zoomScaleNormal="85" workbookViewId="0">
      <pane ySplit="1" topLeftCell="A169" activePane="bottomLeft" state="frozen"/>
      <selection activeCell="B1" sqref="B1"/>
      <selection pane="bottomLeft" activeCell="D252" sqref="D252"/>
    </sheetView>
  </sheetViews>
  <sheetFormatPr defaultColWidth="8.88671875" defaultRowHeight="15.6"/>
  <cols>
    <col min="1" max="1" width="9.77734375" style="84" customWidth="1"/>
    <col min="2" max="2" width="17.88671875" style="84" customWidth="1"/>
    <col min="3" max="3" width="11.109375" style="85" customWidth="1"/>
    <col min="4" max="4" width="8.88671875" style="84" customWidth="1"/>
    <col min="5" max="5" width="10" style="84" bestFit="1" customWidth="1"/>
    <col min="6" max="6" width="10.109375" style="84" bestFit="1" customWidth="1"/>
    <col min="7" max="7" width="10.21875" style="84" customWidth="1"/>
    <col min="8" max="8" width="10.109375" style="84" customWidth="1"/>
    <col min="9" max="9" width="11.21875" style="84" customWidth="1"/>
    <col min="10" max="10" width="10.44140625" style="84" customWidth="1"/>
    <col min="11" max="11" width="7.77734375" style="84" customWidth="1"/>
    <col min="12" max="12" width="7.21875" style="90" customWidth="1"/>
    <col min="13" max="13" width="7.77734375" style="90" customWidth="1"/>
    <col min="14" max="14" width="8.21875" style="84" customWidth="1"/>
    <col min="15" max="15" width="10.109375" style="84" customWidth="1"/>
    <col min="16" max="16" width="15.33203125" style="84" customWidth="1"/>
    <col min="17" max="17" width="10.44140625" style="84" customWidth="1"/>
    <col min="18" max="19" width="8.33203125" style="84" customWidth="1"/>
    <col min="20" max="20" width="7.88671875" style="90" customWidth="1"/>
    <col min="21" max="21" width="10.21875" style="84" customWidth="1"/>
    <col min="22" max="22" width="9.44140625" style="84" customWidth="1"/>
    <col min="23" max="23" width="9.33203125" style="84" customWidth="1"/>
    <col min="24" max="24" width="8.6640625" style="84" customWidth="1"/>
    <col min="25" max="25" width="9.44140625" style="84" customWidth="1"/>
    <col min="26" max="26" width="10.33203125" style="84" bestFit="1" customWidth="1"/>
    <col min="27" max="16384" width="8.88671875" style="84"/>
  </cols>
  <sheetData>
    <row r="1" spans="1:27" s="92" customFormat="1">
      <c r="D1" s="93" t="s">
        <v>386</v>
      </c>
      <c r="E1" s="93" t="s">
        <v>2</v>
      </c>
      <c r="F1" s="93" t="s">
        <v>1</v>
      </c>
      <c r="G1" s="93" t="s">
        <v>3</v>
      </c>
      <c r="H1" s="93" t="s">
        <v>4</v>
      </c>
      <c r="I1" s="93" t="s">
        <v>63</v>
      </c>
      <c r="J1" s="93" t="str">
        <f>主頁!B15</f>
        <v>請選擇第一選修科</v>
      </c>
      <c r="K1" s="93" t="str">
        <f>主頁!B16</f>
        <v>請選擇第二選修科</v>
      </c>
      <c r="L1" s="93" t="str">
        <f>主頁!B17</f>
        <v>請選擇第三選修科</v>
      </c>
      <c r="M1" s="93" t="str">
        <f>主頁!B18</f>
        <v>請選擇第四選修科</v>
      </c>
      <c r="N1" s="317" t="str">
        <f>主頁!B19</f>
        <v>請選擇語言科目</v>
      </c>
      <c r="O1" s="94"/>
      <c r="T1" s="137"/>
    </row>
    <row r="2" spans="1:27">
      <c r="C2" s="83" t="s">
        <v>387</v>
      </c>
      <c r="D2" s="85"/>
      <c r="E2" s="85" t="str">
        <f>IF($I$20=FALSE,主頁!C8,Q7)</f>
        <v>請選擇等級</v>
      </c>
      <c r="F2" s="85" t="str">
        <f>IF($I$20=FALSE,主頁!C9,R7)</f>
        <v>請選擇等級</v>
      </c>
      <c r="G2" s="85" t="str">
        <f>IF($I$20=FALSE,主頁!C10,S7)</f>
        <v>請選擇等級</v>
      </c>
      <c r="H2" s="85" t="str">
        <f>IF($I$20=FALSE,主頁!C11,T7)</f>
        <v>請選擇等級</v>
      </c>
      <c r="I2" s="85" t="str">
        <f>IF($I$20=FALSE,主頁!C12,U7)</f>
        <v>請選擇等級</v>
      </c>
      <c r="J2" s="85">
        <f>IF($I$20=FALSE,IF(主頁!B15="請選擇第一選修科",0,主頁!C15),V7)</f>
        <v>0</v>
      </c>
      <c r="K2" s="85">
        <f>IF($I$20=FALSE,IF(主頁!B16="請選擇第二選修科",0,主頁!C16),W7)</f>
        <v>0</v>
      </c>
      <c r="L2" s="85">
        <f>IF($I$20=FALSE,IF(主頁!B17="請選擇第三選修科",0,主頁!C17),X7)</f>
        <v>0</v>
      </c>
      <c r="M2" s="85">
        <f>IF($I$20=FALSE,IF(主頁!B18="請選擇第四選修科",0,主頁!C18),Y7)</f>
        <v>0</v>
      </c>
      <c r="N2" s="314">
        <f>IF($I$20=FALSE,IF(主頁!B19="請選擇語言科目",0,主頁!C19),Z7)</f>
        <v>0</v>
      </c>
      <c r="O2" s="90"/>
      <c r="Q2" s="84" t="str">
        <f>INDEX(I$1:N$1,MATCH(LARGE(I13:N13,1),I13:N13,0))</f>
        <v>請選擇語言科目</v>
      </c>
      <c r="R2" s="84" t="str">
        <f>INDEX(I$1:N$1,MATCH(LARGE(I13:N13,2),I13:N13,0))</f>
        <v>請選擇第四選修科</v>
      </c>
    </row>
    <row r="3" spans="1:27">
      <c r="A3" s="83"/>
      <c r="C3" s="84"/>
      <c r="D3" s="318" t="s">
        <v>758</v>
      </c>
      <c r="E3" s="85">
        <f>IF(OR(E2="請選擇等級",E2=FALSE,E2=0),0,LOOKUP(E2,{"U",1,2,3,4,5,"5*","5**"},{0,1,2,3,4,5,6,7}))+0.0000000001</f>
        <v>1E-10</v>
      </c>
      <c r="F3" s="85">
        <f>IF(OR(F2="請選擇等級",F2=FALSE,F2=0),0,LOOKUP(F2,{"U",1,2,3,4,5,"5*","5**"},{0,1,2,3,4,5,6,7}))+0.0000000002</f>
        <v>2.0000000000000001E-10</v>
      </c>
      <c r="G3" s="85">
        <f>IF(OR(G2="請選擇等級",G2=FALSE,G2=0),0,LOOKUP(G2,{"U",1,2,3,4,5,"5*","5**"},{0,1,2,3,4,5,6,7}))+0.0000000003</f>
        <v>3E-10</v>
      </c>
      <c r="H3" s="85">
        <f>IF(OR(H2="請選擇等級",H2=FALSE,H2=0),0,LOOKUP(H2,{"U",1,2,3,4,5,"5*","5**"},{0,1,2,3,4,5,6,7}))+0.0000000004</f>
        <v>4.0000000000000001E-10</v>
      </c>
      <c r="I3" s="85">
        <f>IF(OR(I2="請選擇等級",I2=FALSE,I2=0),0,LOOKUP(I2,{"U",1,2,3,4,5,"5*","5**"},{0,1,2,3,4,5,6,7}))+0.0000000005</f>
        <v>5.0000000000000003E-10</v>
      </c>
      <c r="J3" s="85">
        <f>IF(OR(J2="請選擇等級",J2=FALSE,J2=0),0,LOOKUP(J2,{"U",1,2,3,4,5,"5*","5**"},{0,1,2,3,4,5,6,7}))+0.0000000006</f>
        <v>6E-10</v>
      </c>
      <c r="K3" s="85">
        <f>IF(OR(K2="請選擇等級",K2=FALSE,K2=0),0,LOOKUP(K2,{"U",1,2,3,4,5,"5*","5**"},{0,1,2,3,4,5,6,7}))+0.0000000007</f>
        <v>6.9999999999999996E-10</v>
      </c>
      <c r="L3" s="85">
        <f>IF(OR(L2="請選擇等級",L2=FALSE,L2=0),0,LOOKUP(L2,{"U",1,2,3,4,5,"5*","5**"},{0,1,2,3,4,5,6,7}))+0.0000000008</f>
        <v>8.0000000000000003E-10</v>
      </c>
      <c r="M3" s="85">
        <f>IF(OR(M2="請選擇等級",M2=FALSE,M2=0),0,LOOKUP(M2,{"U",1,2,3,4,5,"5*","5**"},{0,1,2,3,4,5,6,7}))+0.0000000009</f>
        <v>8.9999999999999999E-10</v>
      </c>
      <c r="N3" s="85">
        <f>IF(OR(N2="請選擇等級",N2=FALSE,N2=0),0,LOOKUP(N2,{"A","B","C","D","E","U"},{5,4,3,2,1,0}))+0.00000000095</f>
        <v>9.5000000000000003E-10</v>
      </c>
      <c r="O3" s="90"/>
    </row>
    <row r="4" spans="1:27">
      <c r="C4" s="84"/>
      <c r="D4" s="318" t="s">
        <v>880</v>
      </c>
      <c r="E4" s="85">
        <f>IF(OR(E2="請選擇等級",E2=FALSE,E2=0),0,LOOKUP(E2,{"U",1,2,3,4,5,"5*","5**"},{0,1,2,3,4,5,6,7}))+0.0000000001</f>
        <v>1E-10</v>
      </c>
      <c r="F4" s="85">
        <f>IF(OR(F2="請選擇等級",F2=FALSE,F2=0),0,LOOKUP(F2,{"U",1,2,3,4,5,"5*","5**"},{0,1,2,3,4,5,6,7}))+0.0000000002</f>
        <v>2.0000000000000001E-10</v>
      </c>
      <c r="G4" s="85">
        <f>IF(OR(G2="請選擇等級",G2=FALSE,G2=0),0,LOOKUP(G2,{"U",1,2,3,4,5,"5*","5**"},{0,1,2,3,4,5,6,7}))+0.0000000003</f>
        <v>3E-10</v>
      </c>
      <c r="H4" s="85">
        <f>IF(OR(H2="請選擇等級",H2=FALSE,H2=0),0,LOOKUP(H2,{"U",1,2,3,4,5,"5*","5**"},{0,1,2,3,4,5,6,7}))+0.0000000004</f>
        <v>4.0000000000000001E-10</v>
      </c>
      <c r="I4" s="85">
        <f>IF(OR(I2="請選擇等級",I2=FALSE,I2=0),0,LOOKUP(I2,{"U",1,2,3,4,5,"5*","5**"},{0,1,2,3,4,5,6,7}))+0.0000000005</f>
        <v>5.0000000000000003E-10</v>
      </c>
      <c r="J4" s="85">
        <f>IF(OR(J2="請選擇等級",J2=FALSE,J2=0),0,LOOKUP(J2,{"U",1,2,3,4,5,"5*","5**"},{0,1,2,3,4,5,6,7}))+0.0000000006</f>
        <v>6E-10</v>
      </c>
      <c r="K4" s="85">
        <f>IF(OR(K2="請選擇等級",K2=FALSE,K2=0),0,LOOKUP(K2,{"U",1,2,3,4,5,"5*","5**"},{0,1,2,3,4,5,6,7}))+0.0000000007</f>
        <v>6.9999999999999996E-10</v>
      </c>
      <c r="L4" s="85">
        <f>IF(OR(L2="請選擇等級",L2=FALSE,L2=0),0,LOOKUP(L2,{"U",1,2,3,4,5,"5*","5**"},{0,1,2,3,4,5,6,7}))+0.0000000008</f>
        <v>8.0000000000000003E-10</v>
      </c>
      <c r="M4" s="85">
        <f>IF(OR(M2="請選擇等級",M2=FALSE,M2=0),0,LOOKUP(M2,{"U",1,2,3,4,5,"5*","5**"},{0,1,2,3,4,5,6,7}))+0.0000000009</f>
        <v>8.9999999999999999E-10</v>
      </c>
      <c r="N4" s="85">
        <f>IF(OR(N2="請選擇等級",N2=FALSE,N2=0),0,LOOKUP(N2,{"A","B","C","D","E","U"},{7,6,5,4,3,0}))+0.00000000095</f>
        <v>9.5000000000000003E-10</v>
      </c>
      <c r="O4" s="90"/>
      <c r="P4" s="130" t="s">
        <v>882</v>
      </c>
      <c r="Q4" s="204" t="s">
        <v>2044</v>
      </c>
      <c r="R4" s="204"/>
      <c r="S4" s="204"/>
      <c r="T4" s="205"/>
      <c r="U4" s="204"/>
      <c r="V4" s="204"/>
      <c r="W4" s="204"/>
      <c r="X4" s="204"/>
      <c r="Y4" s="204"/>
      <c r="Z4" s="204"/>
      <c r="AA4" s="204"/>
    </row>
    <row r="5" spans="1:27">
      <c r="C5" s="84"/>
      <c r="D5" s="318" t="s">
        <v>550</v>
      </c>
      <c r="E5" s="85">
        <f>IF(OR(E2="請選擇等級",E2=FALSE,E2=0),0,LOOKUP(E2,{"U",1,2,3,4,5,"5*","5**"},{0,1,2,3,4,5.5,7,8.5}))+0.0000000001</f>
        <v>1E-10</v>
      </c>
      <c r="F5" s="85">
        <f>IF(OR(F2="請選擇等級",F2=FALSE,F2=0),0,LOOKUP(F2,{"U",1,2,3,4,5,"5*","5**"},{0,1,2,3,4,5.5,7,8.5}))+0.0000000002</f>
        <v>2.0000000000000001E-10</v>
      </c>
      <c r="G5" s="85">
        <f>IF(OR(G2="請選擇等級",G2=FALSE,G2=0),0,LOOKUP(G2,{"U",1,2,3,4,5,"5*","5**"},{0,1,2,3,4,5.5,7,8.5}))+0.0000000003</f>
        <v>3E-10</v>
      </c>
      <c r="H5" s="85">
        <f>IF(OR(H2="請選擇等級",H2=FALSE,H2=0),0,LOOKUP(H2,{"U",1,2,3,4,5,"5*","5**"},{0,1,2,3,4,5.5,7,8.5}))+0.0000000004</f>
        <v>4.0000000000000001E-10</v>
      </c>
      <c r="I5" s="85">
        <f>IF(OR(I2="請選擇等級",I2=FALSE,I2=0),0,LOOKUP(I2,{"U",1,2,3,4,5,"5*","5**"},{0,1,2,3,4,5.5,7,8.5}))+0.0000000005</f>
        <v>5.0000000000000003E-10</v>
      </c>
      <c r="J5" s="85">
        <f>IF(OR(J2="請選擇等級",J2=FALSE,J2=0),0,LOOKUP(J2,{"U",1,2,3,4,5,"5*","5**"},{0,1,2,3,4,5.5,7,8.5}))+0.0000000006</f>
        <v>6E-10</v>
      </c>
      <c r="K5" s="85">
        <f>IF(OR(K2="請選擇等級",K2=FALSE,K2=0),0,LOOKUP(K2,{"U",1,2,3,4,5,"5*","5**"},{0,1,2,3,4,5.5,7,8.5}))+0.0000000007</f>
        <v>6.9999999999999996E-10</v>
      </c>
      <c r="L5" s="85">
        <f>IF(OR(L2="請選擇等級",L2=FALSE,L2=0),0,LOOKUP(L2,{"U",1,2,3,4,5,"5*","5**"},{0,1,2,3,4,5.5,7,8.5}))+0.0000000008</f>
        <v>8.0000000000000003E-10</v>
      </c>
      <c r="M5" s="85">
        <f>IF(OR(M2="請選擇等級",M2=FALSE,M2=0),0,LOOKUP(M2,{"U",1,2,3,4,5,"5*","5**"},{0,1,2,3,4,5.5,7,8.5}))+0.0000000009</f>
        <v>8.9999999999999999E-10</v>
      </c>
      <c r="N5" s="85">
        <f>IF(OR(N2="請選擇等級",N2=FALSE,N2=0),0,LOOKUP(N2,{"A","B","C","D","E","U"},{5,4,3,2,1,0}))+0.00000000095</f>
        <v>9.5000000000000003E-10</v>
      </c>
      <c r="O5" s="90"/>
      <c r="P5" s="204" t="s">
        <v>2045</v>
      </c>
      <c r="Q5" s="315">
        <f>主頁!D8</f>
        <v>0</v>
      </c>
      <c r="R5" s="315">
        <f>主頁!D9</f>
        <v>0</v>
      </c>
      <c r="S5" s="315">
        <f>主頁!D10</f>
        <v>0</v>
      </c>
      <c r="T5" s="315">
        <f>主頁!D11</f>
        <v>0</v>
      </c>
      <c r="U5" s="315">
        <f>主頁!D12</f>
        <v>0</v>
      </c>
      <c r="V5" s="315">
        <f>IF(主頁!B15="請選擇第一選修科",0,主頁!D15)</f>
        <v>0</v>
      </c>
      <c r="W5" s="315">
        <f>IF(主頁!B16="請選擇第二選修科",0,主頁!D16)</f>
        <v>0</v>
      </c>
      <c r="X5" s="315">
        <f>IF(主頁!B17="請選擇第三選修科",0,主頁!D17)</f>
        <v>0</v>
      </c>
      <c r="Y5" s="315">
        <f>IF(主頁!B18="請選擇第四選修科",0,主頁!D18)</f>
        <v>0</v>
      </c>
      <c r="Z5" s="316">
        <f>IF(主頁!B19="請選擇語言科目",0,主頁!D19)</f>
        <v>0</v>
      </c>
      <c r="AA5" s="204"/>
    </row>
    <row r="6" spans="1:27">
      <c r="C6" s="84"/>
      <c r="D6" s="318" t="s">
        <v>193</v>
      </c>
      <c r="E6" s="85">
        <f>IF(OR(E2="請選擇等級",E2=FALSE,E2=0),0,LOOKUP(E2,{"U",1,2,3,4,5,"5*","5**"},{0,1,2,3,4,5.5,7,8.5}))+0.0000000001</f>
        <v>1E-10</v>
      </c>
      <c r="F6" s="85">
        <f>IF(OR(F2="請選擇等級",F2=FALSE,F2=0),0,LOOKUP(F2,{"U",1,2,3,4,5,"5*","5**"},{0,1,2,3,4,5.5,7,8.5}))+0.0000000002</f>
        <v>2.0000000000000001E-10</v>
      </c>
      <c r="G6" s="85">
        <f>IF(OR(G2="請選擇等級",G2=FALSE,G2=0),0,LOOKUP(G2,{"U",1,2,3,4,5,"5*","5**"},{0,1,2,3,4,5.5,7,8.5}))+0.0000000003</f>
        <v>3E-10</v>
      </c>
      <c r="H6" s="85">
        <f>IF(OR(H2="請選擇等級",H2=FALSE,H2=0),0,LOOKUP(H2,{"U",1,2,3,4,5,"5*","5**"},{0,1,2,3,4,5.5,7,8.5}))+0.0000000004</f>
        <v>4.0000000000000001E-10</v>
      </c>
      <c r="I6" s="85">
        <f>IF(OR(I2="請選擇等級",I2=FALSE,I2=0),0,LOOKUP(I2,{"U",1,2,3,4,5,"5*","5**"},{0,1,2,3,4,5.5,7,8.5}))+0.0000000005</f>
        <v>5.0000000000000003E-10</v>
      </c>
      <c r="J6" s="85">
        <f>IF(OR(J2="請選擇等級",J2=FALSE,J2=0),0,LOOKUP(J2,{"U",1,2,3,4,5,"5*","5**"},{0,1,2,3,4,5.5,7,8.5}))+0.0000000006</f>
        <v>6E-10</v>
      </c>
      <c r="K6" s="85">
        <f>IF(OR(K2="請選擇等級",K2=FALSE,K2=0),0,LOOKUP(K2,{"U",1,2,3,4,5,"5*","5**"},{0,1,2,3,4,5.5,7,8.5}))+0.0000000007</f>
        <v>6.9999999999999996E-10</v>
      </c>
      <c r="L6" s="85">
        <f>IF(OR(L2="請選擇等級",L2=FALSE,L2=0),0,LOOKUP(L2,{"U",1,2,3,4,5,"5*","5**"},{0,1,2,3,4,5.5,7,8.5}))+0.0000000008</f>
        <v>8.0000000000000003E-10</v>
      </c>
      <c r="M6" s="85">
        <f>IF(OR(M2="請選擇等級",M2=FALSE,M2=0),0,LOOKUP(M2,{"U",1,2,3,4,5,"5*","5**"},{0,1,2,3,4,5.5,7,8.5}))+0.0000000009</f>
        <v>8.9999999999999999E-10</v>
      </c>
      <c r="N6" s="314">
        <f>IF(OR(N2="請選擇等級",N2=FALSE,N2=0),0,LOOKUP(N2,{"A","B","C","D","E","U"},{5.5,4,3,2,1,0}))+0.00000000095</f>
        <v>9.5000000000000003E-10</v>
      </c>
      <c r="O6" s="90"/>
      <c r="P6" s="204" t="s">
        <v>2046</v>
      </c>
      <c r="Q6" s="316" t="b">
        <f>ISNUMBER(Q5)</f>
        <v>1</v>
      </c>
      <c r="R6" s="316" t="b">
        <f t="shared" ref="R6:U6" si="0">ISNUMBER(R5)</f>
        <v>1</v>
      </c>
      <c r="S6" s="316" t="b">
        <f t="shared" si="0"/>
        <v>1</v>
      </c>
      <c r="T6" s="316" t="b">
        <f t="shared" si="0"/>
        <v>1</v>
      </c>
      <c r="U6" s="316" t="b">
        <f t="shared" si="0"/>
        <v>1</v>
      </c>
      <c r="V6" s="316" t="b">
        <f t="shared" ref="V6" si="1">ISNUMBER(V5)</f>
        <v>1</v>
      </c>
      <c r="W6" s="316" t="b">
        <f t="shared" ref="W6" si="2">ISNUMBER(W5)</f>
        <v>1</v>
      </c>
      <c r="X6" s="316" t="b">
        <f t="shared" ref="X6" si="3">ISNUMBER(X5)</f>
        <v>1</v>
      </c>
      <c r="Y6" s="316" t="b">
        <f t="shared" ref="Y6" si="4">ISNUMBER(Y5)</f>
        <v>1</v>
      </c>
      <c r="Z6" s="316" t="b">
        <f>ISTEXT(Z5)</f>
        <v>0</v>
      </c>
      <c r="AA6" s="204"/>
    </row>
    <row r="7" spans="1:27">
      <c r="C7" s="84"/>
      <c r="D7" s="318" t="s">
        <v>624</v>
      </c>
      <c r="E7" s="85">
        <f>IF(OR(E2="請選擇等級",E2=FALSE,E2=0),0,LOOKUP(E2,{"U",1,2,3,4,5,"5*","5**"},{0,1,2,3,4,5,6,7}))+0.0000000001</f>
        <v>1E-10</v>
      </c>
      <c r="F7" s="85">
        <f>IF(OR(F2="請選擇等級",F2=FALSE,F2=0),0,LOOKUP(F2,{"U",1,2,3,4,5,"5*","5**"},{0,1,2,3,4,5,6,7}))+0.0000000002</f>
        <v>2.0000000000000001E-10</v>
      </c>
      <c r="G7" s="85">
        <f>IF(OR(G2="請選擇等級",G2=FALSE,G2=0),0,LOOKUP(G2,{"U",1,2,3,4,5,"5*","5**"},{0,1,2,3,4,5,6,7}))+0.0000000003</f>
        <v>3E-10</v>
      </c>
      <c r="H7" s="85">
        <f>IF(OR(H2="請選擇等級",H2=FALSE,H2=0),0,LOOKUP(H2,{"U",1,2,3,4,5,"5*","5**"},{0,1,2,3,4,5,6,7}))+0.0000000004</f>
        <v>4.0000000000000001E-10</v>
      </c>
      <c r="I7" s="85">
        <f>IF(OR(I2="請選擇等級",I2=FALSE,I2=0),0,LOOKUP(I2,{"U",1,2,3,4,5,"5*","5**"},{0,1,2,3,4,5,6,7}))+0.0000000005</f>
        <v>5.0000000000000003E-10</v>
      </c>
      <c r="J7" s="85">
        <f>IF(OR(J2="請選擇等級",J2=FALSE,J2=0),0,LOOKUP(J2,{"U",1,2,3,4,5,"5*","5**"},{0,1,2,3,4,5,6,7}))+0.0000000006</f>
        <v>6E-10</v>
      </c>
      <c r="K7" s="85">
        <f>IF(OR(K2="請選擇等級",K2=FALSE,K2=0),0,LOOKUP(K2,{"U",1,2,3,4,5,"5*","5**"},{0,1,2,3,4,5,6,7}))+0.0000000007</f>
        <v>6.9999999999999996E-10</v>
      </c>
      <c r="L7" s="85">
        <f>IF(OR(L2="請選擇等級",L2=FALSE,L2=0),0,LOOKUP(L2,{"U",1,2,3,4,5,"5*","5**"},{0,1,2,3,4,5,6,7}))+0.0000000008</f>
        <v>8.0000000000000003E-10</v>
      </c>
      <c r="M7" s="85">
        <f>IF(OR(M2="請選擇等級",M2=FALSE,M2=0),0,LOOKUP(M2,{"U",1,2,3,4,5,"5*","5**"},{0,1,2,3,4,5,6,7}))+0.0000000009</f>
        <v>8.9999999999999999E-10</v>
      </c>
      <c r="N7" s="85">
        <f>IF(OR(N2="請選擇等級",N2=FALSE,N2=0),0,LOOKUP(N2,{"A","B","C","D","E","U"},{7,5.5,4,2.5,1,0}))+0.00000000095</f>
        <v>9.5000000000000003E-10</v>
      </c>
      <c r="O7" s="90"/>
      <c r="P7" s="204" t="s">
        <v>2047</v>
      </c>
      <c r="Q7" s="316">
        <f>IF(OR(Q5="請選擇等級",Q6=FALSE,Q5=0),0,LOOKUP(Q5,{1,2,3,4,5,6,7,0},{1,2,3,4,5,"5*","5**","U"}))</f>
        <v>0</v>
      </c>
      <c r="R7" s="316">
        <f>IF(OR(R5="請選擇等級",R6=FALSE,R5=0),0,LOOKUP(R5,{1,2,3,4,5,6,7,0},{1,2,3,4,5,"5*","5**","U"}))</f>
        <v>0</v>
      </c>
      <c r="S7" s="316">
        <f>IF(OR(S5="請選擇等級",S6=FALSE,S5=0),0,LOOKUP(S5,{1,2,3,4,5,6,7,0},{1,2,3,4,5,"5*","5**","U"}))</f>
        <v>0</v>
      </c>
      <c r="T7" s="316">
        <f>IF(OR(T5="請選擇等級",T6=FALSE,T5=0),0,LOOKUP(T5,{1,2,3,4,5,6,7,0},{1,2,3,4,5,"5*","5**","U"}))</f>
        <v>0</v>
      </c>
      <c r="U7" s="316">
        <f>IF(OR(U5="請選擇等級",U6=FALSE,U5=0),0,LOOKUP(U5,{1,2,3,4,5,6,7,0},{1,2,3,4,5,"5*","5**","U"}))</f>
        <v>0</v>
      </c>
      <c r="V7" s="316">
        <f>IF(OR(V5="請選擇等級",V6=FALSE,V5=0),0,LOOKUP(V5,{1,2,3,4,5,6,7,0},{1,2,3,4,5,"5*","5**","U"}))</f>
        <v>0</v>
      </c>
      <c r="W7" s="316">
        <f>IF(OR(W5="請選擇等級",W6=FALSE,W5=0),0,LOOKUP(W5,{1,2,3,4,5,6,7,0},{1,2,3,4,5,"5*","5**","U"}))</f>
        <v>0</v>
      </c>
      <c r="X7" s="316">
        <f>IF(OR(X5="請選擇等級",X6=FALSE,X5=0),0,LOOKUP(X5,{1,2,3,4,5,6,7,0},{1,2,3,4,5,"5*","5**","U"}))</f>
        <v>0</v>
      </c>
      <c r="Y7" s="316">
        <f>IF(OR(Y5="請選擇等級",Y6=FALSE,Y5=0),0,LOOKUP(Y5,{1,2,3,4,5,6,7,0},{1,2,3,4,5,"5*","5**","U"}))</f>
        <v>0</v>
      </c>
      <c r="Z7" s="316">
        <f>IF(Z6=TRUE,Z5,0)</f>
        <v>0</v>
      </c>
      <c r="AA7" s="204"/>
    </row>
    <row r="8" spans="1:27">
      <c r="C8" s="84"/>
      <c r="D8" s="318" t="s">
        <v>389</v>
      </c>
      <c r="E8" s="85">
        <f>IF(OR(E2="請選擇等級",E2=FALSE,E2=0),0,LOOKUP(E2,{"U",1,2,3,4,5,"5*","5**"},{0,1,2,3,4,5.5,7,8.5}))+0.0000000001</f>
        <v>1E-10</v>
      </c>
      <c r="F8" s="85">
        <f>IF(OR(F2="請選擇等級",F2=FALSE,F2=0),0,LOOKUP(F2,{"U",1,2,3,4,5,"5*","5**"},{0,1,2,3,4,5.5,7,8.5}))+0.0000000002</f>
        <v>2.0000000000000001E-10</v>
      </c>
      <c r="G8" s="85">
        <f>IF(OR(G2="請選擇等級",G2=FALSE,G2=0),0,LOOKUP(G2,{"U",1,2,3,4,5,"5*","5**"},{0,1,2,3,4,5.5,7,8.5}))+0.0000000003</f>
        <v>3E-10</v>
      </c>
      <c r="H8" s="85">
        <f>IF(OR(H2="請選擇等級",H2=FALSE,H2=0),0,LOOKUP(H2,{"U",1,2,3,4,5,"5*","5**"},{0,1,2,3,4,5.5,7,8.5}))+0.0000000004</f>
        <v>4.0000000000000001E-10</v>
      </c>
      <c r="I8" s="85">
        <f>IF(OR(I2="請選擇等級",I2=FALSE,I2=0),0,LOOKUP(I2,{"U",1,2,3,4,5,"5*","5**"},{0,1,2,3,4,5.5,7,8.5}))+0.0000000005</f>
        <v>5.0000000000000003E-10</v>
      </c>
      <c r="J8" s="85">
        <f>IF(OR(J2="請選擇等級",J2=FALSE,J2=0),0,LOOKUP(J2,{"U",1,2,3,4,5,"5*","5**"},{0,1,2,3,4,5.5,7,8.5}))+0.0000000006</f>
        <v>6E-10</v>
      </c>
      <c r="K8" s="85">
        <f>IF(OR(K2="請選擇等級",K2=FALSE,K2=0),0,LOOKUP(K2,{"U",1,2,3,4,5,"5*","5**"},{0,1,2,3,4,5.5,7,8.5}))+0.0000000007</f>
        <v>6.9999999999999996E-10</v>
      </c>
      <c r="L8" s="85">
        <f>IF(OR(L2="請選擇等級",L2=FALSE,L2=0),0,LOOKUP(L2,{"U",1,2,3,4,5,"5*","5**"},{0,1,2,3,4,5.5,7,8.5}))+0.0000000008</f>
        <v>8.0000000000000003E-10</v>
      </c>
      <c r="M8" s="85">
        <f>IF(OR(M2="請選擇等級",M2=FALSE,M2=0),0,LOOKUP(M2,{"U",1,2,3,4,5,"5*","5**"},{0,1,2,3,4,5.5,7,8.5}))+0.0000000009</f>
        <v>8.9999999999999999E-10</v>
      </c>
      <c r="N8" s="314">
        <f>IF(OR(N2="請選擇等級",N2=FALSE,N2=0),0,LOOKUP(N2,{"A","B","C","D","E","U"},{7,5.5,4,2.5,1,0}))+0.00000000095</f>
        <v>9.5000000000000003E-10</v>
      </c>
      <c r="O8" s="90"/>
      <c r="P8" s="204"/>
      <c r="Q8" s="204"/>
      <c r="R8" s="204"/>
      <c r="S8" s="204"/>
      <c r="T8" s="205"/>
      <c r="U8" s="204"/>
      <c r="V8" s="204"/>
      <c r="W8" s="204"/>
      <c r="X8" s="204"/>
      <c r="Y8" s="204"/>
      <c r="Z8" s="204"/>
      <c r="AA8" s="204"/>
    </row>
    <row r="9" spans="1:27">
      <c r="C9" s="84"/>
      <c r="D9" s="318" t="s">
        <v>839</v>
      </c>
      <c r="E9" s="85">
        <f>IF(OR(E2="請選擇等級",E2=FALSE,E2=0),0,LOOKUP(E2,{"U",1,2,3,4,5,"5*","5**"},{0,1,2,3,4,5,6,7}))+0.0000000001</f>
        <v>1E-10</v>
      </c>
      <c r="F9" s="85">
        <f>IF(OR(F2="請選擇等級",F2=FALSE,F2=0),0,LOOKUP(F2,{"U",1,2,3,4,5,"5*","5**"},{0,1,2,3,4,5,6,7}))+0.0000000002</f>
        <v>2.0000000000000001E-10</v>
      </c>
      <c r="G9" s="85">
        <f>IF(OR(G2="請選擇等級",G2=FALSE,G2=0),0,LOOKUP(G2,{"U",1,2,3,4,5,"5*","5**"},{0,1,2,3,4,5,6,7}))+0.0000000003</f>
        <v>3E-10</v>
      </c>
      <c r="H9" s="85">
        <f>IF(OR(H2="請選擇等級",H2=FALSE,H2=0),0,LOOKUP(H2,{"U",1,2,3,4,5,"5*","5**"},{0,1,2,3,4,5,6,7}))+0.0000000004</f>
        <v>4.0000000000000001E-10</v>
      </c>
      <c r="I9" s="85">
        <f>IF(OR(I2="請選擇等級",I2=FALSE,I2=0),0,LOOKUP(I2,{"U",1,2,3,4,5,"5*","5**"},{0,1,2,3,4,5,6,7}))+0.0000000005</f>
        <v>5.0000000000000003E-10</v>
      </c>
      <c r="J9" s="85">
        <f>IF(OR(J2="請選擇等級",J2=FALSE,J2=0),0,LOOKUP(J2,{"U",1,2,3,4,5,"5*","5**"},{0,1,2,3,4,5,6,7}))+0.0000000006</f>
        <v>6E-10</v>
      </c>
      <c r="K9" s="85">
        <f>IF(OR(K2="請選擇等級",K2=FALSE,K2=0),0,LOOKUP(K2,{"U",1,2,3,4,5,"5*","5**"},{0,1,2,3,4,5,6,7}))+0.0000000007</f>
        <v>6.9999999999999996E-10</v>
      </c>
      <c r="L9" s="85">
        <f>IF(OR(L2="請選擇等級",L2=FALSE,L2=0),0,LOOKUP(L2,{"U",1,2,3,4,5,"5*","5**"},{0,1,2,3,4,5,6,7}))+0.0000000008</f>
        <v>8.0000000000000003E-10</v>
      </c>
      <c r="M9" s="85">
        <f>IF(OR(M2="請選擇等級",M2=FALSE,M2=0),0,LOOKUP(M2,{"U",1,2,3,4,5,"5*","5**"},{0,1,2,3,4,5,6,7}))+0.0000000009</f>
        <v>8.9999999999999999E-10</v>
      </c>
      <c r="N9" s="85">
        <f>IF(OR(N2="請選擇等級",N2=FALSE,N2=0),0,LOOKUP(N2,{"A","B","C","D","E","U"},{5,4,3,2,1,0}))+0.00000000095</f>
        <v>9.5000000000000003E-10</v>
      </c>
      <c r="O9" s="90"/>
    </row>
    <row r="10" spans="1:27">
      <c r="C10" s="84"/>
      <c r="D10" s="318" t="s">
        <v>837</v>
      </c>
      <c r="E10" s="85">
        <f>IF(OR(E2="請選擇等級",E2=FALSE,E2=0),0,LOOKUP(E2,{"U",1,2,3,4,5,"5*","5**"},{0,1,2,3,4,5,6,7}))+0.0000000001</f>
        <v>1E-10</v>
      </c>
      <c r="F10" s="85">
        <f>IF(OR(F2="請選擇等級",F2=FALSE,F2=0),0,LOOKUP(F2,{"U",1,2,3,4,5,"5*","5**"},{0,1,2,3,4,5,6,7}))+0.0000000002</f>
        <v>2.0000000000000001E-10</v>
      </c>
      <c r="G10" s="85">
        <f>IF(OR(G2="請選擇等級",G2=FALSE,G2=0),0,LOOKUP(G2,{"U",1,2,3,4,5,"5*","5**"},{0,1,2,3,4,5,6,7}))+0.0000000003</f>
        <v>3E-10</v>
      </c>
      <c r="H10" s="85">
        <f>IF(OR(H2="請選擇等級",H2=FALSE,H2=0),0,LOOKUP(H2,{"U",1,2,3,4,5,"5*","5**"},{0,1,2,3,4,5,6,7}))+0.0000000004</f>
        <v>4.0000000000000001E-10</v>
      </c>
      <c r="I10" s="85">
        <f>IF(OR(I2="請選擇等級",I2=FALSE,I2=0),0,LOOKUP(I2,{"U",1,2,3,4,5,"5*","5**"},{0,1,2,3,4,5,6,7}))+0.0000000005</f>
        <v>5.0000000000000003E-10</v>
      </c>
      <c r="J10" s="85">
        <f>IF(OR(J2="請選擇等級",J2=FALSE,J2=0),0,LOOKUP(J2,{"U",1,2,3,4,5,"5*","5**"},{0,1,2,3,4,5,6,7}))+0.0000000006</f>
        <v>6E-10</v>
      </c>
      <c r="K10" s="85">
        <f>IF(OR(K2="請選擇等級",K2=FALSE,K2=0),0,LOOKUP(K2,{"U",1,2,3,4,5,"5*","5**"},{0,1,2,3,4,5,6,7}))+0.0000000007</f>
        <v>6.9999999999999996E-10</v>
      </c>
      <c r="L10" s="85">
        <f>IF(OR(L2="請選擇等級",L2=FALSE,L2=0),0,LOOKUP(L2,{"U",1,2,3,4,5,"5*","5**"},{0,1,2,3,4,5,6,7}))+0.0000000008</f>
        <v>8.0000000000000003E-10</v>
      </c>
      <c r="M10" s="85">
        <f>IF(OR(M2="請選擇等級",M2=FALSE,M2=0),0,LOOKUP(M2,{"U",1,2,3,4,5,"5*","5**"},{0,1,2,3,4,5,6,7}))+0.0000000009</f>
        <v>8.9999999999999999E-10</v>
      </c>
      <c r="N10" s="85">
        <f>IF(OR(N2="請選擇等級",N2=FALSE,N2=0),0,LOOKUP(N2,{"A","B","C","D","E","U"},{7,6,5,4,3,0}))+0.00000000095</f>
        <v>9.5000000000000003E-10</v>
      </c>
      <c r="O10" s="90" t="s">
        <v>1244</v>
      </c>
      <c r="P10" s="84" t="s">
        <v>1245</v>
      </c>
    </row>
    <row r="11" spans="1:27">
      <c r="C11" s="84"/>
      <c r="D11" s="318" t="s">
        <v>1162</v>
      </c>
      <c r="E11" s="85">
        <f>IF(OR(E2="請選擇等級",E2=FALSE,E2=0),0,LOOKUP(E2,{"U",1,2,3,4,5,"5*","5**"},{0,1,2,3,4,5,6,7}))+0.0000000001</f>
        <v>1E-10</v>
      </c>
      <c r="F11" s="85">
        <f>IF(OR(F2="請選擇等級",F2=FALSE,F2=0),0,LOOKUP(F2,{"U",1,2,3,4,5,"5*","5**"},{0,1,2,3,4,5,6,7}))+0.0000000002</f>
        <v>2.0000000000000001E-10</v>
      </c>
      <c r="G11" s="85">
        <f>IF(OR(G2="請選擇等級",G2=FALSE,G2=0),0,LOOKUP(G2,{"U",1,2,3,4,5,"5*","5**"},{0,1,2,3,4,5,6,7}))+0.0000000003</f>
        <v>3E-10</v>
      </c>
      <c r="H11" s="85">
        <f>IF(OR(H2="請選擇等級",H2=FALSE,H2=0),0,LOOKUP(H2,{"U",1,2,3,4,5,"5*","5**"},{0,1,2,3,4,5,6,7}))+0.0000000004</f>
        <v>4.0000000000000001E-10</v>
      </c>
      <c r="I11" s="85"/>
      <c r="J11" s="85">
        <f>IF(OR(J2="請選擇等級",J2=FALSE,J2=0),0,LOOKUP(J2,{"U",1,2,3,4,5,"5*","5**"},{0,1,2,3,4,5,6,7}))+0.0000000006</f>
        <v>6E-10</v>
      </c>
      <c r="K11" s="85">
        <f>IF(OR(K2="請選擇等級",K2=FALSE,K2=0),0,LOOKUP(K2,{"U",1,2,3,4,5,"5*","5**"},{0,1,2,3,4,5,6,7}))+0.0000000007</f>
        <v>6.9999999999999996E-10</v>
      </c>
      <c r="L11" s="85">
        <f>IF(OR(L2="請選擇等級",L2=FALSE,L2=0),0,LOOKUP(L2,{"U",1,2,3,4,5,"5*","5**"},{0,1,2,3,4,5,6,7}))+0.0000000008</f>
        <v>8.0000000000000003E-10</v>
      </c>
      <c r="M11" s="85">
        <f>IF(OR(M2="請選擇等級",M2=FALSE,M2=0),0,LOOKUP(M2,{"U",1,2,3,4,5,"5*","5**"},{0,1,2,3,4,5,6,7}))+0.0000000009</f>
        <v>8.9999999999999999E-10</v>
      </c>
      <c r="N11" s="85">
        <f>IF(OR(N2="請選擇等級",N2=FALSE,N2=0),0,LOOKUP(N2,{"A","B","C","D","E","U"},{6,5,4,3,2,0}))+0.00000000095</f>
        <v>9.5000000000000003E-10</v>
      </c>
      <c r="O11" s="90">
        <f>IF(OR(N2="請選擇等級",N2=FALSE,N2=0),0,LOOKUP(N2,{"A","B","C","D","E","U"},{3,3,3,2,2,0}))+0.00000000095</f>
        <v>9.5000000000000003E-10</v>
      </c>
      <c r="P11" s="84">
        <f>IF(OR(N2="請選擇等級",N2=FALSE,N2=0),0,LOOKUP(N2,{"A","B","C","D","E","U"},{5,4,3,2,1,0}))+0.00000000095</f>
        <v>9.5000000000000003E-10</v>
      </c>
    </row>
    <row r="12" spans="1:27">
      <c r="C12" s="84"/>
      <c r="D12" s="318"/>
      <c r="E12" s="85"/>
      <c r="F12" s="85"/>
      <c r="G12" s="85"/>
      <c r="H12" s="85"/>
      <c r="I12" s="85"/>
      <c r="J12" s="85"/>
      <c r="K12" s="85"/>
      <c r="L12" s="85"/>
      <c r="M12" s="85"/>
      <c r="N12" s="85"/>
      <c r="O12" s="90"/>
    </row>
    <row r="13" spans="1:27">
      <c r="C13" s="84"/>
      <c r="D13" s="318" t="s">
        <v>388</v>
      </c>
      <c r="E13" s="85">
        <f>IF(OR(E2="請選擇等級",E2=FALSE,E2=0),0,LOOKUP(E2,{"U",1,2,3,4,5,"5*","5**"},{0,1,2,3,4,5,6,7}))+0.0000000001</f>
        <v>1E-10</v>
      </c>
      <c r="F13" s="85">
        <f>IF(OR(F2="請選擇等級",F2=FALSE,F2=0),0,LOOKUP(F2,{"U",1,2,3,4,5,"5*","5**"},{0,1,2,3,4,5,6,7}))+0.0000000002</f>
        <v>2.0000000000000001E-10</v>
      </c>
      <c r="G13" s="85">
        <f>IF(OR(G2="請選擇等級",G2=FALSE,G2=0),0,LOOKUP(G2,{"U",1,2,3,4,5,"5*","5**"},{0,1,2,3,4,5,6,7}))+0.0000000003</f>
        <v>3E-10</v>
      </c>
      <c r="H13" s="85">
        <f>IF(OR(H2="請選擇等級",H2=FALSE,H2=0),0,LOOKUP(H2,{"U",1,2,3,4,5,"5*","5**"},{0,1,2,3,4,5,6,7}))+0.0000000004</f>
        <v>4.0000000000000001E-10</v>
      </c>
      <c r="I13" s="85">
        <f>IF(OR(I2="請選擇等級",I2=FALSE,I2=0),0,LOOKUP(I2,{"U",1,2,3,4,5,"5*","5**"},{0,1,2,3,4,5,6,7}))+0.0000000005</f>
        <v>5.0000000000000003E-10</v>
      </c>
      <c r="J13" s="85">
        <f>IF(OR(J2="請選擇等級",J2=FALSE,J2=0),0,LOOKUP(J2,{"U",1,2,3,4,5,"5*","5**"},{0,1,2,3,4,5,6,7}))+0.0000000006</f>
        <v>6E-10</v>
      </c>
      <c r="K13" s="85">
        <f>IF(OR(K2="請選擇等級",K2=FALSE,K2=0),0,LOOKUP(K2,{"U",1,2,3,4,5,"5*","5**"},{0,1,2,3,4,5,6,7}))+0.0000000007</f>
        <v>6.9999999999999996E-10</v>
      </c>
      <c r="L13" s="85">
        <f>IF(OR(L2="請選擇等級",L2=FALSE,L2=0),0,LOOKUP(L2,{"U",1,2,3,4,5,"5*","5**"},{0,1,2,3,4,5,6,7}))+0.0000000008</f>
        <v>8.0000000000000003E-10</v>
      </c>
      <c r="M13" s="85">
        <f>IF(OR(M2="請選擇等級",M2=FALSE,M2=0),0,LOOKUP(M2,{"U",1,2,3,4,5,"5*","5**"},{0,1,2,3,4,5,6,7}))+0.0000000009</f>
        <v>8.9999999999999999E-10</v>
      </c>
      <c r="N13" s="314">
        <f>IF(OR(N2="請選擇等級",N2=FALSE,N2=0),0,LOOKUP(N2,{"A","B","C","D","E","U"},{5,4,3,2,1,0}))+0.00000000095</f>
        <v>9.5000000000000003E-10</v>
      </c>
      <c r="O13" s="90"/>
    </row>
    <row r="14" spans="1:27" s="198" customFormat="1">
      <c r="D14" s="318"/>
      <c r="E14" s="85"/>
      <c r="F14" s="85"/>
      <c r="G14" s="85"/>
      <c r="H14" s="85"/>
      <c r="I14" s="85"/>
      <c r="J14" s="85"/>
      <c r="K14" s="85"/>
      <c r="L14" s="85"/>
      <c r="M14" s="85"/>
      <c r="N14" s="314"/>
      <c r="O14" s="200"/>
      <c r="T14" s="200"/>
    </row>
    <row r="15" spans="1:27" s="198" customFormat="1">
      <c r="D15" s="318" t="s">
        <v>2235</v>
      </c>
      <c r="E15" s="85" t="b">
        <v>0</v>
      </c>
      <c r="F15" s="85" t="b">
        <v>0</v>
      </c>
      <c r="G15" s="85" t="b">
        <v>0</v>
      </c>
      <c r="H15" s="85" t="b">
        <v>0</v>
      </c>
      <c r="I15" s="85" t="b">
        <v>0</v>
      </c>
      <c r="J15" s="85" t="b">
        <v>0</v>
      </c>
      <c r="K15" s="85" t="b">
        <v>0</v>
      </c>
      <c r="L15" s="85" t="b">
        <v>0</v>
      </c>
      <c r="M15" s="85" t="b">
        <v>0</v>
      </c>
      <c r="N15" s="314" t="b">
        <v>0</v>
      </c>
      <c r="O15" s="200"/>
      <c r="T15" s="200"/>
    </row>
    <row r="16" spans="1:27" s="198" customFormat="1">
      <c r="D16" s="318"/>
      <c r="E16" s="85"/>
      <c r="F16" s="85"/>
      <c r="G16" s="85"/>
      <c r="H16" s="85"/>
      <c r="I16" s="85"/>
      <c r="J16" s="85"/>
      <c r="K16" s="85"/>
      <c r="L16" s="85"/>
      <c r="M16" s="85"/>
      <c r="N16" s="314"/>
      <c r="O16" s="200"/>
      <c r="T16" s="200"/>
    </row>
    <row r="17" spans="1:20">
      <c r="B17" s="83"/>
      <c r="D17" s="197"/>
    </row>
    <row r="18" spans="1:20" s="198" customFormat="1">
      <c r="B18" s="197"/>
      <c r="C18" s="85"/>
      <c r="L18" s="200"/>
      <c r="M18" s="200"/>
      <c r="T18" s="200"/>
    </row>
    <row r="19" spans="1:20">
      <c r="A19" s="83" t="s">
        <v>65</v>
      </c>
      <c r="B19" s="84">
        <f>LARGE((E13:H13,J13:M13),1)+LARGE((E13:H13,J13:M13),2)+LARGE((E13:H13,J13:M13),3)+LARGE((E13:H13,J13:M13),4)+LARGE((E13:H13,J13:M13),5)</f>
        <v>3.3999999999999998E-9</v>
      </c>
      <c r="D19" s="83" t="s">
        <v>67</v>
      </c>
      <c r="E19" s="84">
        <f>LARGE((E13:M13),1)+LARGE((E13:M13),2)+LARGE((E13:M13),3)+LARGE((E13:M13),4)+LARGE((E13:M13),5)</f>
        <v>3.4999999999999999E-9</v>
      </c>
      <c r="F19" s="83" t="s">
        <v>69</v>
      </c>
      <c r="G19" s="84">
        <f>SUM($E$13:$H$13)+LARGE(($I$13:$M$13),1)</f>
        <v>1.9000000000000001E-9</v>
      </c>
      <c r="H19" s="83" t="s">
        <v>70</v>
      </c>
      <c r="I19" s="84" t="b">
        <v>0</v>
      </c>
    </row>
    <row r="20" spans="1:20">
      <c r="A20" s="83" t="s">
        <v>58</v>
      </c>
      <c r="B20" s="84">
        <f>LARGE((E13:H13,J13:M13),1)+LARGE((E13:H13,J13:M13),2)+LARGE((E13:H13,J13:M13),3)+LARGE((E13:H13,J13:M13),4)+LARGE((E13:H13,J13:M13),5)+LARGE((E13:H13,J13:M13),6)</f>
        <v>3.7E-9</v>
      </c>
      <c r="D20" s="83" t="s">
        <v>68</v>
      </c>
      <c r="E20" s="84">
        <f>LARGE((E13:M13),1)+LARGE((E13:M13),2)+LARGE((E13:M13),3)+LARGE((E13:M13),4)+LARGE((E13:M13),5)+LARGE((E13:M13),6)</f>
        <v>3.9000000000000002E-9</v>
      </c>
      <c r="F20" s="86" t="s">
        <v>66</v>
      </c>
      <c r="G20" s="84">
        <f>SUM($E$13:$H$13)+LARGE(($I$13:$M$13),1)+LARGE(($I$13:$M$13),2)</f>
        <v>2.7000000000000002E-9</v>
      </c>
      <c r="H20" s="84" t="s">
        <v>882</v>
      </c>
      <c r="I20" s="95" t="b">
        <v>0</v>
      </c>
      <c r="J20" s="95"/>
      <c r="K20" s="95"/>
    </row>
    <row r="21" spans="1:20">
      <c r="A21" s="83" t="s">
        <v>61</v>
      </c>
      <c r="B21" s="84">
        <f>SUM($E$13:$H$13)+LARGE(($J$13:$L$13,$M$13),1)</f>
        <v>1.9000000000000001E-9</v>
      </c>
      <c r="D21" s="83"/>
      <c r="F21" s="83"/>
      <c r="J21" s="95"/>
      <c r="K21" s="95"/>
    </row>
    <row r="22" spans="1:20">
      <c r="A22" s="86" t="s">
        <v>60</v>
      </c>
      <c r="B22" s="84">
        <f>SUM($E$13:$H$13)+LARGE(($J$13:$L$13,$M$13),1)+LARGE(($J$13:$L$13,$M$13),2)</f>
        <v>2.7000000000000002E-9</v>
      </c>
      <c r="D22" s="83"/>
      <c r="F22" s="86"/>
      <c r="J22" s="95"/>
    </row>
    <row r="23" spans="1:20">
      <c r="A23" s="152"/>
      <c r="B23" s="152"/>
      <c r="C23" s="173"/>
      <c r="D23" s="152"/>
      <c r="E23" s="152"/>
      <c r="F23" s="152"/>
      <c r="G23" s="152"/>
      <c r="H23" s="152"/>
      <c r="I23" s="152"/>
      <c r="J23" s="152"/>
      <c r="K23" s="152"/>
      <c r="L23" s="154"/>
      <c r="M23" s="154"/>
      <c r="N23" s="152"/>
    </row>
    <row r="24" spans="1:20">
      <c r="A24" s="170" t="s">
        <v>758</v>
      </c>
      <c r="D24" s="84" t="str">
        <f t="shared" ref="D24:N24" si="5">D1</f>
        <v>總分</v>
      </c>
      <c r="E24" s="84" t="str">
        <f t="shared" si="5"/>
        <v>中國語文</v>
      </c>
      <c r="F24" s="84" t="str">
        <f t="shared" si="5"/>
        <v>英國語文</v>
      </c>
      <c r="G24" s="84" t="str">
        <f t="shared" si="5"/>
        <v>數學</v>
      </c>
      <c r="H24" s="84" t="str">
        <f t="shared" si="5"/>
        <v>通識教育</v>
      </c>
      <c r="I24" s="84" t="str">
        <f t="shared" si="5"/>
        <v>數學延伸</v>
      </c>
      <c r="J24" s="84" t="str">
        <f t="shared" si="5"/>
        <v>請選擇第一選修科</v>
      </c>
      <c r="K24" s="84" t="str">
        <f t="shared" si="5"/>
        <v>請選擇第二選修科</v>
      </c>
      <c r="L24" s="84" t="str">
        <f t="shared" si="5"/>
        <v>請選擇第三選修科</v>
      </c>
      <c r="M24" s="84" t="str">
        <f t="shared" si="5"/>
        <v>請選擇第四選修科</v>
      </c>
      <c r="N24" s="84" t="str">
        <f t="shared" si="5"/>
        <v>請選擇語言科目</v>
      </c>
    </row>
    <row r="25" spans="1:20">
      <c r="A25" s="84" t="str">
        <f>CityU!A2</f>
        <v>JS1000</v>
      </c>
      <c r="B25" s="84" t="str">
        <f>CityU!C2</f>
        <v>理學士(計算金融及金融科技)</v>
      </c>
      <c r="C25" s="50" t="s">
        <v>195</v>
      </c>
      <c r="D25" s="84">
        <f>SUM(E25:H25)+LARGE((I25:N25),1)+LARGE((I25:N25),2)</f>
        <v>2.8499999999999999E-9</v>
      </c>
      <c r="E25" s="84">
        <f t="shared" ref="E25:E50" si="6">$E$3</f>
        <v>1E-10</v>
      </c>
      <c r="F25" s="84">
        <f>$F$3</f>
        <v>2.0000000000000001E-10</v>
      </c>
      <c r="G25" s="84">
        <f t="shared" ref="G25:G40" si="7">$G$3</f>
        <v>3E-10</v>
      </c>
      <c r="H25" s="84">
        <f t="shared" ref="H25:H50" si="8">$H$3</f>
        <v>4.0000000000000001E-10</v>
      </c>
      <c r="I25" s="84">
        <f t="shared" ref="I25:I59" si="9">$I$3</f>
        <v>5.0000000000000003E-10</v>
      </c>
      <c r="J25" s="84">
        <f t="shared" ref="J25:J42" si="10">$J$3</f>
        <v>6E-10</v>
      </c>
      <c r="K25" s="84">
        <f t="shared" ref="K25:K42" si="11">$K$3</f>
        <v>6.9999999999999996E-10</v>
      </c>
      <c r="L25" s="84">
        <f t="shared" ref="L25:L42" si="12">$L$3</f>
        <v>8.0000000000000003E-10</v>
      </c>
      <c r="M25" s="84">
        <f t="shared" ref="M25:M42" si="13">$M$3</f>
        <v>8.9999999999999999E-10</v>
      </c>
      <c r="N25" s="84">
        <f t="shared" ref="N25:N56" si="14">$N$3</f>
        <v>9.5000000000000003E-10</v>
      </c>
    </row>
    <row r="26" spans="1:20">
      <c r="A26" s="198" t="str">
        <f>CityU!A3</f>
        <v>JS1001</v>
      </c>
      <c r="B26" s="198" t="str">
        <f>CityU!C3</f>
        <v>工商管理學士(環球商業)</v>
      </c>
      <c r="C26" s="50" t="s">
        <v>195</v>
      </c>
      <c r="D26" s="84">
        <f t="shared" ref="D26:D69" si="15">SUM(E26:H26)+LARGE((I26:N26),1)+LARGE((I26:N26),2)</f>
        <v>2.8499999999999999E-9</v>
      </c>
      <c r="E26" s="84">
        <f t="shared" si="6"/>
        <v>1E-10</v>
      </c>
      <c r="F26" s="84">
        <f>$F$3</f>
        <v>2.0000000000000001E-10</v>
      </c>
      <c r="G26" s="84">
        <f t="shared" si="7"/>
        <v>3E-10</v>
      </c>
      <c r="H26" s="84">
        <f t="shared" si="8"/>
        <v>4.0000000000000001E-10</v>
      </c>
      <c r="I26" s="84">
        <f t="shared" si="9"/>
        <v>5.0000000000000003E-10</v>
      </c>
      <c r="J26" s="84">
        <f t="shared" si="10"/>
        <v>6E-10</v>
      </c>
      <c r="K26" s="84">
        <f t="shared" si="11"/>
        <v>6.9999999999999996E-10</v>
      </c>
      <c r="L26" s="84">
        <f t="shared" si="12"/>
        <v>8.0000000000000003E-10</v>
      </c>
      <c r="M26" s="84">
        <f t="shared" si="13"/>
        <v>8.9999999999999999E-10</v>
      </c>
      <c r="N26" s="84">
        <f t="shared" si="14"/>
        <v>9.5000000000000003E-10</v>
      </c>
      <c r="Q26" s="84" t="s">
        <v>841</v>
      </c>
      <c r="R26" s="84" t="str">
        <f>INDEX(J$1:M$1,MATCH(LARGE(S148:V148,1),S148:V148,0))</f>
        <v>請選擇第一選修科</v>
      </c>
    </row>
    <row r="27" spans="1:20">
      <c r="A27" s="198" t="str">
        <f>CityU!A4</f>
        <v>JS1002</v>
      </c>
      <c r="B27" s="198" t="str">
        <f>CityU!C4</f>
        <v>工商管理學士(會計)</v>
      </c>
      <c r="C27" s="250" t="s">
        <v>190</v>
      </c>
      <c r="D27" s="84">
        <f t="shared" si="15"/>
        <v>2.8499999999999999E-9</v>
      </c>
      <c r="E27" s="84">
        <f t="shared" si="6"/>
        <v>1E-10</v>
      </c>
      <c r="F27" s="84">
        <f>$F$3</f>
        <v>2.0000000000000001E-10</v>
      </c>
      <c r="G27" s="84">
        <f t="shared" si="7"/>
        <v>3E-10</v>
      </c>
      <c r="H27" s="84">
        <f t="shared" si="8"/>
        <v>4.0000000000000001E-10</v>
      </c>
      <c r="I27" s="84">
        <f t="shared" si="9"/>
        <v>5.0000000000000003E-10</v>
      </c>
      <c r="J27" s="84">
        <f t="shared" si="10"/>
        <v>6E-10</v>
      </c>
      <c r="K27" s="84">
        <f t="shared" si="11"/>
        <v>6.9999999999999996E-10</v>
      </c>
      <c r="L27" s="84">
        <f t="shared" si="12"/>
        <v>8.0000000000000003E-10</v>
      </c>
      <c r="M27" s="84">
        <f t="shared" si="13"/>
        <v>8.9999999999999999E-10</v>
      </c>
      <c r="N27" s="84">
        <f t="shared" si="14"/>
        <v>9.5000000000000003E-10</v>
      </c>
      <c r="R27" s="84">
        <f>LARGE((S148:V148),1)</f>
        <v>0</v>
      </c>
    </row>
    <row r="28" spans="1:20">
      <c r="A28" s="198" t="str">
        <f>CityU!A5</f>
        <v>JS1005</v>
      </c>
      <c r="B28" s="198" t="str">
        <f>CityU!C5</f>
        <v>工商管理學士(管理學)</v>
      </c>
      <c r="C28" s="250" t="s">
        <v>190</v>
      </c>
      <c r="D28" s="84">
        <f t="shared" si="15"/>
        <v>2.8499999999999999E-9</v>
      </c>
      <c r="E28" s="84">
        <f t="shared" si="6"/>
        <v>1E-10</v>
      </c>
      <c r="F28" s="84">
        <f>$F$3</f>
        <v>2.0000000000000001E-10</v>
      </c>
      <c r="G28" s="84">
        <f t="shared" si="7"/>
        <v>3E-10</v>
      </c>
      <c r="H28" s="84">
        <f t="shared" si="8"/>
        <v>4.0000000000000001E-10</v>
      </c>
      <c r="I28" s="84">
        <f t="shared" si="9"/>
        <v>5.0000000000000003E-10</v>
      </c>
      <c r="J28" s="84">
        <f t="shared" si="10"/>
        <v>6E-10</v>
      </c>
      <c r="K28" s="84">
        <f t="shared" si="11"/>
        <v>6.9999999999999996E-10</v>
      </c>
      <c r="L28" s="84">
        <f t="shared" si="12"/>
        <v>8.0000000000000003E-10</v>
      </c>
      <c r="M28" s="84">
        <f t="shared" si="13"/>
        <v>8.9999999999999999E-10</v>
      </c>
      <c r="N28" s="84">
        <f t="shared" si="14"/>
        <v>9.5000000000000003E-10</v>
      </c>
      <c r="P28" s="84" t="s">
        <v>2043</v>
      </c>
      <c r="Q28" s="98" t="s">
        <v>2042</v>
      </c>
      <c r="R28" s="84" t="str">
        <f>INDEX(J$1:M$1,MATCH(LARGE(S146:V146,1),S146:V146,0))</f>
        <v>請選擇第一選修科</v>
      </c>
      <c r="S28" s="84">
        <f>IF(OR(R28="化學",R28="生物"),1,0)</f>
        <v>0</v>
      </c>
    </row>
    <row r="29" spans="1:20">
      <c r="A29" s="198" t="str">
        <f>CityU!A6</f>
        <v>JS1007</v>
      </c>
      <c r="B29" s="198" t="str">
        <f>CityU!C6</f>
        <v>工商管理學士(市場營銷)</v>
      </c>
      <c r="C29" s="50" t="s">
        <v>190</v>
      </c>
      <c r="D29" s="84">
        <f>SUM(E29:H29)+LARGE((I29:N29),1)+LARGE((I29:N29),2)</f>
        <v>2.9499999999999999E-9</v>
      </c>
      <c r="E29" s="84">
        <f t="shared" si="6"/>
        <v>1E-10</v>
      </c>
      <c r="F29" s="84">
        <f>$F$3*1.5</f>
        <v>3E-10</v>
      </c>
      <c r="G29" s="84">
        <f t="shared" si="7"/>
        <v>3E-10</v>
      </c>
      <c r="H29" s="84">
        <f t="shared" si="8"/>
        <v>4.0000000000000001E-10</v>
      </c>
      <c r="I29" s="84">
        <f t="shared" si="9"/>
        <v>5.0000000000000003E-10</v>
      </c>
      <c r="J29" s="84">
        <f t="shared" si="10"/>
        <v>6E-10</v>
      </c>
      <c r="K29" s="84">
        <f t="shared" si="11"/>
        <v>6.9999999999999996E-10</v>
      </c>
      <c r="L29" s="84">
        <f t="shared" si="12"/>
        <v>8.0000000000000003E-10</v>
      </c>
      <c r="M29" s="84">
        <f t="shared" si="13"/>
        <v>8.9999999999999999E-10</v>
      </c>
      <c r="N29" s="84">
        <f t="shared" si="14"/>
        <v>9.5000000000000003E-10</v>
      </c>
      <c r="R29" s="84">
        <f>LARGE((S149:V149),1)</f>
        <v>0</v>
      </c>
      <c r="T29" s="90">
        <f>IF(R29&lt;3,0,R29)</f>
        <v>0</v>
      </c>
    </row>
    <row r="30" spans="1:20">
      <c r="A30" s="198" t="str">
        <f>CityU!A7</f>
        <v>JS1012</v>
      </c>
      <c r="B30" s="198" t="str">
        <f>CityU!C7</f>
        <v>經濟及金融系 [選項: 工商管理學士(商業經濟)、工商管理學士(金融)]</v>
      </c>
      <c r="C30" s="50" t="s">
        <v>190</v>
      </c>
      <c r="D30" s="84">
        <f>SUM(E30:H30)+LARGE((I30:N30),1)+LARGE((I30:N30),2)</f>
        <v>2.8499999999999999E-9</v>
      </c>
      <c r="E30" s="84">
        <f t="shared" si="6"/>
        <v>1E-10</v>
      </c>
      <c r="F30" s="84">
        <f t="shared" ref="F30:F38" si="16">$F$3</f>
        <v>2.0000000000000001E-10</v>
      </c>
      <c r="G30" s="84">
        <f t="shared" si="7"/>
        <v>3E-10</v>
      </c>
      <c r="H30" s="84">
        <f t="shared" si="8"/>
        <v>4.0000000000000001E-10</v>
      </c>
      <c r="I30" s="84">
        <f t="shared" si="9"/>
        <v>5.0000000000000003E-10</v>
      </c>
      <c r="J30" s="84">
        <f t="shared" si="10"/>
        <v>6E-10</v>
      </c>
      <c r="K30" s="84">
        <f t="shared" si="11"/>
        <v>6.9999999999999996E-10</v>
      </c>
      <c r="L30" s="84">
        <f t="shared" si="12"/>
        <v>8.0000000000000003E-10</v>
      </c>
      <c r="M30" s="84">
        <f t="shared" si="13"/>
        <v>8.9999999999999999E-10</v>
      </c>
      <c r="N30" s="84">
        <f t="shared" si="14"/>
        <v>9.5000000000000003E-10</v>
      </c>
      <c r="Q30" s="84" t="s">
        <v>884</v>
      </c>
      <c r="R30" s="84">
        <f>LARGE((R150:V150),1)</f>
        <v>5.0000000000000003E-10</v>
      </c>
      <c r="T30" s="90">
        <f t="shared" ref="T30:T32" si="17">IF(R30&lt;3,0,R30)</f>
        <v>0</v>
      </c>
    </row>
    <row r="31" spans="1:20">
      <c r="A31" s="198" t="str">
        <f>CityU!A8</f>
        <v>JS1013</v>
      </c>
      <c r="B31" s="198" t="str">
        <f>CityU!C8</f>
        <v>工商管理學士(商業經濟)</v>
      </c>
      <c r="C31" s="50" t="s">
        <v>190</v>
      </c>
      <c r="D31" s="84">
        <f t="shared" ref="D31:D32" si="18">SUM(E31:H31)+LARGE((I31:N31),1)+LARGE((I31:N31),2)</f>
        <v>2.8499999999999999E-9</v>
      </c>
      <c r="E31" s="84">
        <f t="shared" si="6"/>
        <v>1E-10</v>
      </c>
      <c r="F31" s="84">
        <f t="shared" si="16"/>
        <v>2.0000000000000001E-10</v>
      </c>
      <c r="G31" s="84">
        <f t="shared" si="7"/>
        <v>3E-10</v>
      </c>
      <c r="H31" s="84">
        <f t="shared" si="8"/>
        <v>4.0000000000000001E-10</v>
      </c>
      <c r="I31" s="84">
        <f t="shared" si="9"/>
        <v>5.0000000000000003E-10</v>
      </c>
      <c r="J31" s="84">
        <f t="shared" si="10"/>
        <v>6E-10</v>
      </c>
      <c r="K31" s="84">
        <f t="shared" si="11"/>
        <v>6.9999999999999996E-10</v>
      </c>
      <c r="L31" s="84">
        <f t="shared" si="12"/>
        <v>8.0000000000000003E-10</v>
      </c>
      <c r="M31" s="84">
        <f t="shared" si="13"/>
        <v>8.9999999999999999E-10</v>
      </c>
      <c r="N31" s="84">
        <f t="shared" si="14"/>
        <v>9.5000000000000003E-10</v>
      </c>
      <c r="Q31" s="84" t="s">
        <v>885</v>
      </c>
      <c r="R31" s="84">
        <f>LARGE((R151:V151),1)</f>
        <v>5.0000000000000003E-10</v>
      </c>
      <c r="T31" s="90">
        <f t="shared" si="17"/>
        <v>0</v>
      </c>
    </row>
    <row r="32" spans="1:20">
      <c r="A32" s="198" t="str">
        <f>CityU!A9</f>
        <v>JS1014</v>
      </c>
      <c r="B32" s="198" t="str">
        <f>CityU!C9</f>
        <v>工商管理學士(金融)</v>
      </c>
      <c r="C32" s="50" t="s">
        <v>190</v>
      </c>
      <c r="D32" s="84">
        <f t="shared" si="18"/>
        <v>2.8499999999999999E-9</v>
      </c>
      <c r="E32" s="84">
        <f t="shared" si="6"/>
        <v>1E-10</v>
      </c>
      <c r="F32" s="84">
        <f t="shared" si="16"/>
        <v>2.0000000000000001E-10</v>
      </c>
      <c r="G32" s="84">
        <f t="shared" si="7"/>
        <v>3E-10</v>
      </c>
      <c r="H32" s="84">
        <f t="shared" si="8"/>
        <v>4.0000000000000001E-10</v>
      </c>
      <c r="I32" s="84">
        <f t="shared" si="9"/>
        <v>5.0000000000000003E-10</v>
      </c>
      <c r="J32" s="84">
        <f t="shared" si="10"/>
        <v>6E-10</v>
      </c>
      <c r="K32" s="84">
        <f t="shared" si="11"/>
        <v>6.9999999999999996E-10</v>
      </c>
      <c r="L32" s="84">
        <f t="shared" si="12"/>
        <v>8.0000000000000003E-10</v>
      </c>
      <c r="M32" s="84">
        <f t="shared" si="13"/>
        <v>8.9999999999999999E-10</v>
      </c>
      <c r="N32" s="84">
        <f t="shared" si="14"/>
        <v>9.5000000000000003E-10</v>
      </c>
      <c r="Q32" s="84" t="s">
        <v>886</v>
      </c>
      <c r="R32" s="84">
        <f>LARGE((R152:V152),1)</f>
        <v>0</v>
      </c>
      <c r="T32" s="90">
        <f t="shared" si="17"/>
        <v>0</v>
      </c>
    </row>
    <row r="33" spans="1:21">
      <c r="A33" s="198" t="str">
        <f>CityU!A10</f>
        <v>JS1017</v>
      </c>
      <c r="B33" s="198" t="str">
        <f>CityU!C10</f>
        <v>資訊系統學系 [選項: 工商管理學士(環球商業系統管理)、工商管理學士(資訊管理)]</v>
      </c>
      <c r="C33" s="50" t="s">
        <v>190</v>
      </c>
      <c r="D33" s="84">
        <f t="shared" si="15"/>
        <v>2.8499999999999999E-9</v>
      </c>
      <c r="E33" s="84">
        <f t="shared" si="6"/>
        <v>1E-10</v>
      </c>
      <c r="F33" s="84">
        <f t="shared" si="16"/>
        <v>2.0000000000000001E-10</v>
      </c>
      <c r="G33" s="84">
        <f t="shared" si="7"/>
        <v>3E-10</v>
      </c>
      <c r="H33" s="84">
        <f t="shared" si="8"/>
        <v>4.0000000000000001E-10</v>
      </c>
      <c r="I33" s="84">
        <f t="shared" si="9"/>
        <v>5.0000000000000003E-10</v>
      </c>
      <c r="J33" s="84">
        <f t="shared" si="10"/>
        <v>6E-10</v>
      </c>
      <c r="K33" s="84">
        <f t="shared" si="11"/>
        <v>6.9999999999999996E-10</v>
      </c>
      <c r="L33" s="84">
        <f t="shared" si="12"/>
        <v>8.0000000000000003E-10</v>
      </c>
      <c r="M33" s="84">
        <f t="shared" si="13"/>
        <v>8.9999999999999999E-10</v>
      </c>
      <c r="N33" s="84">
        <f t="shared" si="14"/>
        <v>9.5000000000000003E-10</v>
      </c>
      <c r="Q33" s="84" t="s">
        <v>887</v>
      </c>
      <c r="R33" s="84">
        <f>LARGE((R153:V153),1)</f>
        <v>0</v>
      </c>
      <c r="T33" s="90">
        <f t="shared" ref="T33:T34" si="19">IF(R33&lt;3,0,R33)</f>
        <v>0</v>
      </c>
    </row>
    <row r="34" spans="1:21">
      <c r="A34" s="198" t="str">
        <f>CityU!A11</f>
        <v>JS1018</v>
      </c>
      <c r="B34" s="198" t="str">
        <f>CityU!C11</f>
        <v>工商管理學士(環球商業系統管理)</v>
      </c>
      <c r="C34" s="50" t="s">
        <v>190</v>
      </c>
      <c r="D34" s="84">
        <f t="shared" si="15"/>
        <v>2.8499999999999999E-9</v>
      </c>
      <c r="E34" s="84">
        <f t="shared" si="6"/>
        <v>1E-10</v>
      </c>
      <c r="F34" s="84">
        <f t="shared" si="16"/>
        <v>2.0000000000000001E-10</v>
      </c>
      <c r="G34" s="84">
        <f t="shared" si="7"/>
        <v>3E-10</v>
      </c>
      <c r="H34" s="84">
        <f t="shared" si="8"/>
        <v>4.0000000000000001E-10</v>
      </c>
      <c r="I34" s="84">
        <f t="shared" si="9"/>
        <v>5.0000000000000003E-10</v>
      </c>
      <c r="J34" s="84">
        <f t="shared" si="10"/>
        <v>6E-10</v>
      </c>
      <c r="K34" s="84">
        <f t="shared" si="11"/>
        <v>6.9999999999999996E-10</v>
      </c>
      <c r="L34" s="84">
        <f t="shared" si="12"/>
        <v>8.0000000000000003E-10</v>
      </c>
      <c r="M34" s="84">
        <f t="shared" si="13"/>
        <v>8.9999999999999999E-10</v>
      </c>
      <c r="N34" s="84">
        <f t="shared" si="14"/>
        <v>9.5000000000000003E-10</v>
      </c>
      <c r="Q34" s="84" t="s">
        <v>888</v>
      </c>
      <c r="R34" s="84">
        <f>LARGE((R154:V154),1)</f>
        <v>0</v>
      </c>
      <c r="T34" s="90">
        <f t="shared" si="19"/>
        <v>0</v>
      </c>
    </row>
    <row r="35" spans="1:21">
      <c r="A35" s="198" t="str">
        <f>CityU!A12</f>
        <v>JS1019</v>
      </c>
      <c r="B35" s="198" t="str">
        <f>CityU!C12</f>
        <v>工商管理學士(資訊管理)</v>
      </c>
      <c r="C35" s="50" t="s">
        <v>190</v>
      </c>
      <c r="D35" s="84">
        <f t="shared" si="15"/>
        <v>2.8499999999999999E-9</v>
      </c>
      <c r="E35" s="84">
        <f t="shared" si="6"/>
        <v>1E-10</v>
      </c>
      <c r="F35" s="84">
        <f t="shared" si="16"/>
        <v>2.0000000000000001E-10</v>
      </c>
      <c r="G35" s="84">
        <f t="shared" si="7"/>
        <v>3E-10</v>
      </c>
      <c r="H35" s="84">
        <f t="shared" si="8"/>
        <v>4.0000000000000001E-10</v>
      </c>
      <c r="I35" s="84">
        <f t="shared" si="9"/>
        <v>5.0000000000000003E-10</v>
      </c>
      <c r="J35" s="84">
        <f t="shared" si="10"/>
        <v>6E-10</v>
      </c>
      <c r="K35" s="84">
        <f t="shared" si="11"/>
        <v>6.9999999999999996E-10</v>
      </c>
      <c r="L35" s="84">
        <f t="shared" si="12"/>
        <v>8.0000000000000003E-10</v>
      </c>
      <c r="M35" s="84">
        <f t="shared" si="13"/>
        <v>8.9999999999999999E-10</v>
      </c>
      <c r="N35" s="84">
        <f t="shared" si="14"/>
        <v>9.5000000000000003E-10</v>
      </c>
      <c r="Q35" s="84" t="s">
        <v>2010</v>
      </c>
      <c r="R35" s="84">
        <f>LARGE((S155:V155),1)</f>
        <v>0</v>
      </c>
      <c r="T35" s="90">
        <f t="shared" ref="T35" si="20">IF(R35&lt;3,0,R35)</f>
        <v>0</v>
      </c>
    </row>
    <row r="36" spans="1:21">
      <c r="A36" s="198" t="str">
        <f>CityU!A13</f>
        <v>JS1025</v>
      </c>
      <c r="B36" s="198" t="str">
        <f>CityU!C13</f>
        <v>管理科學系 [選項: 工商管理學士(商業分析)、工商管理學士(商業營運管理)]</v>
      </c>
      <c r="C36" s="50" t="s">
        <v>190</v>
      </c>
      <c r="D36" s="84">
        <f t="shared" si="15"/>
        <v>2.8499999999999999E-9</v>
      </c>
      <c r="E36" s="84">
        <f t="shared" si="6"/>
        <v>1E-10</v>
      </c>
      <c r="F36" s="84">
        <f t="shared" si="16"/>
        <v>2.0000000000000001E-10</v>
      </c>
      <c r="G36" s="84">
        <f t="shared" si="7"/>
        <v>3E-10</v>
      </c>
      <c r="H36" s="84">
        <f t="shared" si="8"/>
        <v>4.0000000000000001E-10</v>
      </c>
      <c r="I36" s="84">
        <f t="shared" si="9"/>
        <v>5.0000000000000003E-10</v>
      </c>
      <c r="J36" s="84">
        <f t="shared" si="10"/>
        <v>6E-10</v>
      </c>
      <c r="K36" s="84">
        <f t="shared" si="11"/>
        <v>6.9999999999999996E-10</v>
      </c>
      <c r="L36" s="84">
        <f t="shared" si="12"/>
        <v>8.0000000000000003E-10</v>
      </c>
      <c r="M36" s="84">
        <f t="shared" si="13"/>
        <v>8.9999999999999999E-10</v>
      </c>
      <c r="N36" s="84">
        <f t="shared" si="14"/>
        <v>9.5000000000000003E-10</v>
      </c>
      <c r="P36" s="84" t="s">
        <v>733</v>
      </c>
      <c r="Q36" s="84" t="s">
        <v>890</v>
      </c>
      <c r="R36" s="84">
        <f>LARGE((R156:V156),1)</f>
        <v>5.0000000000000003E-10</v>
      </c>
      <c r="T36" s="90">
        <f t="shared" ref="T36" si="21">IF(R36&lt;3,0,R36)</f>
        <v>0</v>
      </c>
    </row>
    <row r="37" spans="1:21">
      <c r="A37" s="198" t="str">
        <f>CityU!A14</f>
        <v>JS1026</v>
      </c>
      <c r="B37" s="198" t="str">
        <f>CityU!C14</f>
        <v>工商管理學士(商業分析)</v>
      </c>
      <c r="C37" s="50" t="s">
        <v>190</v>
      </c>
      <c r="D37" s="84">
        <f t="shared" si="15"/>
        <v>2.8499999999999999E-9</v>
      </c>
      <c r="E37" s="84">
        <f t="shared" si="6"/>
        <v>1E-10</v>
      </c>
      <c r="F37" s="84">
        <f t="shared" si="16"/>
        <v>2.0000000000000001E-10</v>
      </c>
      <c r="G37" s="84">
        <f t="shared" si="7"/>
        <v>3E-10</v>
      </c>
      <c r="H37" s="84">
        <f t="shared" si="8"/>
        <v>4.0000000000000001E-10</v>
      </c>
      <c r="I37" s="84">
        <f t="shared" si="9"/>
        <v>5.0000000000000003E-10</v>
      </c>
      <c r="J37" s="84">
        <f t="shared" si="10"/>
        <v>6E-10</v>
      </c>
      <c r="K37" s="84">
        <f t="shared" si="11"/>
        <v>6.9999999999999996E-10</v>
      </c>
      <c r="L37" s="84">
        <f t="shared" si="12"/>
        <v>8.0000000000000003E-10</v>
      </c>
      <c r="M37" s="84">
        <f t="shared" si="13"/>
        <v>8.9999999999999999E-10</v>
      </c>
      <c r="N37" s="84">
        <f t="shared" si="14"/>
        <v>9.5000000000000003E-10</v>
      </c>
      <c r="P37" s="198" t="s">
        <v>1285</v>
      </c>
      <c r="Q37" s="84" t="s">
        <v>2298</v>
      </c>
      <c r="R37" s="84">
        <f>IF(LARGE((S157:V157),1)&gt;3,LARGE((S157:V157),1),0)</f>
        <v>0</v>
      </c>
      <c r="T37" s="90">
        <f t="shared" ref="T37" si="22">IF(R37&lt;3,0,R37)</f>
        <v>0</v>
      </c>
      <c r="U37" s="198"/>
    </row>
    <row r="38" spans="1:21">
      <c r="A38" s="198" t="str">
        <f>CityU!A15</f>
        <v>JS1027</v>
      </c>
      <c r="B38" s="198" t="str">
        <f>CityU!C15</f>
        <v>工商管理學士(商業營運管理)</v>
      </c>
      <c r="C38" s="50" t="s">
        <v>190</v>
      </c>
      <c r="D38" s="84">
        <f t="shared" si="15"/>
        <v>2.8499999999999999E-9</v>
      </c>
      <c r="E38" s="84">
        <f t="shared" si="6"/>
        <v>1E-10</v>
      </c>
      <c r="F38" s="84">
        <f t="shared" si="16"/>
        <v>2.0000000000000001E-10</v>
      </c>
      <c r="G38" s="84">
        <f t="shared" si="7"/>
        <v>3E-10</v>
      </c>
      <c r="H38" s="84">
        <f t="shared" si="8"/>
        <v>4.0000000000000001E-10</v>
      </c>
      <c r="I38" s="84">
        <f t="shared" si="9"/>
        <v>5.0000000000000003E-10</v>
      </c>
      <c r="J38" s="84">
        <f t="shared" si="10"/>
        <v>6E-10</v>
      </c>
      <c r="K38" s="84">
        <f t="shared" si="11"/>
        <v>6.9999999999999996E-10</v>
      </c>
      <c r="L38" s="84">
        <f t="shared" si="12"/>
        <v>8.0000000000000003E-10</v>
      </c>
      <c r="M38" s="84">
        <f t="shared" si="13"/>
        <v>8.9999999999999999E-10</v>
      </c>
      <c r="N38" s="84">
        <f t="shared" si="14"/>
        <v>9.5000000000000003E-10</v>
      </c>
      <c r="Q38" s="84" t="s">
        <v>979</v>
      </c>
      <c r="R38" s="84">
        <f>LARGE((R158:V158),1)</f>
        <v>0</v>
      </c>
      <c r="S38" s="84" t="str">
        <f>INDEX(J$1:M$1,MATCH(LARGE(S149:V149,1),S149:V149,0))</f>
        <v>請選擇第一選修科</v>
      </c>
      <c r="T38" s="90">
        <f>IF(R38&lt;3,0,R38)</f>
        <v>0</v>
      </c>
    </row>
    <row r="39" spans="1:21">
      <c r="A39" s="198" t="str">
        <f>CityU!A16</f>
        <v>JS1041</v>
      </c>
      <c r="B39" s="198" t="str">
        <f>CityU!C16</f>
        <v>創意媒體學院 [選項: 文學士(創意媒體)、理學士(創意媒體)、文理學士(新媒體)]</v>
      </c>
      <c r="C39" s="50" t="s">
        <v>190</v>
      </c>
      <c r="D39" s="84">
        <f t="shared" si="15"/>
        <v>3.05E-9</v>
      </c>
      <c r="E39" s="84">
        <f t="shared" si="6"/>
        <v>1E-10</v>
      </c>
      <c r="F39" s="84">
        <f>$F$3*2</f>
        <v>4.0000000000000001E-10</v>
      </c>
      <c r="G39" s="84">
        <f t="shared" si="7"/>
        <v>3E-10</v>
      </c>
      <c r="H39" s="84">
        <f t="shared" si="8"/>
        <v>4.0000000000000001E-10</v>
      </c>
      <c r="I39" s="84">
        <f t="shared" si="9"/>
        <v>5.0000000000000003E-10</v>
      </c>
      <c r="J39" s="84">
        <f t="shared" si="10"/>
        <v>6E-10</v>
      </c>
      <c r="K39" s="84">
        <f t="shared" si="11"/>
        <v>6.9999999999999996E-10</v>
      </c>
      <c r="L39" s="84">
        <f t="shared" si="12"/>
        <v>8.0000000000000003E-10</v>
      </c>
      <c r="M39" s="84">
        <f t="shared" si="13"/>
        <v>8.9999999999999999E-10</v>
      </c>
      <c r="N39" s="84">
        <f t="shared" si="14"/>
        <v>9.5000000000000003E-10</v>
      </c>
      <c r="Q39" s="84" t="s">
        <v>889</v>
      </c>
      <c r="R39" s="84">
        <f>LARGE((S159:V159),1)</f>
        <v>0</v>
      </c>
      <c r="T39" s="90">
        <f>IF(R39&lt;3,0,R39)</f>
        <v>0</v>
      </c>
    </row>
    <row r="40" spans="1:21">
      <c r="A40" s="198" t="str">
        <f>CityU!A17</f>
        <v>JS1042</v>
      </c>
      <c r="B40" s="198" t="str">
        <f>CityU!C17</f>
        <v>文學士(創意媒體)</v>
      </c>
      <c r="C40" s="50" t="s">
        <v>190</v>
      </c>
      <c r="D40" s="84">
        <f t="shared" si="15"/>
        <v>3.05E-9</v>
      </c>
      <c r="E40" s="84">
        <f t="shared" si="6"/>
        <v>1E-10</v>
      </c>
      <c r="F40" s="84">
        <f>$F$3*2</f>
        <v>4.0000000000000001E-10</v>
      </c>
      <c r="G40" s="84">
        <f t="shared" si="7"/>
        <v>3E-10</v>
      </c>
      <c r="H40" s="84">
        <f t="shared" si="8"/>
        <v>4.0000000000000001E-10</v>
      </c>
      <c r="I40" s="84">
        <f t="shared" si="9"/>
        <v>5.0000000000000003E-10</v>
      </c>
      <c r="J40" s="84">
        <f t="shared" si="10"/>
        <v>6E-10</v>
      </c>
      <c r="K40" s="84">
        <f t="shared" si="11"/>
        <v>6.9999999999999996E-10</v>
      </c>
      <c r="L40" s="84">
        <f t="shared" si="12"/>
        <v>8.0000000000000003E-10</v>
      </c>
      <c r="M40" s="84">
        <f t="shared" si="13"/>
        <v>8.9999999999999999E-10</v>
      </c>
      <c r="N40" s="84">
        <f t="shared" si="14"/>
        <v>9.5000000000000003E-10</v>
      </c>
      <c r="Q40" s="84" t="s">
        <v>1163</v>
      </c>
      <c r="R40" s="84">
        <f>LARGE((S160:V160),1)</f>
        <v>0</v>
      </c>
      <c r="T40" s="90">
        <f>IF(R40&lt;3,0,R40)</f>
        <v>0</v>
      </c>
    </row>
    <row r="41" spans="1:21">
      <c r="A41" s="198" t="str">
        <f>CityU!A18</f>
        <v>JS1043</v>
      </c>
      <c r="B41" s="198" t="str">
        <f>CityU!C18</f>
        <v>理學士(創意媒體)</v>
      </c>
      <c r="C41" s="50" t="s">
        <v>190</v>
      </c>
      <c r="D41" s="84">
        <f t="shared" si="15"/>
        <v>3.1999999999999997E-9</v>
      </c>
      <c r="E41" s="84">
        <f t="shared" si="6"/>
        <v>1E-10</v>
      </c>
      <c r="F41" s="84">
        <f>$F$3*2</f>
        <v>4.0000000000000001E-10</v>
      </c>
      <c r="G41" s="84">
        <f>$G$3*1.5</f>
        <v>4.5E-10</v>
      </c>
      <c r="H41" s="84">
        <f t="shared" si="8"/>
        <v>4.0000000000000001E-10</v>
      </c>
      <c r="I41" s="84">
        <f t="shared" si="9"/>
        <v>5.0000000000000003E-10</v>
      </c>
      <c r="J41" s="84">
        <f t="shared" si="10"/>
        <v>6E-10</v>
      </c>
      <c r="K41" s="84">
        <f t="shared" si="11"/>
        <v>6.9999999999999996E-10</v>
      </c>
      <c r="L41" s="84">
        <f t="shared" si="12"/>
        <v>8.0000000000000003E-10</v>
      </c>
      <c r="M41" s="84">
        <f t="shared" si="13"/>
        <v>8.9999999999999999E-10</v>
      </c>
      <c r="N41" s="84">
        <f t="shared" si="14"/>
        <v>9.5000000000000003E-10</v>
      </c>
      <c r="P41" s="84" t="s">
        <v>2182</v>
      </c>
      <c r="Q41" s="84" t="s">
        <v>2184</v>
      </c>
      <c r="R41" s="84">
        <f>LARGE((R163:V163),1)</f>
        <v>5.0000000000000003E-10</v>
      </c>
    </row>
    <row r="42" spans="1:21">
      <c r="A42" s="198" t="str">
        <f>CityU!A19</f>
        <v>JS1044</v>
      </c>
      <c r="B42" s="198" t="str">
        <f>CityU!C19</f>
        <v>文理學士(新媒體)</v>
      </c>
      <c r="C42" s="376" t="s">
        <v>190</v>
      </c>
      <c r="D42" s="84">
        <f>SUM(E42:H42)+LARGE((I42:N42),1)+LARGE((I42:N42),2)</f>
        <v>3.05E-9</v>
      </c>
      <c r="E42" s="84">
        <f t="shared" si="6"/>
        <v>1E-10</v>
      </c>
      <c r="F42" s="84">
        <f>$F$3*2</f>
        <v>4.0000000000000001E-10</v>
      </c>
      <c r="G42" s="84">
        <f>$G$3</f>
        <v>3E-10</v>
      </c>
      <c r="H42" s="84">
        <f t="shared" si="8"/>
        <v>4.0000000000000001E-10</v>
      </c>
      <c r="I42" s="84">
        <f t="shared" si="9"/>
        <v>5.0000000000000003E-10</v>
      </c>
      <c r="J42" s="84">
        <f t="shared" si="10"/>
        <v>6E-10</v>
      </c>
      <c r="K42" s="84">
        <f t="shared" si="11"/>
        <v>6.9999999999999996E-10</v>
      </c>
      <c r="L42" s="84">
        <f t="shared" si="12"/>
        <v>8.0000000000000003E-10</v>
      </c>
      <c r="M42" s="84">
        <f t="shared" si="13"/>
        <v>8.9999999999999999E-10</v>
      </c>
      <c r="N42" s="84">
        <f t="shared" si="14"/>
        <v>9.5000000000000003E-10</v>
      </c>
    </row>
    <row r="43" spans="1:21">
      <c r="A43" s="198" t="str">
        <f>CityU!A20</f>
        <v>JS1051</v>
      </c>
      <c r="B43" s="198" t="str">
        <f>CityU!C20</f>
        <v>能源及環境學院 [選項: 工學士(能源科學及工程學)、工學士(環境科學及工程學)]</v>
      </c>
      <c r="C43" s="376" t="s">
        <v>190</v>
      </c>
      <c r="D43" s="142">
        <f>SUM(E43:H43)+LARGE((I43:N43),1)+LARGE((I43:N43),2)</f>
        <v>4.1000000000000003E-9</v>
      </c>
      <c r="E43" s="142">
        <f t="shared" si="6"/>
        <v>1E-10</v>
      </c>
      <c r="F43" s="142">
        <f>$F$3*2</f>
        <v>4.0000000000000001E-10</v>
      </c>
      <c r="G43" s="142">
        <f>$G$3*2.5</f>
        <v>7.5E-10</v>
      </c>
      <c r="H43" s="142">
        <f t="shared" si="8"/>
        <v>4.0000000000000001E-10</v>
      </c>
      <c r="I43" s="142">
        <f t="shared" si="9"/>
        <v>5.0000000000000003E-10</v>
      </c>
      <c r="J43" s="142">
        <f>IF(J24=S38,J3*2.5,J3)</f>
        <v>1.5E-9</v>
      </c>
      <c r="K43" s="142">
        <f>IF(K24=$S$38,K3*2.5,K3)</f>
        <v>6.9999999999999996E-10</v>
      </c>
      <c r="L43" s="142">
        <f>IF(L24=$S$38,L3*2.5,L3)</f>
        <v>8.0000000000000003E-10</v>
      </c>
      <c r="M43" s="142">
        <f>IF(M24=$S$38,M3*2.5,M3)</f>
        <v>8.9999999999999999E-10</v>
      </c>
      <c r="N43" s="142">
        <f t="shared" si="14"/>
        <v>9.5000000000000003E-10</v>
      </c>
    </row>
    <row r="44" spans="1:21">
      <c r="A44" s="198" t="str">
        <f>CityU!A21</f>
        <v>JS1061</v>
      </c>
      <c r="B44" s="198" t="str">
        <f>CityU!C21</f>
        <v>法律學學士</v>
      </c>
      <c r="C44" s="250" t="s">
        <v>190</v>
      </c>
      <c r="D44" s="84">
        <f>SUM(E44:H44)+LARGE((I44:N44),1)+LARGE((I44:N44),2)</f>
        <v>2.8499999999999999E-9</v>
      </c>
      <c r="E44" s="84">
        <f t="shared" si="6"/>
        <v>1E-10</v>
      </c>
      <c r="F44" s="84">
        <f>$F$3</f>
        <v>2.0000000000000001E-10</v>
      </c>
      <c r="G44" s="84">
        <f>$G$3</f>
        <v>3E-10</v>
      </c>
      <c r="H44" s="84">
        <f t="shared" si="8"/>
        <v>4.0000000000000001E-10</v>
      </c>
      <c r="I44" s="84">
        <f t="shared" si="9"/>
        <v>5.0000000000000003E-10</v>
      </c>
      <c r="J44" s="84">
        <f t="shared" ref="J44:J50" si="23">$J$3</f>
        <v>6E-10</v>
      </c>
      <c r="K44" s="84">
        <f t="shared" ref="K44:K50" si="24">$K$3</f>
        <v>6.9999999999999996E-10</v>
      </c>
      <c r="L44" s="84">
        <f t="shared" ref="L44:L50" si="25">$L$3</f>
        <v>8.0000000000000003E-10</v>
      </c>
      <c r="M44" s="84">
        <f t="shared" ref="M44:M50" si="26">$M$3</f>
        <v>8.9999999999999999E-10</v>
      </c>
      <c r="N44" s="84">
        <f t="shared" si="14"/>
        <v>9.5000000000000003E-10</v>
      </c>
      <c r="Q44" s="129" t="s">
        <v>1282</v>
      </c>
      <c r="R44" s="129"/>
      <c r="S44" s="129"/>
      <c r="T44" s="129"/>
      <c r="U44" s="129"/>
    </row>
    <row r="45" spans="1:21">
      <c r="A45" s="198" t="str">
        <f>CityU!A22</f>
        <v>JS1071</v>
      </c>
      <c r="B45" s="198" t="str">
        <f>CityU!C22</f>
        <v>數據科學學院 [選項：理學士 (數據科學)、工學士 (數據與系統工程)]</v>
      </c>
      <c r="C45" s="50" t="s">
        <v>190</v>
      </c>
      <c r="D45" s="84">
        <f t="shared" si="15"/>
        <v>3.3500000000000002E-9</v>
      </c>
      <c r="E45" s="84">
        <f t="shared" si="6"/>
        <v>1E-10</v>
      </c>
      <c r="F45" s="84">
        <f>$F$3*2</f>
        <v>4.0000000000000001E-10</v>
      </c>
      <c r="G45" s="84">
        <f>$G$3*2</f>
        <v>6E-10</v>
      </c>
      <c r="H45" s="84">
        <f t="shared" si="8"/>
        <v>4.0000000000000001E-10</v>
      </c>
      <c r="I45" s="84">
        <f t="shared" si="9"/>
        <v>5.0000000000000003E-10</v>
      </c>
      <c r="J45" s="84">
        <f t="shared" si="23"/>
        <v>6E-10</v>
      </c>
      <c r="K45" s="84">
        <f t="shared" si="24"/>
        <v>6.9999999999999996E-10</v>
      </c>
      <c r="L45" s="84">
        <f t="shared" si="25"/>
        <v>8.0000000000000003E-10</v>
      </c>
      <c r="M45" s="84">
        <f t="shared" si="26"/>
        <v>8.9999999999999999E-10</v>
      </c>
      <c r="N45" s="84">
        <f t="shared" si="14"/>
        <v>9.5000000000000003E-10</v>
      </c>
      <c r="Q45" s="129" t="s">
        <v>1276</v>
      </c>
      <c r="R45" s="129"/>
      <c r="S45" s="129" t="s">
        <v>1277</v>
      </c>
      <c r="T45" s="129"/>
      <c r="U45" s="129"/>
    </row>
    <row r="46" spans="1:21">
      <c r="A46" s="198" t="str">
        <f>CityU!A23</f>
        <v>JS1072</v>
      </c>
      <c r="B46" s="198" t="str">
        <f>CityU!C23</f>
        <v>理學士(數據科學)</v>
      </c>
      <c r="C46" s="50" t="s">
        <v>190</v>
      </c>
      <c r="D46" s="84">
        <f t="shared" si="15"/>
        <v>3.3500000000000002E-9</v>
      </c>
      <c r="E46" s="84">
        <f t="shared" si="6"/>
        <v>1E-10</v>
      </c>
      <c r="F46" s="84">
        <f>$F$3*2</f>
        <v>4.0000000000000001E-10</v>
      </c>
      <c r="G46" s="84">
        <f>$G$3*2</f>
        <v>6E-10</v>
      </c>
      <c r="H46" s="84">
        <f t="shared" si="8"/>
        <v>4.0000000000000001E-10</v>
      </c>
      <c r="I46" s="84">
        <f t="shared" si="9"/>
        <v>5.0000000000000003E-10</v>
      </c>
      <c r="J46" s="84">
        <f t="shared" si="23"/>
        <v>6E-10</v>
      </c>
      <c r="K46" s="84">
        <f t="shared" si="24"/>
        <v>6.9999999999999996E-10</v>
      </c>
      <c r="L46" s="84">
        <f t="shared" si="25"/>
        <v>8.0000000000000003E-10</v>
      </c>
      <c r="M46" s="84">
        <f t="shared" si="26"/>
        <v>8.9999999999999999E-10</v>
      </c>
      <c r="N46" s="84">
        <f t="shared" si="14"/>
        <v>9.5000000000000003E-10</v>
      </c>
      <c r="Q46" s="129" t="str">
        <f>INDEX(J$1:M$1,MATCH(LARGE(S148:V148,1),S148:V148,0))</f>
        <v>請選擇第一選修科</v>
      </c>
      <c r="R46" s="149">
        <f>LARGE((S148:V148),1)</f>
        <v>0</v>
      </c>
      <c r="S46" s="129" t="str">
        <f>IF(T46=0,"無",IF(INDEX(I$1:M$1,MATCH(LARGE(R161:V161,1),R161:V161,0))=Q46,INDEX(I$1:M$1,MATCH(LARGE(R161:V161,2),R161:V161,0)),INDEX(I$1:M$1,MATCH(LARGE(R161:V161,1),R161:V161,0))))</f>
        <v>數學延伸</v>
      </c>
      <c r="T46" s="149">
        <f>IF(INDEX(I$1:M$1,MATCH(LARGE(R161:V161,1),R161:V161,0))=Q46,LARGE(R161:V161,2),LARGE(R161:V161,1))</f>
        <v>5.0000000000000003E-10</v>
      </c>
      <c r="U46" s="129"/>
    </row>
    <row r="47" spans="1:21">
      <c r="A47" s="198" t="str">
        <f>CityU!A24</f>
        <v>JS1073</v>
      </c>
      <c r="B47" s="198" t="str">
        <f>CityU!C24</f>
        <v>工學士(數據與系統工程)</v>
      </c>
      <c r="C47" s="50" t="s">
        <v>190</v>
      </c>
      <c r="D47" s="84">
        <f t="shared" si="15"/>
        <v>3.3500000000000002E-9</v>
      </c>
      <c r="E47" s="84">
        <f t="shared" si="6"/>
        <v>1E-10</v>
      </c>
      <c r="F47" s="84">
        <f>$F$3*2</f>
        <v>4.0000000000000001E-10</v>
      </c>
      <c r="G47" s="84">
        <f>$G$3*2</f>
        <v>6E-10</v>
      </c>
      <c r="H47" s="84">
        <f t="shared" si="8"/>
        <v>4.0000000000000001E-10</v>
      </c>
      <c r="I47" s="84">
        <f t="shared" si="9"/>
        <v>5.0000000000000003E-10</v>
      </c>
      <c r="J47" s="84">
        <f t="shared" si="23"/>
        <v>6E-10</v>
      </c>
      <c r="K47" s="84">
        <f t="shared" si="24"/>
        <v>6.9999999999999996E-10</v>
      </c>
      <c r="L47" s="84">
        <f t="shared" si="25"/>
        <v>8.0000000000000003E-10</v>
      </c>
      <c r="M47" s="84">
        <f t="shared" si="26"/>
        <v>8.9999999999999999E-10</v>
      </c>
      <c r="N47" s="84">
        <f t="shared" si="14"/>
        <v>9.5000000000000003E-10</v>
      </c>
      <c r="Q47" s="129"/>
      <c r="R47" s="129"/>
      <c r="S47" s="129"/>
      <c r="T47" s="129"/>
      <c r="U47" s="129"/>
    </row>
    <row r="48" spans="1:21">
      <c r="A48" s="198" t="str">
        <f>CityU!A25</f>
        <v>JS1091</v>
      </c>
      <c r="B48" s="198" t="str">
        <f>CityU!C25</f>
        <v>建築科技學部 [選項: 理學副學士(屋宇裝備工程學)、理學副學士(建造工程及管理學)、理學副學士(測量學)]</v>
      </c>
      <c r="C48" s="50" t="s">
        <v>1270</v>
      </c>
      <c r="D48" s="84">
        <f>SUM(E48:F48)+LARGE((G48:N48),1)+LARGE((G48:N48),2)+LARGE((G48:N48),3)</f>
        <v>3.1500000000000005E-9</v>
      </c>
      <c r="E48" s="84">
        <f t="shared" si="6"/>
        <v>1E-10</v>
      </c>
      <c r="F48" s="84">
        <f>$F$3*2</f>
        <v>4.0000000000000001E-10</v>
      </c>
      <c r="G48" s="84">
        <f t="shared" ref="G48:G59" si="27">$G$3</f>
        <v>3E-10</v>
      </c>
      <c r="H48" s="84">
        <f t="shared" si="8"/>
        <v>4.0000000000000001E-10</v>
      </c>
      <c r="I48" s="84">
        <f t="shared" si="9"/>
        <v>5.0000000000000003E-10</v>
      </c>
      <c r="J48" s="84">
        <f t="shared" si="23"/>
        <v>6E-10</v>
      </c>
      <c r="K48" s="84">
        <f t="shared" si="24"/>
        <v>6.9999999999999996E-10</v>
      </c>
      <c r="L48" s="84">
        <f t="shared" si="25"/>
        <v>8.0000000000000003E-10</v>
      </c>
      <c r="M48" s="84">
        <f t="shared" si="26"/>
        <v>8.9999999999999999E-10</v>
      </c>
      <c r="N48" s="84">
        <f t="shared" si="14"/>
        <v>9.5000000000000003E-10</v>
      </c>
      <c r="Q48" s="129" t="s">
        <v>64</v>
      </c>
      <c r="R48" s="149">
        <f>IF(I24=S46,$I$3*1.5,$I$3)</f>
        <v>7.500000000000001E-10</v>
      </c>
      <c r="S48" s="129"/>
      <c r="T48" s="129"/>
      <c r="U48" s="129"/>
    </row>
    <row r="49" spans="1:25">
      <c r="A49" s="198" t="str">
        <f>CityU!A26</f>
        <v>JS1093</v>
      </c>
      <c r="B49" s="198" t="str">
        <f>CityU!C26</f>
        <v>理學副學士(建築學)</v>
      </c>
      <c r="C49" s="50" t="s">
        <v>1270</v>
      </c>
      <c r="D49" s="84">
        <f>SUM(E49:F49)+LARGE((G49:N49),1)+LARGE((G49:N49),2)+LARGE((G49:N49),3)</f>
        <v>3.1500000000000005E-9</v>
      </c>
      <c r="E49" s="84">
        <f t="shared" si="6"/>
        <v>1E-10</v>
      </c>
      <c r="F49" s="84">
        <f>$F$3*2</f>
        <v>4.0000000000000001E-10</v>
      </c>
      <c r="G49" s="84">
        <f t="shared" si="27"/>
        <v>3E-10</v>
      </c>
      <c r="H49" s="84">
        <f t="shared" si="8"/>
        <v>4.0000000000000001E-10</v>
      </c>
      <c r="I49" s="84">
        <f t="shared" si="9"/>
        <v>5.0000000000000003E-10</v>
      </c>
      <c r="J49" s="84">
        <f t="shared" si="23"/>
        <v>6E-10</v>
      </c>
      <c r="K49" s="84">
        <f t="shared" si="24"/>
        <v>6.9999999999999996E-10</v>
      </c>
      <c r="L49" s="84">
        <f t="shared" si="25"/>
        <v>8.0000000000000003E-10</v>
      </c>
      <c r="M49" s="84">
        <f t="shared" si="26"/>
        <v>8.9999999999999999E-10</v>
      </c>
      <c r="N49" s="84">
        <f t="shared" si="14"/>
        <v>9.5000000000000003E-10</v>
      </c>
      <c r="Q49" s="129" t="s">
        <v>1275</v>
      </c>
      <c r="R49" s="149">
        <f>IF(J24=$Q$46,$R$46*2.5,(IF(J24=$S$46,$T$46*1.5,J3)))</f>
        <v>0</v>
      </c>
      <c r="S49" s="129"/>
      <c r="T49" s="129"/>
      <c r="U49" s="129"/>
    </row>
    <row r="50" spans="1:25">
      <c r="A50" s="198" t="str">
        <f>CityU!A27</f>
        <v>JS1102</v>
      </c>
      <c r="B50" s="198" t="str">
        <f>CityU!C27</f>
        <v>社會科學學士(亞洲及國際研究)</v>
      </c>
      <c r="C50" s="376" t="s">
        <v>190</v>
      </c>
      <c r="D50" s="84">
        <f>SUM(E50:H50)+LARGE((I50:N50),1)+LARGE((I50:N50),2)</f>
        <v>2.8499999999999999E-9</v>
      </c>
      <c r="E50" s="84">
        <f t="shared" si="6"/>
        <v>1E-10</v>
      </c>
      <c r="F50" s="84">
        <f>$F$3</f>
        <v>2.0000000000000001E-10</v>
      </c>
      <c r="G50" s="84">
        <f t="shared" si="27"/>
        <v>3E-10</v>
      </c>
      <c r="H50" s="84">
        <f t="shared" si="8"/>
        <v>4.0000000000000001E-10</v>
      </c>
      <c r="I50" s="84">
        <f t="shared" si="9"/>
        <v>5.0000000000000003E-10</v>
      </c>
      <c r="J50" s="84">
        <f t="shared" si="23"/>
        <v>6E-10</v>
      </c>
      <c r="K50" s="84">
        <f t="shared" si="24"/>
        <v>6.9999999999999996E-10</v>
      </c>
      <c r="L50" s="84">
        <f t="shared" si="25"/>
        <v>8.0000000000000003E-10</v>
      </c>
      <c r="M50" s="84">
        <f t="shared" si="26"/>
        <v>8.9999999999999999E-10</v>
      </c>
      <c r="N50" s="84">
        <f t="shared" si="14"/>
        <v>9.5000000000000003E-10</v>
      </c>
      <c r="Q50" s="129" t="s">
        <v>1283</v>
      </c>
      <c r="R50" s="149">
        <f>IF(K24=$Q$46,$R$46*2.5,(IF(K24=$S$46,$T$46*1.5,K3)))</f>
        <v>6.9999999999999996E-10</v>
      </c>
      <c r="S50" s="129"/>
      <c r="T50" s="129"/>
      <c r="U50" s="129"/>
    </row>
    <row r="51" spans="1:25">
      <c r="A51" s="198" t="str">
        <f>CityU!A28</f>
        <v>JS1103</v>
      </c>
      <c r="B51" s="198" t="str">
        <f>CityU!C28</f>
        <v>文學士(中文及歷史)</v>
      </c>
      <c r="C51" s="50" t="s">
        <v>190</v>
      </c>
      <c r="D51" s="84">
        <f>SUM(E51:H51)+LARGE((I51:N51),1)+LARGE((I51:N51),2)</f>
        <v>3.3500000000000002E-9</v>
      </c>
      <c r="E51" s="84">
        <f>$E$3*2</f>
        <v>2.0000000000000001E-10</v>
      </c>
      <c r="F51" s="84">
        <f>$F$3*2</f>
        <v>4.0000000000000001E-10</v>
      </c>
      <c r="G51" s="84">
        <f t="shared" si="27"/>
        <v>3E-10</v>
      </c>
      <c r="H51" s="84">
        <f>$H$3*1.5</f>
        <v>6E-10</v>
      </c>
      <c r="I51" s="84">
        <f t="shared" si="9"/>
        <v>5.0000000000000003E-10</v>
      </c>
      <c r="J51" s="198">
        <f>IF(OR(J1="中國歷史",J1="中國文學",J1="歷史",J1="視覺藝術"),J3*1.5,J3)</f>
        <v>6E-10</v>
      </c>
      <c r="K51" s="84">
        <f>IF(OR(K1="中國歷史",K1="中國文學",K1="歷史",K1="視覺藝術"),K3*1.5,K3)</f>
        <v>6.9999999999999996E-10</v>
      </c>
      <c r="L51" s="84">
        <f>IF(OR(L1="中國歷史",L1="中國文學",L1="歷史",L1="視覺藝術"),L3*1.5,L3)</f>
        <v>8.0000000000000003E-10</v>
      </c>
      <c r="M51" s="84">
        <f>IF(OR(M1="中國歷史",M1="中國文學",M1="歷史",M1="視覺藝術"),M3*1.5,M3)</f>
        <v>8.9999999999999999E-10</v>
      </c>
      <c r="N51" s="84">
        <f t="shared" si="14"/>
        <v>9.5000000000000003E-10</v>
      </c>
      <c r="Q51" s="129" t="s">
        <v>1284</v>
      </c>
      <c r="R51" s="149">
        <f>IF(L24=$Q$46,$R$46*2.5,(IF(L24=$S$46,$T$46*1.5,L3)))</f>
        <v>8.0000000000000003E-10</v>
      </c>
      <c r="S51" s="129"/>
      <c r="T51" s="129"/>
      <c r="U51" s="129"/>
    </row>
    <row r="52" spans="1:25">
      <c r="A52" s="198" t="str">
        <f>CityU!A29</f>
        <v>JS1104</v>
      </c>
      <c r="B52" s="198" t="str">
        <f>CityU!C29</f>
        <v>文學士(英語語言)</v>
      </c>
      <c r="C52" s="376" t="s">
        <v>190</v>
      </c>
      <c r="D52" s="84">
        <f>SUM(E52:H52)+LARGE((I52:N52),1)+LARGE((I52:N52),2)</f>
        <v>3.3500000000000002E-9</v>
      </c>
      <c r="E52" s="84">
        <f>$E$3</f>
        <v>1E-10</v>
      </c>
      <c r="F52" s="84">
        <f>$F$3*2.5</f>
        <v>5.0000000000000003E-10</v>
      </c>
      <c r="G52" s="84">
        <f t="shared" si="27"/>
        <v>3E-10</v>
      </c>
      <c r="H52" s="84">
        <f>$H$3*1.5</f>
        <v>6E-10</v>
      </c>
      <c r="I52" s="84">
        <f t="shared" si="9"/>
        <v>5.0000000000000003E-10</v>
      </c>
      <c r="J52" s="198">
        <f>IF(OR(J1="英語文學"),J3*1.5,J3)</f>
        <v>6E-10</v>
      </c>
      <c r="K52" s="84">
        <f>IF(OR(K1="英語文學"),K3*1.5,K3)</f>
        <v>6.9999999999999996E-10</v>
      </c>
      <c r="L52" s="84">
        <f>IF(OR(L1="英語文學"),L3*1.5,L3)</f>
        <v>8.0000000000000003E-10</v>
      </c>
      <c r="M52" s="84">
        <f>IF(OR(M1="英語文學"),M3*1.5,M3)</f>
        <v>8.9999999999999999E-10</v>
      </c>
      <c r="N52" s="84">
        <f t="shared" si="14"/>
        <v>9.5000000000000003E-10</v>
      </c>
      <c r="Q52" s="129"/>
      <c r="R52" s="129"/>
      <c r="S52" s="129"/>
      <c r="T52" s="259"/>
      <c r="U52" s="129"/>
    </row>
    <row r="53" spans="1:25">
      <c r="A53" s="198" t="str">
        <f>CityU!A30</f>
        <v>JS1105</v>
      </c>
      <c r="B53" s="198" t="str">
        <f>CityU!C30</f>
        <v>翻譯及語言學系 [選項: 文學士(語言學及語言應用)、文學士(翻譯及傳譯)]</v>
      </c>
      <c r="C53" s="50" t="s">
        <v>190</v>
      </c>
      <c r="D53" s="84">
        <f t="shared" si="15"/>
        <v>3.0999999999999996E-9</v>
      </c>
      <c r="E53" s="84">
        <f>$E$3*1.5</f>
        <v>1.5E-10</v>
      </c>
      <c r="F53" s="84">
        <f>$F$3*2</f>
        <v>4.0000000000000001E-10</v>
      </c>
      <c r="G53" s="84">
        <f t="shared" si="27"/>
        <v>3E-10</v>
      </c>
      <c r="H53" s="84">
        <f>$H$3</f>
        <v>4.0000000000000001E-10</v>
      </c>
      <c r="I53" s="84">
        <f t="shared" si="9"/>
        <v>5.0000000000000003E-10</v>
      </c>
      <c r="J53" s="84">
        <f t="shared" ref="J53:J59" si="28">$J$3</f>
        <v>6E-10</v>
      </c>
      <c r="K53" s="84">
        <f t="shared" ref="K53:K59" si="29">$K$3</f>
        <v>6.9999999999999996E-10</v>
      </c>
      <c r="L53" s="84">
        <f t="shared" ref="L53:L59" si="30">$L$3</f>
        <v>8.0000000000000003E-10</v>
      </c>
      <c r="M53" s="84">
        <f t="shared" ref="M53:M59" si="31">$M$3</f>
        <v>8.9999999999999999E-10</v>
      </c>
      <c r="N53" s="84">
        <f t="shared" si="14"/>
        <v>9.5000000000000003E-10</v>
      </c>
    </row>
    <row r="54" spans="1:25">
      <c r="A54" s="198" t="str">
        <f>CityU!A31</f>
        <v>JS1106</v>
      </c>
      <c r="B54" s="198" t="str">
        <f>CityU!C31</f>
        <v>媒體與傳播系 [選項: 文學士(數碼電視與廣播)、文學士(媒體與傳播)]</v>
      </c>
      <c r="C54" s="376" t="s">
        <v>190</v>
      </c>
      <c r="D54" s="84">
        <f>LARGE((E54:N54),1)+LARGE((E54:N54),2)+LARGE((E54:N54),3)+LARGE((E54:N54),4)+LARGE((E54:N54),5)</f>
        <v>3.9500000000000006E-9</v>
      </c>
      <c r="E54" s="84">
        <f>$E$3*1.25</f>
        <v>1.2500000000000001E-10</v>
      </c>
      <c r="F54" s="84">
        <f>$F$3*1.25</f>
        <v>2.5000000000000002E-10</v>
      </c>
      <c r="G54" s="84">
        <f t="shared" si="27"/>
        <v>3E-10</v>
      </c>
      <c r="H54" s="84">
        <f>$H$3</f>
        <v>4.0000000000000001E-10</v>
      </c>
      <c r="I54" s="84">
        <f t="shared" si="9"/>
        <v>5.0000000000000003E-10</v>
      </c>
      <c r="J54" s="84">
        <f t="shared" si="28"/>
        <v>6E-10</v>
      </c>
      <c r="K54" s="84">
        <f t="shared" si="29"/>
        <v>6.9999999999999996E-10</v>
      </c>
      <c r="L54" s="84">
        <f t="shared" si="30"/>
        <v>8.0000000000000003E-10</v>
      </c>
      <c r="M54" s="84">
        <f t="shared" si="31"/>
        <v>8.9999999999999999E-10</v>
      </c>
      <c r="N54" s="84">
        <f t="shared" si="14"/>
        <v>9.5000000000000003E-10</v>
      </c>
    </row>
    <row r="55" spans="1:25">
      <c r="A55" s="198" t="str">
        <f>CityU!A32</f>
        <v>JS1108</v>
      </c>
      <c r="B55" s="198" t="str">
        <f>CityU!C32</f>
        <v>社會科學學士(公共政策與政治)</v>
      </c>
      <c r="C55" s="376" t="s">
        <v>190</v>
      </c>
      <c r="D55" s="84">
        <f t="shared" si="15"/>
        <v>3.2500000000000002E-9</v>
      </c>
      <c r="E55" s="84">
        <f t="shared" ref="E55:E60" si="32">$E$3</f>
        <v>1E-10</v>
      </c>
      <c r="F55" s="84">
        <f t="shared" ref="F55:F60" si="33">$F$3*2</f>
        <v>4.0000000000000001E-10</v>
      </c>
      <c r="G55" s="84">
        <f t="shared" si="27"/>
        <v>3E-10</v>
      </c>
      <c r="H55" s="84">
        <f>$H$3*1.5</f>
        <v>6E-10</v>
      </c>
      <c r="I55" s="84">
        <f t="shared" si="9"/>
        <v>5.0000000000000003E-10</v>
      </c>
      <c r="J55" s="84">
        <f t="shared" si="28"/>
        <v>6E-10</v>
      </c>
      <c r="K55" s="84">
        <f t="shared" si="29"/>
        <v>6.9999999999999996E-10</v>
      </c>
      <c r="L55" s="84">
        <f t="shared" si="30"/>
        <v>8.0000000000000003E-10</v>
      </c>
      <c r="M55" s="84">
        <f t="shared" si="31"/>
        <v>8.9999999999999999E-10</v>
      </c>
      <c r="N55" s="84">
        <f t="shared" si="14"/>
        <v>9.5000000000000003E-10</v>
      </c>
    </row>
    <row r="56" spans="1:25">
      <c r="A56" s="198" t="str">
        <f>CityU!A33</f>
        <v>JS1110</v>
      </c>
      <c r="B56" s="198" t="str">
        <f>CityU!C33</f>
        <v>社會及行為科學系 [選項: 社會科學學士(犯罪學及社會學)、社會科學學士(心理學)、社會科學學士(社會工作)]</v>
      </c>
      <c r="C56" s="50" t="s">
        <v>190</v>
      </c>
      <c r="D56" s="84">
        <f t="shared" si="15"/>
        <v>3.05E-9</v>
      </c>
      <c r="E56" s="84">
        <f t="shared" si="32"/>
        <v>1E-10</v>
      </c>
      <c r="F56" s="84">
        <f t="shared" si="33"/>
        <v>4.0000000000000001E-10</v>
      </c>
      <c r="G56" s="84">
        <f t="shared" si="27"/>
        <v>3E-10</v>
      </c>
      <c r="H56" s="84">
        <f t="shared" ref="H56:H74" si="34">$H$3</f>
        <v>4.0000000000000001E-10</v>
      </c>
      <c r="I56" s="84">
        <f t="shared" si="9"/>
        <v>5.0000000000000003E-10</v>
      </c>
      <c r="J56" s="84">
        <f t="shared" si="28"/>
        <v>6E-10</v>
      </c>
      <c r="K56" s="84">
        <f t="shared" si="29"/>
        <v>6.9999999999999996E-10</v>
      </c>
      <c r="L56" s="84">
        <f t="shared" si="30"/>
        <v>8.0000000000000003E-10</v>
      </c>
      <c r="M56" s="84">
        <f t="shared" si="31"/>
        <v>8.9999999999999999E-10</v>
      </c>
      <c r="N56" s="84">
        <f t="shared" si="14"/>
        <v>9.5000000000000003E-10</v>
      </c>
    </row>
    <row r="57" spans="1:25">
      <c r="A57" s="198" t="str">
        <f>CityU!A34</f>
        <v>JS1111</v>
      </c>
      <c r="B57" s="198" t="str">
        <f>CityU!C34</f>
        <v>社會科學學士(犯罪學及社會學)</v>
      </c>
      <c r="C57" s="50" t="s">
        <v>190</v>
      </c>
      <c r="D57" s="84">
        <f t="shared" si="15"/>
        <v>3.05E-9</v>
      </c>
      <c r="E57" s="84">
        <f t="shared" si="32"/>
        <v>1E-10</v>
      </c>
      <c r="F57" s="84">
        <f t="shared" si="33"/>
        <v>4.0000000000000001E-10</v>
      </c>
      <c r="G57" s="84">
        <f t="shared" si="27"/>
        <v>3E-10</v>
      </c>
      <c r="H57" s="84">
        <f t="shared" si="34"/>
        <v>4.0000000000000001E-10</v>
      </c>
      <c r="I57" s="84">
        <f t="shared" si="9"/>
        <v>5.0000000000000003E-10</v>
      </c>
      <c r="J57" s="84">
        <f t="shared" si="28"/>
        <v>6E-10</v>
      </c>
      <c r="K57" s="84">
        <f t="shared" si="29"/>
        <v>6.9999999999999996E-10</v>
      </c>
      <c r="L57" s="84">
        <f t="shared" si="30"/>
        <v>8.0000000000000003E-10</v>
      </c>
      <c r="M57" s="84">
        <f t="shared" si="31"/>
        <v>8.9999999999999999E-10</v>
      </c>
      <c r="N57" s="84">
        <f t="shared" ref="N57:N74" si="35">$N$3</f>
        <v>9.5000000000000003E-10</v>
      </c>
    </row>
    <row r="58" spans="1:25">
      <c r="A58" s="198" t="str">
        <f>CityU!A35</f>
        <v>JS1112</v>
      </c>
      <c r="B58" s="198" t="str">
        <f>CityU!C35</f>
        <v>社會科學學士(心理學)</v>
      </c>
      <c r="C58" s="50" t="s">
        <v>190</v>
      </c>
      <c r="D58" s="84">
        <f t="shared" si="15"/>
        <v>3.05E-9</v>
      </c>
      <c r="E58" s="84">
        <f t="shared" si="32"/>
        <v>1E-10</v>
      </c>
      <c r="F58" s="84">
        <f t="shared" si="33"/>
        <v>4.0000000000000001E-10</v>
      </c>
      <c r="G58" s="84">
        <f t="shared" si="27"/>
        <v>3E-10</v>
      </c>
      <c r="H58" s="84">
        <f t="shared" si="34"/>
        <v>4.0000000000000001E-10</v>
      </c>
      <c r="I58" s="84">
        <f t="shared" si="9"/>
        <v>5.0000000000000003E-10</v>
      </c>
      <c r="J58" s="84">
        <f t="shared" si="28"/>
        <v>6E-10</v>
      </c>
      <c r="K58" s="84">
        <f t="shared" si="29"/>
        <v>6.9999999999999996E-10</v>
      </c>
      <c r="L58" s="84">
        <f t="shared" si="30"/>
        <v>8.0000000000000003E-10</v>
      </c>
      <c r="M58" s="84">
        <f t="shared" si="31"/>
        <v>8.9999999999999999E-10</v>
      </c>
      <c r="N58" s="84">
        <f t="shared" si="35"/>
        <v>9.5000000000000003E-10</v>
      </c>
      <c r="T58" s="84"/>
    </row>
    <row r="59" spans="1:25">
      <c r="A59" s="198" t="str">
        <f>CityU!A36</f>
        <v>JS1113</v>
      </c>
      <c r="B59" s="198" t="str">
        <f>CityU!C36</f>
        <v>社會科學學士(社會工作)</v>
      </c>
      <c r="C59" s="50" t="s">
        <v>190</v>
      </c>
      <c r="D59" s="84">
        <f t="shared" si="15"/>
        <v>3.05E-9</v>
      </c>
      <c r="E59" s="84">
        <f t="shared" si="32"/>
        <v>1E-10</v>
      </c>
      <c r="F59" s="84">
        <f t="shared" si="33"/>
        <v>4.0000000000000001E-10</v>
      </c>
      <c r="G59" s="84">
        <f t="shared" si="27"/>
        <v>3E-10</v>
      </c>
      <c r="H59" s="84">
        <f t="shared" si="34"/>
        <v>4.0000000000000001E-10</v>
      </c>
      <c r="I59" s="84">
        <f t="shared" si="9"/>
        <v>5.0000000000000003E-10</v>
      </c>
      <c r="J59" s="84">
        <f t="shared" si="28"/>
        <v>6E-10</v>
      </c>
      <c r="K59" s="84">
        <f t="shared" si="29"/>
        <v>6.9999999999999996E-10</v>
      </c>
      <c r="L59" s="84">
        <f t="shared" si="30"/>
        <v>8.0000000000000003E-10</v>
      </c>
      <c r="M59" s="84">
        <f t="shared" si="31"/>
        <v>8.9999999999999999E-10</v>
      </c>
      <c r="N59" s="84">
        <f t="shared" si="35"/>
        <v>9.5000000000000003E-10</v>
      </c>
      <c r="Q59" s="129" t="s">
        <v>1287</v>
      </c>
      <c r="R59" s="129"/>
      <c r="S59" s="129"/>
      <c r="T59" s="259"/>
      <c r="U59" s="129"/>
      <c r="V59" s="129"/>
      <c r="W59" s="129"/>
      <c r="X59" s="129"/>
      <c r="Y59" s="149"/>
    </row>
    <row r="60" spans="1:25">
      <c r="A60" s="198" t="str">
        <f>CityU!A37</f>
        <v>JS1200</v>
      </c>
      <c r="B60" s="198" t="str">
        <f>CityU!C37</f>
        <v>環球精研與科創課程</v>
      </c>
      <c r="C60" s="50" t="s">
        <v>189</v>
      </c>
      <c r="D60" s="84">
        <f>LARGE(E60:M60,1)+LARGE(E60:M60,2)+LARGE(E60:M60,3)+LARGE(E60:M60,4)+LARGE(E60:M60,5)</f>
        <v>4.4000000000000005E-9</v>
      </c>
      <c r="E60" s="84">
        <f t="shared" si="32"/>
        <v>1E-10</v>
      </c>
      <c r="F60" s="84">
        <f t="shared" si="33"/>
        <v>4.0000000000000001E-10</v>
      </c>
      <c r="G60" s="84">
        <f>$G$3*2.5</f>
        <v>7.5E-10</v>
      </c>
      <c r="H60" s="84">
        <f t="shared" si="34"/>
        <v>4.0000000000000001E-10</v>
      </c>
      <c r="I60" s="84">
        <f>$I$3*2.5</f>
        <v>1.25E-9</v>
      </c>
      <c r="J60" s="84">
        <f>IF(OR(J1="化學",J1="生物",J1="物理",J1="經濟"),J3*2.5,J3)</f>
        <v>6E-10</v>
      </c>
      <c r="K60" s="84">
        <f>IF(OR(K1="化學",K1="生物",K1="物理",K1="經濟"),K3*2.5,K3)</f>
        <v>6.9999999999999996E-10</v>
      </c>
      <c r="L60" s="84">
        <f>IF(OR(L1="化學",L1="生物",L1="物理",L1="經濟"),L3*2.5,L3)</f>
        <v>8.0000000000000003E-10</v>
      </c>
      <c r="M60" s="84">
        <f>IF(OR(M1="化學",M1="生物",M1="物理",M1="經濟"),M3*2.5,M3)</f>
        <v>8.9999999999999999E-10</v>
      </c>
      <c r="N60" s="84">
        <f t="shared" si="35"/>
        <v>9.5000000000000003E-10</v>
      </c>
      <c r="Q60" s="129" t="s">
        <v>373</v>
      </c>
      <c r="R60" s="129" t="s">
        <v>374</v>
      </c>
      <c r="S60" s="129" t="s">
        <v>1288</v>
      </c>
      <c r="T60" s="259" t="s">
        <v>1290</v>
      </c>
      <c r="U60" s="129" t="s">
        <v>64</v>
      </c>
      <c r="V60" s="129" t="s">
        <v>1271</v>
      </c>
      <c r="W60" s="129"/>
      <c r="X60" s="129"/>
      <c r="Y60" s="149"/>
    </row>
    <row r="61" spans="1:25">
      <c r="A61" s="198" t="str">
        <f>CityU!A38</f>
        <v>JS1201</v>
      </c>
      <c r="B61" s="198" t="str">
        <f>CityU!C38</f>
        <v>建築學及土木工程學系 [選項: 工學士(建築工程)、工學士(土木工程)、理學士(測量學)]</v>
      </c>
      <c r="C61" s="50" t="s">
        <v>548</v>
      </c>
      <c r="D61" s="84">
        <f>LARGE(E61:M61,1)+LARGE(E61:M61,2)+LARGE(E61:M61,3)+LARGE(E61:M61,4)+LARGE(E61:M61,5)+LARGE(E61:M61,6)</f>
        <v>5.0000000000000001E-9</v>
      </c>
      <c r="E61" s="84">
        <f>$E$3*1.5</f>
        <v>1.5E-10</v>
      </c>
      <c r="F61" s="84">
        <f>$F$3*2.5</f>
        <v>5.0000000000000003E-10</v>
      </c>
      <c r="G61" s="84">
        <f>$G$3*2.5</f>
        <v>7.5E-10</v>
      </c>
      <c r="H61" s="84">
        <f t="shared" si="34"/>
        <v>4.0000000000000001E-10</v>
      </c>
      <c r="I61" s="84">
        <f>$I$3*2.5</f>
        <v>1.25E-9</v>
      </c>
      <c r="J61" s="84">
        <f>IF(OR(J1="物理",J1="組合科學(物理、化學)",J1="組合科學(物理、生物)",J1="綜合科學"),J3*2.5,J3)</f>
        <v>6E-10</v>
      </c>
      <c r="K61" s="84">
        <f>IF(OR(K1="物理",K1="組合科學(物理、化學)",K1="組合科學(物理、生物)",K1="綜合科學"),K3*2.5,K3)</f>
        <v>6.9999999999999996E-10</v>
      </c>
      <c r="L61" s="84">
        <f>IF(OR(L1="物理",L1="組合科學(物理、化學)",L1="組合科學(物理、生物)",L1="綜合科學"),L3*2.5,L3)</f>
        <v>8.0000000000000003E-10</v>
      </c>
      <c r="M61" s="84">
        <f>IF(OR(M1="物理",M1="組合科學(物理、化學)",M1="組合科學(物理、生物)",M1="綜合科學"),M3*2.5,M3)</f>
        <v>8.9999999999999999E-10</v>
      </c>
      <c r="N61" s="84">
        <f t="shared" si="35"/>
        <v>9.5000000000000003E-10</v>
      </c>
      <c r="Q61" s="149">
        <f>IF(OR(J1="化學",J1="生物",J1="經濟",J1="物理"),1,0)</f>
        <v>0</v>
      </c>
      <c r="R61" s="149">
        <f>IF(OR(K1="化學",K1="生物",K1="經濟",K1="物理"),1,0)</f>
        <v>0</v>
      </c>
      <c r="S61" s="149">
        <f>IF(OR(L1="化學",L1="生物",L1="經濟",L1="物理"),1,0)</f>
        <v>0</v>
      </c>
      <c r="T61" s="148">
        <f>IF(OR(M1="化學",M1="生物",M1="經濟",M1="物理"),1,0)</f>
        <v>0</v>
      </c>
      <c r="U61" s="149">
        <f>IF(I3&lt;1,0,1)</f>
        <v>0</v>
      </c>
      <c r="V61" s="149">
        <f>IF(SUM(Q61:U61)&gt;1,1,0)</f>
        <v>0</v>
      </c>
      <c r="W61" s="129"/>
      <c r="X61" s="129"/>
      <c r="Y61" s="149"/>
    </row>
    <row r="62" spans="1:25">
      <c r="A62" s="198" t="str">
        <f>CityU!A39</f>
        <v>JS1202</v>
      </c>
      <c r="B62" s="198" t="str">
        <f>CityU!C39</f>
        <v>理學士(化學)</v>
      </c>
      <c r="C62" s="376" t="s">
        <v>190</v>
      </c>
      <c r="D62" s="84">
        <f>SUM(E62:H62)+LARGE((I62:N62),1)+LARGE((I62:N62),2)</f>
        <v>3.1999999999999997E-9</v>
      </c>
      <c r="E62" s="84">
        <f t="shared" ref="E62:E74" si="36">$E$3</f>
        <v>1E-10</v>
      </c>
      <c r="F62" s="84">
        <f t="shared" ref="F62:F70" si="37">$F$3*2</f>
        <v>4.0000000000000001E-10</v>
      </c>
      <c r="G62" s="84">
        <f>$G$3*1.5</f>
        <v>4.5E-10</v>
      </c>
      <c r="H62" s="84">
        <f t="shared" si="34"/>
        <v>4.0000000000000001E-10</v>
      </c>
      <c r="I62" s="84">
        <f>$I$3</f>
        <v>5.0000000000000003E-10</v>
      </c>
      <c r="J62" s="198">
        <f>IF(J1="化學",J3*2,IF(OR(J1="組合科學(物理、化學)",J1="組合科學(生物、化學)"),J3*1.5,J3))</f>
        <v>6E-10</v>
      </c>
      <c r="K62" s="84">
        <f>IF(K1="化學",K3*2,IF(OR(K1="組合科學(物理、化學)",K1="組合科學(生物、化學)"),K3*1.5,K3))</f>
        <v>6.9999999999999996E-10</v>
      </c>
      <c r="L62" s="84">
        <f>IF(L1="化學",L3*2,IF(OR(L1="組合科學(物理、化學)",L1="組合科學(生物、化學)"),L3*1.5,L3))</f>
        <v>8.0000000000000003E-10</v>
      </c>
      <c r="M62" s="84">
        <f>IF(M1="化學",M3*2,IF(OR(M1="組合科學(物理、化學)",M1="組合科學(生物、化學)"),M3*1.5,M3))</f>
        <v>8.9999999999999999E-10</v>
      </c>
      <c r="N62" s="84">
        <f t="shared" si="35"/>
        <v>9.5000000000000003E-10</v>
      </c>
      <c r="Q62" s="129"/>
      <c r="R62" s="129"/>
      <c r="S62" s="129"/>
      <c r="T62" s="259"/>
      <c r="U62" s="129"/>
      <c r="V62" s="129"/>
      <c r="W62" s="129"/>
      <c r="X62" s="129"/>
      <c r="Y62" s="149"/>
    </row>
    <row r="63" spans="1:25">
      <c r="A63" s="198" t="str">
        <f>CityU!A40</f>
        <v>JS1204</v>
      </c>
      <c r="B63" s="198" t="str">
        <f>CityU!C40</f>
        <v>理學士(電腦科學)</v>
      </c>
      <c r="C63" s="250" t="s">
        <v>190</v>
      </c>
      <c r="D63" s="84">
        <f t="shared" si="15"/>
        <v>3.05E-9</v>
      </c>
      <c r="E63" s="84">
        <f t="shared" si="36"/>
        <v>1E-10</v>
      </c>
      <c r="F63" s="84">
        <f t="shared" si="37"/>
        <v>4.0000000000000001E-10</v>
      </c>
      <c r="G63" s="84">
        <f>$G$3</f>
        <v>3E-10</v>
      </c>
      <c r="H63" s="84">
        <f t="shared" si="34"/>
        <v>4.0000000000000001E-10</v>
      </c>
      <c r="I63" s="84">
        <f>$I$3</f>
        <v>5.0000000000000003E-10</v>
      </c>
      <c r="J63" s="84">
        <f>$J$3</f>
        <v>6E-10</v>
      </c>
      <c r="K63" s="84">
        <f>$K$3</f>
        <v>6.9999999999999996E-10</v>
      </c>
      <c r="L63" s="84">
        <f>$L$3</f>
        <v>8.0000000000000003E-10</v>
      </c>
      <c r="M63" s="84">
        <f>$M$3</f>
        <v>8.9999999999999999E-10</v>
      </c>
      <c r="N63" s="84">
        <f t="shared" si="35"/>
        <v>9.5000000000000003E-10</v>
      </c>
      <c r="Q63" s="129" t="s">
        <v>1291</v>
      </c>
      <c r="R63" s="129"/>
      <c r="S63" s="129"/>
      <c r="T63" s="259"/>
      <c r="U63" s="129"/>
      <c r="V63" s="129"/>
      <c r="W63" s="129"/>
      <c r="X63" s="129"/>
      <c r="Y63" s="149"/>
    </row>
    <row r="64" spans="1:25">
      <c r="A64" s="198" t="str">
        <f>CityU!A41</f>
        <v>JS1205</v>
      </c>
      <c r="B64" s="198" t="str">
        <f>CityU!C41</f>
        <v>電機工程學系 [選項: 工學士(電子計算機及數據工程學)、工學士(電子及電機工程學)、工學士(資訊工程學)]</v>
      </c>
      <c r="C64" s="376" t="s">
        <v>190</v>
      </c>
      <c r="D64" s="84">
        <f>SUM(E64:H64)+LARGE((I64:N64),1)+LARGE((I64:N64),2)</f>
        <v>3.4500000000000003E-9</v>
      </c>
      <c r="E64" s="84">
        <f t="shared" si="36"/>
        <v>1E-10</v>
      </c>
      <c r="F64" s="84">
        <f t="shared" si="37"/>
        <v>4.0000000000000001E-10</v>
      </c>
      <c r="G64" s="84">
        <f>$G$3*2</f>
        <v>6E-10</v>
      </c>
      <c r="H64" s="84">
        <f t="shared" si="34"/>
        <v>4.0000000000000001E-10</v>
      </c>
      <c r="I64" s="84">
        <f>$I$3*2</f>
        <v>1.0000000000000001E-9</v>
      </c>
      <c r="J64" s="198">
        <f>IF(OR(J1="組合科學(物理、化學)",J1="組合科學(物理、生物)",J1="物理",J1="資訊及通訊科技"),J3*2,IF(OR(J1="組合科學(生物、化學)",J1="生物",J1="化學",J1="綜合科學"),J3*1.5,J3))</f>
        <v>6E-10</v>
      </c>
      <c r="K64" s="84">
        <f>IF(OR(K1="組合科學(物理、化學)",K1="組合科學(物理、生物)",K1="物理",K1="資訊及通訊科技"),K3*2,IF(OR(K1="組合科學(生物、化學)",K1="生物",K1="化學",K1="綜合科學"),K3*1.5,K3))</f>
        <v>6.9999999999999996E-10</v>
      </c>
      <c r="L64" s="84">
        <f>IF(OR(L1="組合科學(物理、化學)",L1="組合科學(物理、生物)",L1="物理",L1="資訊及通訊科技"),L3*2,IF(OR(L1="組合科學(生物、化學)",L1="生物",L1="化學",L1="綜合科學"),L3*1.5,L3))</f>
        <v>8.0000000000000003E-10</v>
      </c>
      <c r="M64" s="84">
        <f>IF(OR(M1="組合科學(物理、化學)",M1="組合科學(物理、生物)",M1="物理",M1="資訊及通訊科技"),M3*2,IF(OR(M1="組合科學(生物、化學)",M1="生物",M1="化學",M1="綜合科學"),M3*1.5,M3))</f>
        <v>8.9999999999999999E-10</v>
      </c>
      <c r="N64" s="84">
        <f t="shared" si="35"/>
        <v>9.5000000000000003E-10</v>
      </c>
      <c r="Q64" s="129" t="s">
        <v>373</v>
      </c>
      <c r="R64" s="129" t="s">
        <v>374</v>
      </c>
      <c r="S64" s="129" t="s">
        <v>1288</v>
      </c>
      <c r="T64" s="259" t="s">
        <v>1289</v>
      </c>
      <c r="U64" s="129"/>
      <c r="V64" s="129" t="s">
        <v>1272</v>
      </c>
      <c r="W64" s="129"/>
      <c r="X64" s="129"/>
      <c r="Y64" s="149"/>
    </row>
    <row r="65" spans="1:25">
      <c r="A65" s="198" t="str">
        <f>CityU!A42</f>
        <v>JS1206</v>
      </c>
      <c r="B65" s="198" t="str">
        <f>CityU!C42</f>
        <v>理學士(計算數學)</v>
      </c>
      <c r="C65" s="376" t="s">
        <v>190</v>
      </c>
      <c r="D65" s="84">
        <f t="shared" si="15"/>
        <v>3.6E-9</v>
      </c>
      <c r="E65" s="84">
        <f t="shared" si="36"/>
        <v>1E-10</v>
      </c>
      <c r="F65" s="84">
        <f t="shared" si="37"/>
        <v>4.0000000000000001E-10</v>
      </c>
      <c r="G65" s="84">
        <f>$G$3*2.5</f>
        <v>7.5E-10</v>
      </c>
      <c r="H65" s="84">
        <f t="shared" si="34"/>
        <v>4.0000000000000001E-10</v>
      </c>
      <c r="I65" s="84">
        <f>$I$3*2</f>
        <v>1.0000000000000001E-9</v>
      </c>
      <c r="J65" s="198">
        <f>IF(OR(J1="物理",J1="化學",J1="組合科學(物理、化學)",J1="組合科學(生物、化學)",J1="組合科學(物理、生物)"),J3*1.5,J3)</f>
        <v>6E-10</v>
      </c>
      <c r="K65" s="84">
        <f>IF(OR(K1="物理",K1="化學",K1="組合科學(物理、化學)",K1="組合科學(生物、化學)",K1="組合科學(物理、生物)"),K3*1.5,K3)</f>
        <v>6.9999999999999996E-10</v>
      </c>
      <c r="L65" s="84">
        <f>IF(OR(L1="物理",L1="化學",L1="組合科學(物理、化學)",L1="組合科學(生物、化學)",L1="組合科學(物理、生物)"),L3*1.5,L3)</f>
        <v>8.0000000000000003E-10</v>
      </c>
      <c r="M65" s="84">
        <f>IF(OR(M1="物理",M1="化學",M1="組合科學(物理、化學)",M1="組合科學(生物、化學)",M1="組合科學(物理、生物)"),M3*1.5,M3)</f>
        <v>8.9999999999999999E-10</v>
      </c>
      <c r="N65" s="84">
        <f t="shared" si="35"/>
        <v>9.5000000000000003E-10</v>
      </c>
      <c r="Q65" s="149">
        <f>IF(OR(J1="物理",J1="組合科學(物理、化學)",J1="組合科學(物理、生物)",J1="綜合科學"),1,0)</f>
        <v>0</v>
      </c>
      <c r="R65" s="149">
        <f>IF(OR(K1="物理",K1="組合科學(物理、化學)",K1="組合科學(物理、生物)",K1="綜合科學"),1,0)</f>
        <v>0</v>
      </c>
      <c r="S65" s="149">
        <f>IF(OR(L1="物理",L1="組合科學(物理、化學)",L1="組合科學(物理、生物)",L1="綜合科學"),1,0)</f>
        <v>0</v>
      </c>
      <c r="T65" s="148">
        <f>IF(OR(M1="物理",M1="組合科學(物理、化學)",M1="組合科學(物理、生物)",M1="綜合科學"),1,0)</f>
        <v>0</v>
      </c>
      <c r="U65" s="149"/>
      <c r="V65" s="149">
        <f>IF(SUM(Q65:U65)&gt;0,1,0)</f>
        <v>0</v>
      </c>
      <c r="W65" s="129"/>
      <c r="X65" s="129"/>
      <c r="Y65" s="149"/>
    </row>
    <row r="66" spans="1:25">
      <c r="A66" s="198" t="str">
        <f>CityU!A43</f>
        <v>JS1207</v>
      </c>
      <c r="B66" s="198" t="str">
        <f>CityU!C43</f>
        <v>機械工程學系 [選項: 工學士(機械工程)、工學士(核子及風險工程)]</v>
      </c>
      <c r="C66" s="376" t="s">
        <v>190</v>
      </c>
      <c r="D66" s="84">
        <f>SUM(E66:H66)+LARGE((I66:N66),1)+LARGE((I66:N66),2)</f>
        <v>3.3500000000000002E-9</v>
      </c>
      <c r="E66" s="84">
        <f t="shared" si="36"/>
        <v>1E-10</v>
      </c>
      <c r="F66" s="84">
        <f t="shared" si="37"/>
        <v>4.0000000000000001E-10</v>
      </c>
      <c r="G66" s="84">
        <f>$G$3*2</f>
        <v>6E-10</v>
      </c>
      <c r="H66" s="84">
        <f t="shared" si="34"/>
        <v>4.0000000000000001E-10</v>
      </c>
      <c r="I66" s="84">
        <f>$I$3*1.5</f>
        <v>7.500000000000001E-10</v>
      </c>
      <c r="J66" s="198">
        <f>IF(J1="物理",J3*2,IF(OR(J1="化學",J1="組合科學(物理、化學)",J1="組合科學(生物、化學)",J1="組合科學(物理、生物)",J1="設計與生活"),J3*1.5,J3))</f>
        <v>6E-10</v>
      </c>
      <c r="K66" s="84">
        <f>IF(K1="物理",K3*2,IF(OR(K1="化學",K1="組合科學(物理、化學)",K1="組合科學(生物、化學)",K1="組合科學(物理、生物)",K1="設計與生活"),K3*1.5,K3))</f>
        <v>6.9999999999999996E-10</v>
      </c>
      <c r="L66" s="84">
        <f>IF(L1="物理",L3*2,IF(OR(L1="化學",L1="組合科學(物理、化學)",L1="組合科學(生物、化學)",L1="組合科學(物理、生物)",L1="設計與生活"),L3*1.5,L3))</f>
        <v>8.0000000000000003E-10</v>
      </c>
      <c r="M66" s="84">
        <f>IF(M1="物理",M3*2,IF(OR(M1="化學",M1="組合科學(物理、化學)",M1="組合科學(生物、化學)",M1="組合科學(物理、生物)",M1="設計與生活"),M3*1.5,M3))</f>
        <v>8.9999999999999999E-10</v>
      </c>
      <c r="N66" s="84">
        <f t="shared" si="35"/>
        <v>9.5000000000000003E-10</v>
      </c>
      <c r="Q66" s="129"/>
      <c r="R66" s="129"/>
      <c r="S66" s="129"/>
      <c r="T66" s="259"/>
      <c r="U66" s="129"/>
      <c r="V66" s="129"/>
      <c r="W66" s="129"/>
      <c r="X66" s="129"/>
    </row>
    <row r="67" spans="1:25">
      <c r="A67" s="198" t="str">
        <f>CityU!A44</f>
        <v>JS1208</v>
      </c>
      <c r="B67" s="198" t="str">
        <f>CityU!C44</f>
        <v>理學士(物理學)</v>
      </c>
      <c r="C67" s="376" t="s">
        <v>190</v>
      </c>
      <c r="D67" s="84">
        <f t="shared" si="15"/>
        <v>3.1249999999999999E-9</v>
      </c>
      <c r="E67" s="84">
        <f t="shared" si="36"/>
        <v>1E-10</v>
      </c>
      <c r="F67" s="84">
        <f t="shared" si="37"/>
        <v>4.0000000000000001E-10</v>
      </c>
      <c r="G67" s="84">
        <f>$G$3*1.25</f>
        <v>3.75E-10</v>
      </c>
      <c r="H67" s="84">
        <f t="shared" si="34"/>
        <v>4.0000000000000001E-10</v>
      </c>
      <c r="I67" s="84">
        <f>$I$3*1.5</f>
        <v>7.500000000000001E-10</v>
      </c>
      <c r="J67" s="198">
        <f>IF(J1="物理",J3*2,J3)</f>
        <v>6E-10</v>
      </c>
      <c r="K67" s="84">
        <f>IF(K1="物理",K3*2,K3)</f>
        <v>6.9999999999999996E-10</v>
      </c>
      <c r="L67" s="84">
        <f>IF(L1="物理",L3*2,L3)</f>
        <v>8.0000000000000003E-10</v>
      </c>
      <c r="M67" s="84">
        <f>IF(M1="物理",M3*2,M3)</f>
        <v>8.9999999999999999E-10</v>
      </c>
      <c r="N67" s="84">
        <f t="shared" si="35"/>
        <v>9.5000000000000003E-10</v>
      </c>
    </row>
    <row r="68" spans="1:25">
      <c r="A68" s="198" t="str">
        <f>CityU!A45</f>
        <v>JS1210</v>
      </c>
      <c r="B68" s="198" t="str">
        <f>CityU!C45</f>
        <v>工學士(材料科學及工程)</v>
      </c>
      <c r="C68" s="376" t="s">
        <v>190</v>
      </c>
      <c r="D68" s="84">
        <f t="shared" si="15"/>
        <v>3.05E-9</v>
      </c>
      <c r="E68" s="84">
        <f t="shared" si="36"/>
        <v>1E-10</v>
      </c>
      <c r="F68" s="84">
        <f t="shared" si="37"/>
        <v>4.0000000000000001E-10</v>
      </c>
      <c r="G68" s="84">
        <f>$G$3</f>
        <v>3E-10</v>
      </c>
      <c r="H68" s="84">
        <f t="shared" si="34"/>
        <v>4.0000000000000001E-10</v>
      </c>
      <c r="I68" s="84">
        <f>$I$3*1.5</f>
        <v>7.500000000000001E-10</v>
      </c>
      <c r="J68" s="198">
        <f>IF(J1="物理",J3*2,IF(J1="化學",J3*1.5,J3))</f>
        <v>6E-10</v>
      </c>
      <c r="K68" s="84">
        <f>IF(K1="物理",K3*2,IF(K1="化學",K3*1.5,K3))</f>
        <v>6.9999999999999996E-10</v>
      </c>
      <c r="L68" s="84">
        <f>IF(L1="物理",L3*2,IF(L1="化學",L3*1.5,L3))</f>
        <v>8.0000000000000003E-10</v>
      </c>
      <c r="M68" s="84">
        <f>IF(M1="物理",M3*2,IF(M1="化學",M3*1.5,M3))</f>
        <v>8.9999999999999999E-10</v>
      </c>
      <c r="N68" s="84">
        <f t="shared" si="35"/>
        <v>9.5000000000000003E-10</v>
      </c>
    </row>
    <row r="69" spans="1:25">
      <c r="A69" s="198" t="str">
        <f>CityU!A46</f>
        <v>JS1211</v>
      </c>
      <c r="B69" s="198" t="str">
        <f>CityU!C46</f>
        <v>工學士(生物醫學工程)</v>
      </c>
      <c r="C69" s="376" t="s">
        <v>190</v>
      </c>
      <c r="D69" s="84">
        <f t="shared" si="15"/>
        <v>3.3500000000000002E-9</v>
      </c>
      <c r="E69" s="84">
        <f t="shared" si="36"/>
        <v>1E-10</v>
      </c>
      <c r="F69" s="84">
        <f t="shared" si="37"/>
        <v>4.0000000000000001E-10</v>
      </c>
      <c r="G69" s="84">
        <f>$G$3*2</f>
        <v>6E-10</v>
      </c>
      <c r="H69" s="84">
        <f t="shared" si="34"/>
        <v>4.0000000000000001E-10</v>
      </c>
      <c r="I69" s="84">
        <f>$I$3</f>
        <v>5.0000000000000003E-10</v>
      </c>
      <c r="J69" s="198">
        <f>IF(OR(J1="物理",J1="化學",J1="生物",J1="組合科學(物理、化學)",J1="組合科學(生物、化學)",J1="組合科學(物理、生物)"),J3*2,J3)</f>
        <v>6E-10</v>
      </c>
      <c r="K69" s="84">
        <f>IF(OR(K1="物理",K1="化學",K1="生物",K1="組合科學(物理、化學)",K1="組合科學(生物、化學)",K1="組合科學(物理、生物)"),K3*2,K3)</f>
        <v>6.9999999999999996E-10</v>
      </c>
      <c r="L69" s="84">
        <f>IF(OR(L1="物理",L1="化學",L1="生物",L1="組合科學(物理、化學)",L1="組合科學(生物、化學)",L1="組合科學(物理、生物)"),L3*2,L3)</f>
        <v>8.0000000000000003E-10</v>
      </c>
      <c r="M69" s="84">
        <f>IF(OR(M1="物理",M1="化學",M1="生物",M1="組合科學(物理、化學)",M1="組合科學(生物、化學)",M1="組合科學(物理、生物)"),M3*2,M3)</f>
        <v>8.9999999999999999E-10</v>
      </c>
      <c r="N69" s="84">
        <f t="shared" si="35"/>
        <v>9.5000000000000003E-10</v>
      </c>
    </row>
    <row r="70" spans="1:25" s="198" customFormat="1">
      <c r="A70" s="198" t="str">
        <f>CityU!A47</f>
        <v>JS1216</v>
      </c>
      <c r="B70" s="198" t="str">
        <f>CityU!C47</f>
        <v>工學士(智能製造工程學)</v>
      </c>
      <c r="C70" s="50" t="s">
        <v>189</v>
      </c>
      <c r="D70" s="198">
        <f>LARGE(E70:M70,1)+LARGE(E70:M70,2)+LARGE(E70:M70,3)+LARGE(E70:M70,4)+LARGE(E70:M70,5)</f>
        <v>4.0000000000000002E-9</v>
      </c>
      <c r="E70" s="198">
        <f t="shared" si="36"/>
        <v>1E-10</v>
      </c>
      <c r="F70" s="198">
        <f t="shared" si="37"/>
        <v>4.0000000000000001E-10</v>
      </c>
      <c r="G70" s="198">
        <f>$G$3*2</f>
        <v>6E-10</v>
      </c>
      <c r="H70" s="198">
        <f t="shared" si="34"/>
        <v>4.0000000000000001E-10</v>
      </c>
      <c r="I70" s="198">
        <f>$I$3*2</f>
        <v>1.0000000000000001E-9</v>
      </c>
      <c r="J70" s="198">
        <f>IF(OR(J1="資訊及通訊科技",J1="物理"),J3*2,IF(OR(J1="組合科學(物理、化學)",J1="組合科學(物理、生物)",J1="化學",J1="科技與生活"),J3*1.5,J3))</f>
        <v>6E-10</v>
      </c>
      <c r="K70" s="198">
        <f>IF(OR(K1="資訊及通訊科技",K1="物理"),K3*2,IF(OR(K1="組合科學(物理、化學)",K1="組合科學(物理、生物)",K1="化學",K1="科技與生活"),K3*1.5,K3))</f>
        <v>6.9999999999999996E-10</v>
      </c>
      <c r="L70" s="198">
        <f>IF(OR(L1="資訊及通訊科技",L1="物理"),L3*2,IF(OR(L1="組合科學(物理、化學)",L1="組合科學(物理、生物)",L1="化學",L1="科技與生活"),L3*1.5,L3))</f>
        <v>8.0000000000000003E-10</v>
      </c>
      <c r="M70" s="198">
        <f>IF(OR(M1="資訊及通訊科技",M1="物理"),M3*2,IF(OR(M1="組合科學(物理、化學)",M1="組合科學(物理、生物)",M1="化學",M1="科技與生活"),M3*1.5,M3))</f>
        <v>8.9999999999999999E-10</v>
      </c>
      <c r="N70" s="198">
        <f t="shared" si="35"/>
        <v>9.5000000000000003E-10</v>
      </c>
      <c r="T70" s="200"/>
    </row>
    <row r="71" spans="1:25">
      <c r="A71" s="198" t="str">
        <f>CityU!A48</f>
        <v>JS1801</v>
      </c>
      <c r="B71" s="198" t="str">
        <f>CityU!C48</f>
        <v>獸醫學學士</v>
      </c>
      <c r="C71" s="376" t="s">
        <v>190</v>
      </c>
      <c r="D71" s="84">
        <f>SUM(E71:H71)+LARGE((J71:M71),1)+LARGE((J71:M71),2)</f>
        <v>2.7000000000000002E-9</v>
      </c>
      <c r="E71" s="84">
        <f t="shared" si="36"/>
        <v>1E-10</v>
      </c>
      <c r="F71" s="84">
        <f>$F$3</f>
        <v>2.0000000000000001E-10</v>
      </c>
      <c r="G71" s="84">
        <f>$G$3</f>
        <v>3E-10</v>
      </c>
      <c r="H71" s="84">
        <f t="shared" si="34"/>
        <v>4.0000000000000001E-10</v>
      </c>
      <c r="I71" s="84">
        <f>$I$3</f>
        <v>5.0000000000000003E-10</v>
      </c>
      <c r="J71" s="84">
        <f>$J$3</f>
        <v>6E-10</v>
      </c>
      <c r="K71" s="84">
        <f>$K$3</f>
        <v>6.9999999999999996E-10</v>
      </c>
      <c r="L71" s="84">
        <f>$L$3</f>
        <v>8.0000000000000003E-10</v>
      </c>
      <c r="M71" s="84">
        <f>$M$3</f>
        <v>8.9999999999999999E-10</v>
      </c>
      <c r="N71" s="84">
        <f t="shared" si="35"/>
        <v>9.5000000000000003E-10</v>
      </c>
      <c r="Q71" s="129" t="s">
        <v>2011</v>
      </c>
      <c r="R71" s="129"/>
      <c r="S71" s="129"/>
      <c r="T71" s="259"/>
      <c r="U71" s="129"/>
    </row>
    <row r="72" spans="1:25">
      <c r="A72" s="198" t="str">
        <f>CityU!A49</f>
        <v>JS1805</v>
      </c>
      <c r="B72" s="198" t="str">
        <f>CityU!C49</f>
        <v>生物醫學系 [選項: 理學士(生物科學)、理學士(生物醫學)]</v>
      </c>
      <c r="C72" s="50" t="s">
        <v>190</v>
      </c>
      <c r="D72" s="84">
        <f>SUM(E72:H72)+LARGE((I72:M72),1)+LARGE((I72:M72),2)</f>
        <v>3.0500000000000004E-9</v>
      </c>
      <c r="E72" s="84">
        <f t="shared" si="36"/>
        <v>1E-10</v>
      </c>
      <c r="F72" s="84">
        <f>$F$3*2</f>
        <v>4.0000000000000001E-10</v>
      </c>
      <c r="G72" s="84">
        <f>$G$3*1.5</f>
        <v>4.5E-10</v>
      </c>
      <c r="H72" s="84">
        <f t="shared" si="34"/>
        <v>4.0000000000000001E-10</v>
      </c>
      <c r="I72" s="84">
        <f>$I$3*1.5</f>
        <v>7.500000000000001E-10</v>
      </c>
      <c r="J72" s="198">
        <f>IF(OR(J1="化學",J1="生物",J1="組合科學(物理、化學)",J1="組合科學(生物、化學)",J1="組合科學(物理、生物)"),J3*2,IF(OR(J1="企業、會計與財務概論",J1="資訊及通訊科技",J1="科技與生活",J1="綜合科學",J1="物理"),J3*1.5,J3))</f>
        <v>6E-10</v>
      </c>
      <c r="K72" s="84">
        <f>IF(OR(K1="化學",K1="生物",K1="組合科學(物理、化學)",K1="組合科學(生物、化學)",K1="組合科學(物理、生物)"),K3*2,IF(OR(K1="企業、會計與財務概論",K1="資訊及通訊科技",K1="科技與生活",K1="綜合科學",K1="物理"),K3*1.5,K3))</f>
        <v>6.9999999999999996E-10</v>
      </c>
      <c r="L72" s="84">
        <f>IF(OR(L1="化學",L1="生物",L1="組合科學(物理、化學)",L1="組合科學(生物、化學)",L1="組合科學(物理、生物)"),L3*2,IF(OR(L1="企業、會計與財務概論",L1="資訊及通訊科技",L1="科技與生活",L1="綜合科學",L1="物理"),L3*1.5,L3))</f>
        <v>8.0000000000000003E-10</v>
      </c>
      <c r="M72" s="84">
        <f>IF(OR(M1="化學",M1="生物",M1="組合科學(物理、化學)",M1="組合科學(生物、化學)",M1="組合科學(物理、生物)"),M3*2,IF(OR(M1="企業、會計與財務概論",M1="資訊及通訊科技",M1="科技與生活",M1="綜合科學",M1="物理"),M3*1.5,M3))</f>
        <v>8.9999999999999999E-10</v>
      </c>
      <c r="N72" s="84">
        <f t="shared" si="35"/>
        <v>9.5000000000000003E-10</v>
      </c>
      <c r="Q72" s="129" t="s">
        <v>11</v>
      </c>
      <c r="R72" s="149">
        <f>IF(OR(J1="化學",K1="化學",L1="化學",M1="化學"),1,0)</f>
        <v>0</v>
      </c>
      <c r="S72" s="129" t="s">
        <v>2012</v>
      </c>
      <c r="T72" s="149">
        <f>R72*R73</f>
        <v>0</v>
      </c>
      <c r="U72" s="129"/>
    </row>
    <row r="73" spans="1:25">
      <c r="A73" s="198" t="str">
        <f>CityU!A50</f>
        <v>JS1806</v>
      </c>
      <c r="B73" s="198" t="str">
        <f>CityU!C50</f>
        <v>理學士(生物科學)</v>
      </c>
      <c r="C73" s="50" t="s">
        <v>190</v>
      </c>
      <c r="D73" s="84">
        <f>SUM(E73:H73)+LARGE((I73:M73),1)+LARGE((I73:M73),2)</f>
        <v>3.0500000000000004E-9</v>
      </c>
      <c r="E73" s="84">
        <f t="shared" si="36"/>
        <v>1E-10</v>
      </c>
      <c r="F73" s="84">
        <f>$F$3*2</f>
        <v>4.0000000000000001E-10</v>
      </c>
      <c r="G73" s="84">
        <f>$G$3*1.5</f>
        <v>4.5E-10</v>
      </c>
      <c r="H73" s="84">
        <f t="shared" si="34"/>
        <v>4.0000000000000001E-10</v>
      </c>
      <c r="I73" s="84">
        <f>$I$3*1.5</f>
        <v>7.500000000000001E-10</v>
      </c>
      <c r="J73" s="198">
        <f>IF(OR(J1="化學",J1="生物",J1="組合科學(物理、化學)",J1="組合科學(生物、化學)",J1="組合科學(物理、生物)"),J3*2,IF(OR(J1="企業、會計與財務概論",J1="資訊及通訊科技",J1="科技與生活",J1="綜合科學",J1="物理"),J3*1.5,J3))</f>
        <v>6E-10</v>
      </c>
      <c r="K73" s="84">
        <f>IF(OR(K1="化學",K1="生物",K1="組合科學(物理、化學)",K1="組合科學(生物、化學)",K1="組合科學(物理、生物)"),K3*2,IF(OR(K1="企業、會計與財務概論",K1="資訊及通訊科技",K1="科技與生活",K1="綜合科學",K1="物理"),K3*1.5,K3))</f>
        <v>6.9999999999999996E-10</v>
      </c>
      <c r="L73" s="84">
        <f>IF(OR(L1="化學",L1="生物",L1="組合科學(物理、化學)",L1="組合科學(生物、化學)",L1="組合科學(物理、生物)"),L3*2,IF(OR(L1="企業、會計與財務概論",L1="資訊及通訊科技",L1="科技與生活",L1="綜合科學",L1="物理"),L3*1.5,L3))</f>
        <v>8.0000000000000003E-10</v>
      </c>
      <c r="M73" s="84">
        <f>IF(OR(M1="化學",M1="生物",M1="組合科學(物理、化學)",M1="組合科學(生物、化學)",M1="組合科學(物理、生物)"),M3*2,IF(OR(M1="企業、會計與財務概論",M1="資訊及通訊科技",M1="科技與生活",M1="綜合科學",M1="物理"),M3*1.5,M3))</f>
        <v>8.9999999999999999E-10</v>
      </c>
      <c r="N73" s="84">
        <f t="shared" si="35"/>
        <v>9.5000000000000003E-10</v>
      </c>
      <c r="Q73" s="129" t="s">
        <v>8</v>
      </c>
      <c r="R73" s="149">
        <f>IF(OR(K1="生物",L1="生物",M1="生物",N1="生物"),1,0)</f>
        <v>0</v>
      </c>
      <c r="S73" s="129"/>
      <c r="T73" s="259"/>
      <c r="U73" s="129"/>
    </row>
    <row r="74" spans="1:25">
      <c r="A74" s="198" t="str">
        <f>CityU!A51</f>
        <v>JS1807</v>
      </c>
      <c r="B74" s="198" t="str">
        <f>CityU!C51</f>
        <v>理學士(生物醫學)</v>
      </c>
      <c r="C74" s="50" t="s">
        <v>190</v>
      </c>
      <c r="D74" s="84">
        <f>SUM(E74:H74)+LARGE((I74:M74),1)+LARGE((I74:M74),2)</f>
        <v>3.0500000000000004E-9</v>
      </c>
      <c r="E74" s="84">
        <f t="shared" si="36"/>
        <v>1E-10</v>
      </c>
      <c r="F74" s="84">
        <f>$F$3*2</f>
        <v>4.0000000000000001E-10</v>
      </c>
      <c r="G74" s="84">
        <f>$G$3*1.5</f>
        <v>4.5E-10</v>
      </c>
      <c r="H74" s="84">
        <f t="shared" si="34"/>
        <v>4.0000000000000001E-10</v>
      </c>
      <c r="I74" s="84">
        <f>$I$3*1.5</f>
        <v>7.500000000000001E-10</v>
      </c>
      <c r="J74" s="198">
        <f>IF(OR(J1="化學",J1="生物",J1="組合科學(物理、化學)",J1="組合科學(生物、化學)",J1="組合科學(物理、生物)"),J3*2,IF(OR(J1="企業、會計與財務概論",J1="資訊及通訊科技",J1="科技與生活",J1="綜合科學",J1="物理"),J3*1.5,J3))</f>
        <v>6E-10</v>
      </c>
      <c r="K74" s="84">
        <f>IF(OR(K1="化學",K1="生物",K1="組合科學(物理、化學)",K1="組合科學(生物、化學)",K1="組合科學(物理、生物)"),K3*2,IF(OR(K1="企業、會計與財務概論",K1="資訊及通訊科技",K1="科技與生活",K1="綜合科學",K1="物理"),K3*1.5,K3))</f>
        <v>6.9999999999999996E-10</v>
      </c>
      <c r="L74" s="84">
        <f>IF(OR(L1="化學",L1="生物",L1="組合科學(物理、化學)",L1="組合科學(生物、化學)",L1="組合科學(物理、生物)"),L3*2,IF(OR(L1="企業、會計與財務概論",L1="資訊及通訊科技",L1="科技與生活",L1="綜合科學",L1="物理"),L3*1.5,L3))</f>
        <v>8.0000000000000003E-10</v>
      </c>
      <c r="M74" s="84">
        <f>IF(OR(M1="化學",M1="生物",M1="組合科學(物理、化學)",M1="組合科學(生物、化學)",M1="組合科學(物理、生物)"),M3*2,IF(OR(M1="企業、會計與財務概論",M1="資訊及通訊科技",M1="科技與生活",M1="綜合科學",M1="物理"),M3*1.5,M3))</f>
        <v>8.9999999999999999E-10</v>
      </c>
      <c r="N74" s="84">
        <f t="shared" si="35"/>
        <v>9.5000000000000003E-10</v>
      </c>
      <c r="P74" s="95"/>
      <c r="Q74" s="129"/>
      <c r="R74" s="129"/>
      <c r="S74" s="129"/>
      <c r="T74" s="259"/>
      <c r="U74" s="129"/>
    </row>
    <row r="75" spans="1:25">
      <c r="P75" s="95"/>
    </row>
    <row r="76" spans="1:25">
      <c r="A76" s="111" t="s">
        <v>976</v>
      </c>
      <c r="B76" s="112"/>
      <c r="C76" s="113"/>
      <c r="D76" s="112" t="str">
        <f t="shared" ref="D76:N76" si="38">D1</f>
        <v>總分</v>
      </c>
      <c r="E76" s="112" t="str">
        <f t="shared" si="38"/>
        <v>中國語文</v>
      </c>
      <c r="F76" s="112" t="str">
        <f t="shared" si="38"/>
        <v>英國語文</v>
      </c>
      <c r="G76" s="112" t="str">
        <f t="shared" si="38"/>
        <v>數學</v>
      </c>
      <c r="H76" s="112" t="str">
        <f t="shared" si="38"/>
        <v>通識教育</v>
      </c>
      <c r="I76" s="112" t="str">
        <f t="shared" si="38"/>
        <v>數學延伸</v>
      </c>
      <c r="J76" s="112" t="str">
        <f t="shared" si="38"/>
        <v>請選擇第一選修科</v>
      </c>
      <c r="K76" s="112" t="str">
        <f t="shared" si="38"/>
        <v>請選擇第二選修科</v>
      </c>
      <c r="L76" s="112" t="str">
        <f t="shared" si="38"/>
        <v>請選擇第三選修科</v>
      </c>
      <c r="M76" s="112" t="str">
        <f t="shared" si="38"/>
        <v>請選擇第四選修科</v>
      </c>
      <c r="N76" s="112" t="str">
        <f t="shared" si="38"/>
        <v>請選擇語言科目</v>
      </c>
    </row>
    <row r="77" spans="1:25">
      <c r="A77" s="88" t="s">
        <v>893</v>
      </c>
      <c r="B77" s="89" t="s">
        <v>215</v>
      </c>
      <c r="C77" s="65" t="s">
        <v>190</v>
      </c>
      <c r="D77" s="84">
        <f>SUM(E77:H77)+LARGE((I77:N77),1)+LARGE((I77:N77),2)</f>
        <v>2.8499999999999999E-9</v>
      </c>
      <c r="E77" s="84">
        <f t="shared" ref="E77:N77" si="39">E4</f>
        <v>1E-10</v>
      </c>
      <c r="F77" s="84">
        <f t="shared" si="39"/>
        <v>2.0000000000000001E-10</v>
      </c>
      <c r="G77" s="84">
        <f t="shared" si="39"/>
        <v>3E-10</v>
      </c>
      <c r="H77" s="84">
        <f t="shared" si="39"/>
        <v>4.0000000000000001E-10</v>
      </c>
      <c r="I77" s="84">
        <f t="shared" si="39"/>
        <v>5.0000000000000003E-10</v>
      </c>
      <c r="J77" s="84">
        <f t="shared" si="39"/>
        <v>6E-10</v>
      </c>
      <c r="K77" s="84">
        <f t="shared" si="39"/>
        <v>6.9999999999999996E-10</v>
      </c>
      <c r="L77" s="84">
        <f t="shared" si="39"/>
        <v>8.0000000000000003E-10</v>
      </c>
      <c r="M77" s="84">
        <f t="shared" si="39"/>
        <v>8.9999999999999999E-10</v>
      </c>
      <c r="N77" s="84">
        <f t="shared" si="39"/>
        <v>9.5000000000000003E-10</v>
      </c>
    </row>
    <row r="78" spans="1:25">
      <c r="A78" s="84" t="s">
        <v>894</v>
      </c>
      <c r="B78" s="85" t="s">
        <v>922</v>
      </c>
      <c r="C78" s="103" t="s">
        <v>195</v>
      </c>
      <c r="D78" s="84">
        <f>SUM(E78:H78)+LARGE((I78:N78),1)+LARGE((I78:N78),2)</f>
        <v>2.8499999999999999E-9</v>
      </c>
      <c r="E78" s="84">
        <f t="shared" ref="E78:N78" si="40">E4</f>
        <v>1E-10</v>
      </c>
      <c r="F78" s="84">
        <f t="shared" si="40"/>
        <v>2.0000000000000001E-10</v>
      </c>
      <c r="G78" s="84">
        <f t="shared" si="40"/>
        <v>3E-10</v>
      </c>
      <c r="H78" s="84">
        <f t="shared" si="40"/>
        <v>4.0000000000000001E-10</v>
      </c>
      <c r="I78" s="84">
        <f t="shared" si="40"/>
        <v>5.0000000000000003E-10</v>
      </c>
      <c r="J78" s="84">
        <f t="shared" si="40"/>
        <v>6E-10</v>
      </c>
      <c r="K78" s="84">
        <f t="shared" si="40"/>
        <v>6.9999999999999996E-10</v>
      </c>
      <c r="L78" s="84">
        <f t="shared" si="40"/>
        <v>8.0000000000000003E-10</v>
      </c>
      <c r="M78" s="84">
        <f t="shared" si="40"/>
        <v>8.9999999999999999E-10</v>
      </c>
      <c r="N78" s="84">
        <f t="shared" si="40"/>
        <v>9.5000000000000003E-10</v>
      </c>
    </row>
    <row r="79" spans="1:25">
      <c r="A79" s="84" t="s">
        <v>895</v>
      </c>
      <c r="B79" s="85" t="s">
        <v>924</v>
      </c>
      <c r="C79" s="103" t="s">
        <v>195</v>
      </c>
      <c r="D79" s="84">
        <f>SUM(E79:H79)+LARGE((I79:N79),1)+LARGE((I79:N79),2)</f>
        <v>2.8499999999999999E-9</v>
      </c>
      <c r="E79" s="84">
        <f t="shared" ref="E79:N79" si="41">E4</f>
        <v>1E-10</v>
      </c>
      <c r="F79" s="84">
        <f t="shared" si="41"/>
        <v>2.0000000000000001E-10</v>
      </c>
      <c r="G79" s="84">
        <f t="shared" si="41"/>
        <v>3E-10</v>
      </c>
      <c r="H79" s="84">
        <f t="shared" si="41"/>
        <v>4.0000000000000001E-10</v>
      </c>
      <c r="I79" s="84">
        <f t="shared" si="41"/>
        <v>5.0000000000000003E-10</v>
      </c>
      <c r="J79" s="84">
        <f t="shared" si="41"/>
        <v>6E-10</v>
      </c>
      <c r="K79" s="84">
        <f t="shared" si="41"/>
        <v>6.9999999999999996E-10</v>
      </c>
      <c r="L79" s="84">
        <f t="shared" si="41"/>
        <v>8.0000000000000003E-10</v>
      </c>
      <c r="M79" s="84">
        <f t="shared" si="41"/>
        <v>8.9999999999999999E-10</v>
      </c>
      <c r="N79" s="84">
        <f t="shared" si="41"/>
        <v>9.5000000000000003E-10</v>
      </c>
    </row>
    <row r="80" spans="1:25">
      <c r="A80" s="84" t="s">
        <v>896</v>
      </c>
      <c r="B80" s="85" t="s">
        <v>926</v>
      </c>
      <c r="C80" s="103" t="s">
        <v>195</v>
      </c>
      <c r="D80" s="84">
        <f t="shared" ref="D80:D86" si="42">SUM(E80:H80)+LARGE((I80:N80),1)+LARGE((I80:N80),2)</f>
        <v>2.8499999999999999E-9</v>
      </c>
      <c r="E80" s="84">
        <f t="shared" ref="E80:N80" si="43">E4</f>
        <v>1E-10</v>
      </c>
      <c r="F80" s="84">
        <f t="shared" si="43"/>
        <v>2.0000000000000001E-10</v>
      </c>
      <c r="G80" s="84">
        <f t="shared" si="43"/>
        <v>3E-10</v>
      </c>
      <c r="H80" s="84">
        <f t="shared" si="43"/>
        <v>4.0000000000000001E-10</v>
      </c>
      <c r="I80" s="84">
        <f t="shared" si="43"/>
        <v>5.0000000000000003E-10</v>
      </c>
      <c r="J80" s="84">
        <f t="shared" si="43"/>
        <v>6E-10</v>
      </c>
      <c r="K80" s="84">
        <f t="shared" si="43"/>
        <v>6.9999999999999996E-10</v>
      </c>
      <c r="L80" s="84">
        <f t="shared" si="43"/>
        <v>8.0000000000000003E-10</v>
      </c>
      <c r="M80" s="84">
        <f t="shared" si="43"/>
        <v>8.9999999999999999E-10</v>
      </c>
      <c r="N80" s="84">
        <f t="shared" si="43"/>
        <v>9.5000000000000003E-10</v>
      </c>
    </row>
    <row r="81" spans="1:14">
      <c r="A81" s="84" t="s">
        <v>897</v>
      </c>
      <c r="B81" s="85" t="s">
        <v>928</v>
      </c>
      <c r="C81" s="103" t="s">
        <v>195</v>
      </c>
      <c r="D81" s="84">
        <f t="shared" si="42"/>
        <v>2.8499999999999999E-9</v>
      </c>
      <c r="E81" s="84">
        <f t="shared" ref="E81:N81" si="44">E4</f>
        <v>1E-10</v>
      </c>
      <c r="F81" s="84">
        <f t="shared" si="44"/>
        <v>2.0000000000000001E-10</v>
      </c>
      <c r="G81" s="84">
        <f t="shared" si="44"/>
        <v>3E-10</v>
      </c>
      <c r="H81" s="84">
        <f t="shared" si="44"/>
        <v>4.0000000000000001E-10</v>
      </c>
      <c r="I81" s="84">
        <f t="shared" si="44"/>
        <v>5.0000000000000003E-10</v>
      </c>
      <c r="J81" s="84">
        <f t="shared" si="44"/>
        <v>6E-10</v>
      </c>
      <c r="K81" s="84">
        <f t="shared" si="44"/>
        <v>6.9999999999999996E-10</v>
      </c>
      <c r="L81" s="84">
        <f t="shared" si="44"/>
        <v>8.0000000000000003E-10</v>
      </c>
      <c r="M81" s="84">
        <f t="shared" si="44"/>
        <v>8.9999999999999999E-10</v>
      </c>
      <c r="N81" s="84">
        <f t="shared" si="44"/>
        <v>9.5000000000000003E-10</v>
      </c>
    </row>
    <row r="82" spans="1:14">
      <c r="A82" s="84" t="s">
        <v>898</v>
      </c>
      <c r="B82" s="85" t="s">
        <v>930</v>
      </c>
      <c r="C82" s="103" t="s">
        <v>195</v>
      </c>
      <c r="D82" s="84">
        <f>SUM(E82:H82)+LARGE((I82:N82),1)+LARGE((I82:N82),2)</f>
        <v>2.8499999999999999E-9</v>
      </c>
      <c r="E82" s="84">
        <f t="shared" ref="E82:N82" si="45">E4</f>
        <v>1E-10</v>
      </c>
      <c r="F82" s="84">
        <f t="shared" si="45"/>
        <v>2.0000000000000001E-10</v>
      </c>
      <c r="G82" s="84">
        <f t="shared" si="45"/>
        <v>3E-10</v>
      </c>
      <c r="H82" s="84">
        <f t="shared" si="45"/>
        <v>4.0000000000000001E-10</v>
      </c>
      <c r="I82" s="84">
        <f t="shared" si="45"/>
        <v>5.0000000000000003E-10</v>
      </c>
      <c r="J82" s="84">
        <f t="shared" si="45"/>
        <v>6E-10</v>
      </c>
      <c r="K82" s="84">
        <f t="shared" si="45"/>
        <v>6.9999999999999996E-10</v>
      </c>
      <c r="L82" s="84">
        <f t="shared" si="45"/>
        <v>8.0000000000000003E-10</v>
      </c>
      <c r="M82" s="84">
        <f t="shared" si="45"/>
        <v>8.9999999999999999E-10</v>
      </c>
      <c r="N82" s="84">
        <f t="shared" si="45"/>
        <v>9.5000000000000003E-10</v>
      </c>
    </row>
    <row r="83" spans="1:14">
      <c r="A83" s="84" t="s">
        <v>899</v>
      </c>
      <c r="B83" s="85" t="s">
        <v>932</v>
      </c>
      <c r="C83" s="103" t="s">
        <v>195</v>
      </c>
      <c r="D83" s="84">
        <f t="shared" si="42"/>
        <v>2.8499999999999999E-9</v>
      </c>
      <c r="E83" s="84">
        <f t="shared" ref="E83:N83" si="46">E4</f>
        <v>1E-10</v>
      </c>
      <c r="F83" s="84">
        <f t="shared" si="46"/>
        <v>2.0000000000000001E-10</v>
      </c>
      <c r="G83" s="84">
        <f t="shared" si="46"/>
        <v>3E-10</v>
      </c>
      <c r="H83" s="84">
        <f t="shared" si="46"/>
        <v>4.0000000000000001E-10</v>
      </c>
      <c r="I83" s="84">
        <f t="shared" si="46"/>
        <v>5.0000000000000003E-10</v>
      </c>
      <c r="J83" s="84">
        <f t="shared" si="46"/>
        <v>6E-10</v>
      </c>
      <c r="K83" s="84">
        <f t="shared" si="46"/>
        <v>6.9999999999999996E-10</v>
      </c>
      <c r="L83" s="84">
        <f t="shared" si="46"/>
        <v>8.0000000000000003E-10</v>
      </c>
      <c r="M83" s="84">
        <f t="shared" si="46"/>
        <v>8.9999999999999999E-10</v>
      </c>
      <c r="N83" s="84">
        <f t="shared" si="46"/>
        <v>9.5000000000000003E-10</v>
      </c>
    </row>
    <row r="84" spans="1:14">
      <c r="A84" s="84" t="s">
        <v>900</v>
      </c>
      <c r="B84" s="85" t="s">
        <v>934</v>
      </c>
      <c r="C84" s="65" t="s">
        <v>190</v>
      </c>
      <c r="D84" s="84">
        <f t="shared" si="42"/>
        <v>2.8499999999999999E-9</v>
      </c>
      <c r="E84" s="84">
        <f t="shared" ref="E84:N84" si="47">E4</f>
        <v>1E-10</v>
      </c>
      <c r="F84" s="84">
        <f t="shared" si="47"/>
        <v>2.0000000000000001E-10</v>
      </c>
      <c r="G84" s="84">
        <f t="shared" si="47"/>
        <v>3E-10</v>
      </c>
      <c r="H84" s="84">
        <f t="shared" si="47"/>
        <v>4.0000000000000001E-10</v>
      </c>
      <c r="I84" s="84">
        <f t="shared" si="47"/>
        <v>5.0000000000000003E-10</v>
      </c>
      <c r="J84" s="84">
        <f t="shared" si="47"/>
        <v>6E-10</v>
      </c>
      <c r="K84" s="84">
        <f t="shared" si="47"/>
        <v>6.9999999999999996E-10</v>
      </c>
      <c r="L84" s="84">
        <f t="shared" si="47"/>
        <v>8.0000000000000003E-10</v>
      </c>
      <c r="M84" s="84">
        <f t="shared" si="47"/>
        <v>8.9999999999999999E-10</v>
      </c>
      <c r="N84" s="84">
        <f t="shared" si="47"/>
        <v>9.5000000000000003E-10</v>
      </c>
    </row>
    <row r="85" spans="1:14">
      <c r="A85" s="84" t="s">
        <v>978</v>
      </c>
      <c r="B85" s="85" t="s">
        <v>977</v>
      </c>
      <c r="C85" s="65" t="s">
        <v>190</v>
      </c>
      <c r="D85" s="84">
        <f t="shared" si="42"/>
        <v>3.4499999999999995E-9</v>
      </c>
      <c r="E85" s="84">
        <f>E4*1.5</f>
        <v>1.5E-10</v>
      </c>
      <c r="F85" s="84">
        <f>F4*2</f>
        <v>4.0000000000000001E-10</v>
      </c>
      <c r="G85" s="84">
        <f>G4*1.5</f>
        <v>4.5E-10</v>
      </c>
      <c r="H85" s="84">
        <f>H4*1.5</f>
        <v>6E-10</v>
      </c>
      <c r="I85" s="84">
        <f>I4</f>
        <v>5.0000000000000003E-10</v>
      </c>
      <c r="J85" s="84">
        <f>IF(J1="英語文學",J4*2,IF(J1="中國文學",J4*1.5,J4))</f>
        <v>6E-10</v>
      </c>
      <c r="K85" s="84">
        <f>IF(K1="英語文學",K4*2,IF(K1="中國文學",K4*1.5,K4))</f>
        <v>6.9999999999999996E-10</v>
      </c>
      <c r="L85" s="84">
        <f>IF(L1="英語文學",L4*2,IF(L1="中國文學",L4*1.5,L4))</f>
        <v>8.0000000000000003E-10</v>
      </c>
      <c r="M85" s="84">
        <f>IF(M1="英語文學",M4*2,IF(M1="中國文學",M4*1.5,M4))</f>
        <v>8.9999999999999999E-10</v>
      </c>
      <c r="N85" s="84">
        <f>N4</f>
        <v>9.5000000000000003E-10</v>
      </c>
    </row>
    <row r="86" spans="1:14">
      <c r="A86" s="84" t="s">
        <v>902</v>
      </c>
      <c r="B86" s="85" t="s">
        <v>937</v>
      </c>
      <c r="C86" s="65" t="s">
        <v>190</v>
      </c>
      <c r="D86" s="84">
        <f t="shared" si="42"/>
        <v>2.8499999999999999E-9</v>
      </c>
      <c r="E86" s="84">
        <f t="shared" ref="E86:N86" si="48">E4</f>
        <v>1E-10</v>
      </c>
      <c r="F86" s="84">
        <f t="shared" si="48"/>
        <v>2.0000000000000001E-10</v>
      </c>
      <c r="G86" s="84">
        <f t="shared" si="48"/>
        <v>3E-10</v>
      </c>
      <c r="H86" s="84">
        <f t="shared" si="48"/>
        <v>4.0000000000000001E-10</v>
      </c>
      <c r="I86" s="84">
        <f t="shared" si="48"/>
        <v>5.0000000000000003E-10</v>
      </c>
      <c r="J86" s="84">
        <f t="shared" si="48"/>
        <v>6E-10</v>
      </c>
      <c r="K86" s="84">
        <f t="shared" si="48"/>
        <v>6.9999999999999996E-10</v>
      </c>
      <c r="L86" s="84">
        <f t="shared" si="48"/>
        <v>8.0000000000000003E-10</v>
      </c>
      <c r="M86" s="84">
        <f t="shared" si="48"/>
        <v>8.9999999999999999E-10</v>
      </c>
      <c r="N86" s="84">
        <f t="shared" si="48"/>
        <v>9.5000000000000003E-10</v>
      </c>
    </row>
    <row r="87" spans="1:14">
      <c r="A87" s="84" t="s">
        <v>903</v>
      </c>
      <c r="B87" s="85" t="s">
        <v>939</v>
      </c>
      <c r="C87" s="65" t="s">
        <v>548</v>
      </c>
      <c r="D87" s="84">
        <f>LARGE((E87:N87),1)+LARGE((E87:N87),2)+LARGE((E87:N87),3)+LARGE((E87:N87),4)+LARGE((E87:N87),5)+LARGE((E87:N87),6)</f>
        <v>4.450000000000001E-9</v>
      </c>
      <c r="E87" s="84">
        <f>E4</f>
        <v>1E-10</v>
      </c>
      <c r="F87" s="84">
        <f>F4*1.5</f>
        <v>3E-10</v>
      </c>
      <c r="G87" s="84">
        <f t="shared" ref="G87:N87" si="49">G4</f>
        <v>3E-10</v>
      </c>
      <c r="H87" s="84">
        <f t="shared" si="49"/>
        <v>4.0000000000000001E-10</v>
      </c>
      <c r="I87" s="84">
        <f t="shared" si="49"/>
        <v>5.0000000000000003E-10</v>
      </c>
      <c r="J87" s="84">
        <f t="shared" si="49"/>
        <v>6E-10</v>
      </c>
      <c r="K87" s="84">
        <f t="shared" si="49"/>
        <v>6.9999999999999996E-10</v>
      </c>
      <c r="L87" s="84">
        <f t="shared" si="49"/>
        <v>8.0000000000000003E-10</v>
      </c>
      <c r="M87" s="84">
        <f t="shared" si="49"/>
        <v>8.9999999999999999E-10</v>
      </c>
      <c r="N87" s="84">
        <f t="shared" si="49"/>
        <v>9.5000000000000003E-10</v>
      </c>
    </row>
    <row r="88" spans="1:14">
      <c r="A88" s="84" t="s">
        <v>904</v>
      </c>
      <c r="B88" s="85" t="s">
        <v>941</v>
      </c>
      <c r="C88" s="65" t="s">
        <v>548</v>
      </c>
      <c r="D88" s="84">
        <f>LARGE((E88:N88),1)+LARGE((E88:N88),2)+LARGE((E88:N88),3)+LARGE((E88:N88),4)+LARGE((E88:N88),5)+LARGE((E88:N88),6)</f>
        <v>4.450000000000001E-9</v>
      </c>
      <c r="E88" s="84">
        <f>E4</f>
        <v>1E-10</v>
      </c>
      <c r="F88" s="84">
        <f>F4*1.5</f>
        <v>3E-10</v>
      </c>
      <c r="G88" s="84">
        <f t="shared" ref="G88:N88" si="50">G4</f>
        <v>3E-10</v>
      </c>
      <c r="H88" s="84">
        <f t="shared" si="50"/>
        <v>4.0000000000000001E-10</v>
      </c>
      <c r="I88" s="84">
        <f t="shared" si="50"/>
        <v>5.0000000000000003E-10</v>
      </c>
      <c r="J88" s="84">
        <f t="shared" si="50"/>
        <v>6E-10</v>
      </c>
      <c r="K88" s="84">
        <f t="shared" si="50"/>
        <v>6.9999999999999996E-10</v>
      </c>
      <c r="L88" s="84">
        <f t="shared" si="50"/>
        <v>8.0000000000000003E-10</v>
      </c>
      <c r="M88" s="84">
        <f t="shared" si="50"/>
        <v>8.9999999999999999E-10</v>
      </c>
      <c r="N88" s="84">
        <f t="shared" si="50"/>
        <v>9.5000000000000003E-10</v>
      </c>
    </row>
    <row r="89" spans="1:14">
      <c r="A89" s="84" t="s">
        <v>905</v>
      </c>
      <c r="B89" s="85" t="s">
        <v>943</v>
      </c>
      <c r="C89" s="65" t="s">
        <v>189</v>
      </c>
      <c r="D89" s="84">
        <f>SUM(E89:F89)+LARGE((G89:N89),1)+LARGE((G89:N89),2)+LARGE((G89:N89),3)</f>
        <v>3.0250000000000002E-9</v>
      </c>
      <c r="E89" s="84">
        <f>E4*1.25</f>
        <v>1.2500000000000001E-10</v>
      </c>
      <c r="F89" s="84">
        <f>F4*1.25</f>
        <v>2.5000000000000002E-10</v>
      </c>
      <c r="G89" s="84">
        <f t="shared" ref="G89:N89" si="51">G4</f>
        <v>3E-10</v>
      </c>
      <c r="H89" s="84">
        <f t="shared" si="51"/>
        <v>4.0000000000000001E-10</v>
      </c>
      <c r="I89" s="84">
        <f t="shared" si="51"/>
        <v>5.0000000000000003E-10</v>
      </c>
      <c r="J89" s="84">
        <f t="shared" si="51"/>
        <v>6E-10</v>
      </c>
      <c r="K89" s="84">
        <f t="shared" si="51"/>
        <v>6.9999999999999996E-10</v>
      </c>
      <c r="L89" s="84">
        <f t="shared" si="51"/>
        <v>8.0000000000000003E-10</v>
      </c>
      <c r="M89" s="84">
        <f t="shared" si="51"/>
        <v>8.9999999999999999E-10</v>
      </c>
      <c r="N89" s="84">
        <f t="shared" si="51"/>
        <v>9.5000000000000003E-10</v>
      </c>
    </row>
    <row r="90" spans="1:14">
      <c r="A90" s="84" t="s">
        <v>906</v>
      </c>
      <c r="B90" s="85" t="s">
        <v>944</v>
      </c>
      <c r="C90" s="65" t="s">
        <v>189</v>
      </c>
      <c r="D90" s="84">
        <f>SUM(E90:F90)+LARGE((G90:N90),1)+LARGE((G90:N90),2)+LARGE((G90:N90),3)</f>
        <v>3.0250000000000002E-9</v>
      </c>
      <c r="E90" s="84">
        <f>E4*1.25</f>
        <v>1.2500000000000001E-10</v>
      </c>
      <c r="F90" s="84">
        <f>F4*1.25</f>
        <v>2.5000000000000002E-10</v>
      </c>
      <c r="G90" s="84">
        <f t="shared" ref="G90:N90" si="52">G4</f>
        <v>3E-10</v>
      </c>
      <c r="H90" s="84">
        <f t="shared" si="52"/>
        <v>4.0000000000000001E-10</v>
      </c>
      <c r="I90" s="84">
        <f t="shared" si="52"/>
        <v>5.0000000000000003E-10</v>
      </c>
      <c r="J90" s="84">
        <f t="shared" si="52"/>
        <v>6E-10</v>
      </c>
      <c r="K90" s="84">
        <f t="shared" si="52"/>
        <v>6.9999999999999996E-10</v>
      </c>
      <c r="L90" s="84">
        <f t="shared" si="52"/>
        <v>8.0000000000000003E-10</v>
      </c>
      <c r="M90" s="84">
        <f t="shared" si="52"/>
        <v>8.9999999999999999E-10</v>
      </c>
      <c r="N90" s="84">
        <f t="shared" si="52"/>
        <v>9.5000000000000003E-10</v>
      </c>
    </row>
    <row r="91" spans="1:14">
      <c r="A91" s="84" t="s">
        <v>907</v>
      </c>
      <c r="B91" s="85" t="s">
        <v>945</v>
      </c>
      <c r="C91" s="65" t="s">
        <v>59</v>
      </c>
      <c r="D91" s="88">
        <f>F91+LARGE((E91,G91:N91), 1)+LARGE((E91,G91:N91), 2)+LARGE((E91,G91:N91),3)+LARGE((E91,G91:N91), 4)</f>
        <v>3.5500000000000004E-9</v>
      </c>
      <c r="E91" s="84">
        <f t="shared" ref="E91:N91" si="53">E4</f>
        <v>1E-10</v>
      </c>
      <c r="F91" s="84">
        <f t="shared" si="53"/>
        <v>2.0000000000000001E-10</v>
      </c>
      <c r="G91" s="84">
        <f t="shared" si="53"/>
        <v>3E-10</v>
      </c>
      <c r="H91" s="84">
        <f t="shared" si="53"/>
        <v>4.0000000000000001E-10</v>
      </c>
      <c r="I91" s="84">
        <f t="shared" si="53"/>
        <v>5.0000000000000003E-10</v>
      </c>
      <c r="J91" s="84">
        <f t="shared" si="53"/>
        <v>6E-10</v>
      </c>
      <c r="K91" s="84">
        <f t="shared" si="53"/>
        <v>6.9999999999999996E-10</v>
      </c>
      <c r="L91" s="84">
        <f t="shared" si="53"/>
        <v>8.0000000000000003E-10</v>
      </c>
      <c r="M91" s="84">
        <f t="shared" si="53"/>
        <v>8.9999999999999999E-10</v>
      </c>
      <c r="N91" s="84">
        <f t="shared" si="53"/>
        <v>9.5000000000000003E-10</v>
      </c>
    </row>
    <row r="92" spans="1:14">
      <c r="A92" s="84" t="s">
        <v>1261</v>
      </c>
      <c r="B92" s="84" t="s">
        <v>1259</v>
      </c>
      <c r="C92" s="65" t="s">
        <v>189</v>
      </c>
      <c r="D92" s="88">
        <f>SUM(E92:F92)+LARGE(G92:N92,1)+LARGE(G92:N92,2)+LARGE(G92:N92,3)</f>
        <v>3.0250000000000002E-9</v>
      </c>
      <c r="E92" s="84">
        <f>E4*1.25</f>
        <v>1.2500000000000001E-10</v>
      </c>
      <c r="F92" s="84">
        <f>F4*1.25</f>
        <v>2.5000000000000002E-10</v>
      </c>
      <c r="G92" s="84">
        <f t="shared" ref="G92:N92" si="54">G4</f>
        <v>3E-10</v>
      </c>
      <c r="H92" s="84">
        <f t="shared" si="54"/>
        <v>4.0000000000000001E-10</v>
      </c>
      <c r="I92" s="84">
        <f t="shared" si="54"/>
        <v>5.0000000000000003E-10</v>
      </c>
      <c r="J92" s="84">
        <f t="shared" si="54"/>
        <v>6E-10</v>
      </c>
      <c r="K92" s="84">
        <f t="shared" si="54"/>
        <v>6.9999999999999996E-10</v>
      </c>
      <c r="L92" s="84">
        <f t="shared" si="54"/>
        <v>8.0000000000000003E-10</v>
      </c>
      <c r="M92" s="84">
        <f t="shared" si="54"/>
        <v>8.9999999999999999E-10</v>
      </c>
      <c r="N92" s="84">
        <f t="shared" si="54"/>
        <v>9.5000000000000003E-10</v>
      </c>
    </row>
    <row r="93" spans="1:14">
      <c r="A93" s="84" t="s">
        <v>1262</v>
      </c>
      <c r="B93" s="84" t="s">
        <v>1260</v>
      </c>
      <c r="C93" s="65" t="s">
        <v>189</v>
      </c>
      <c r="D93" s="88">
        <f>SUM(E93:F93)+LARGE(G93:N93,1)+LARGE(G93:N93,2)+LARGE(G93:N93,3)</f>
        <v>3.0250000000000002E-9</v>
      </c>
      <c r="E93" s="84">
        <f>E4*1.25</f>
        <v>1.2500000000000001E-10</v>
      </c>
      <c r="F93" s="84">
        <f>F4*1.25</f>
        <v>2.5000000000000002E-10</v>
      </c>
      <c r="G93" s="84">
        <f t="shared" ref="G93:N93" si="55">G4</f>
        <v>3E-10</v>
      </c>
      <c r="H93" s="84">
        <f t="shared" si="55"/>
        <v>4.0000000000000001E-10</v>
      </c>
      <c r="I93" s="84">
        <f t="shared" si="55"/>
        <v>5.0000000000000003E-10</v>
      </c>
      <c r="J93" s="84">
        <f t="shared" si="55"/>
        <v>6E-10</v>
      </c>
      <c r="K93" s="84">
        <f t="shared" si="55"/>
        <v>6.9999999999999996E-10</v>
      </c>
      <c r="L93" s="84">
        <f t="shared" si="55"/>
        <v>8.0000000000000003E-10</v>
      </c>
      <c r="M93" s="84">
        <f t="shared" si="55"/>
        <v>8.9999999999999999E-10</v>
      </c>
      <c r="N93" s="84">
        <f t="shared" si="55"/>
        <v>9.5000000000000003E-10</v>
      </c>
    </row>
    <row r="94" spans="1:14">
      <c r="A94" s="84" t="s">
        <v>908</v>
      </c>
      <c r="B94" s="85" t="s">
        <v>946</v>
      </c>
      <c r="C94" s="65" t="s">
        <v>189</v>
      </c>
      <c r="D94" s="84">
        <f>LARGE((E94:N94),1)+LARGE((E94:N94),2)+LARGE((E94:N94),3)+LARGE((E94:N94),4)+LARGE((E94:N94),5)</f>
        <v>3.9500000000000006E-9</v>
      </c>
      <c r="E94" s="84">
        <f>E4*1.5</f>
        <v>1.5E-10</v>
      </c>
      <c r="F94" s="84">
        <f>F4*1.5</f>
        <v>3E-10</v>
      </c>
      <c r="G94" s="84">
        <f>G4</f>
        <v>3E-10</v>
      </c>
      <c r="H94" s="84">
        <f>H4</f>
        <v>4.0000000000000001E-10</v>
      </c>
      <c r="I94" s="84">
        <f>I4</f>
        <v>5.0000000000000003E-10</v>
      </c>
      <c r="J94" s="84">
        <f>IF(J1="生物",J4*1.5,IF(OR(J1="中國歷史",J1="中國文學",J1="化學",J1="組合科學(物理、化學)",J1="組合科學(生物、化學)",J1="組合科學(物理、生物)",J1="數學",J1="物理"),J4*1.25,J4))</f>
        <v>6E-10</v>
      </c>
      <c r="K94" s="84">
        <f>IF(K1="生物",K4*1.5,IF(OR(K1="中國歷史",K1="中國文學",K1="化學",K1="組合科學(物理、化學)",K1="組合科學(生物、化學)",K1="組合科學(物理、生物)",K1="數學",K1="物理"),K4*1.25,K4))</f>
        <v>6.9999999999999996E-10</v>
      </c>
      <c r="L94" s="84">
        <f>IF(L1="生物",L4*1.5,IF(OR(L1="中國歷史",L1="中國文學",L1="化學",L1="組合科學(物理、化學)",L1="組合科學(生物、化學)",L1="組合科學(物理、生物)",L1="數學",L1="物理"),L4*1.25,L4))</f>
        <v>8.0000000000000003E-10</v>
      </c>
      <c r="M94" s="84">
        <f>IF(M1="生物",M4*1.5,IF(OR(M1="中國歷史",M1="中國文學",M1="化學",M1="組合科學(物理、化學)",M1="組合科學(生物、化學)",M1="組合科學(物理、生物)",M1="數學",M1="物理"),M4*1.25,M4))</f>
        <v>8.9999999999999999E-10</v>
      </c>
      <c r="N94" s="84">
        <f>N4</f>
        <v>9.5000000000000003E-10</v>
      </c>
    </row>
    <row r="95" spans="1:14">
      <c r="A95" s="84" t="s">
        <v>909</v>
      </c>
      <c r="B95" s="85" t="s">
        <v>948</v>
      </c>
      <c r="C95" s="65" t="s">
        <v>189</v>
      </c>
      <c r="D95" s="84">
        <f>LARGE((E95:N95),1)+LARGE((E95:N95),2)+LARGE((E95:N95),3)+LARGE((E95:N95),4)+LARGE((E95:N95),5)</f>
        <v>3.9500000000000006E-9</v>
      </c>
      <c r="E95" s="84">
        <f>E4*1.5</f>
        <v>1.5E-10</v>
      </c>
      <c r="F95" s="84">
        <f>F4*1.5</f>
        <v>3E-10</v>
      </c>
      <c r="G95" s="84">
        <f>G4</f>
        <v>3E-10</v>
      </c>
      <c r="H95" s="84">
        <f>H4</f>
        <v>4.0000000000000001E-10</v>
      </c>
      <c r="I95" s="84">
        <f>I4</f>
        <v>5.0000000000000003E-10</v>
      </c>
      <c r="J95" s="84">
        <f>IF(J1="化學",J4*1.5,IF(OR(J1="中國文學",J1="生物",J1="組合科學(物理、化學)",J1="組合科學(生物、化學)",J1="組合科學(物理、生物)",J1="數學",J1="物理"),J4*1.25,J4))</f>
        <v>6E-10</v>
      </c>
      <c r="K95" s="84">
        <f>IF(K1="化學",K4*1.5,IF(OR(K1="中國文學",K1="生物",K1="組合科學(物理、化學)",K1="組合科學(生物、化學)",K1="組合科學(物理、生物)",K1="數學",K1="物理"),K4*1.25,K4))</f>
        <v>6.9999999999999996E-10</v>
      </c>
      <c r="L95" s="84">
        <f>IF(L1="化學",L4*1.5,IF(OR(L1="中國文學",L1="生物",L1="組合科學(物理、化學)",L1="組合科學(生物、化學)",L1="組合科學(物理、生物)",L1="數學",L1="物理"),L4*1.25,L4))</f>
        <v>8.0000000000000003E-10</v>
      </c>
      <c r="M95" s="84">
        <f>IF(M1="化學",M4*1.5,IF(OR(M1="中國文學",M1="生物",M1="組合科學(物理、化學)",M1="組合科學(生物、化學)",M1="組合科學(物理、生物)",M1="數學",M1="物理"),M4*1.25,M4))</f>
        <v>8.9999999999999999E-10</v>
      </c>
      <c r="N95" s="84">
        <f>N4</f>
        <v>9.5000000000000003E-10</v>
      </c>
    </row>
    <row r="96" spans="1:14">
      <c r="A96" s="84" t="s">
        <v>910</v>
      </c>
      <c r="B96" s="85" t="s">
        <v>276</v>
      </c>
      <c r="C96" s="65" t="s">
        <v>548</v>
      </c>
      <c r="D96" s="84">
        <f>LARGE((E96:M96),1)+LARGE((E96:M96),2)+LARGE((E96:M96),3)+LARGE((E96:M96),4)+LARGE((E96:M96),5)+LARGE((E96:M96),6)</f>
        <v>3.9000000000000002E-9</v>
      </c>
      <c r="E96" s="84">
        <f t="shared" ref="E96:N96" si="56">E4</f>
        <v>1E-10</v>
      </c>
      <c r="F96" s="84">
        <f t="shared" si="56"/>
        <v>2.0000000000000001E-10</v>
      </c>
      <c r="G96" s="84">
        <f t="shared" si="56"/>
        <v>3E-10</v>
      </c>
      <c r="H96" s="84">
        <f t="shared" si="56"/>
        <v>4.0000000000000001E-10</v>
      </c>
      <c r="I96" s="84">
        <f t="shared" si="56"/>
        <v>5.0000000000000003E-10</v>
      </c>
      <c r="J96" s="84">
        <f t="shared" si="56"/>
        <v>6E-10</v>
      </c>
      <c r="K96" s="84">
        <f t="shared" si="56"/>
        <v>6.9999999999999996E-10</v>
      </c>
      <c r="L96" s="84">
        <f t="shared" si="56"/>
        <v>8.0000000000000003E-10</v>
      </c>
      <c r="M96" s="84">
        <f t="shared" si="56"/>
        <v>8.9999999999999999E-10</v>
      </c>
      <c r="N96" s="84">
        <f t="shared" si="56"/>
        <v>9.5000000000000003E-10</v>
      </c>
    </row>
    <row r="97" spans="1:15">
      <c r="A97" s="84" t="s">
        <v>911</v>
      </c>
      <c r="B97" s="85" t="s">
        <v>951</v>
      </c>
      <c r="C97" s="65" t="s">
        <v>190</v>
      </c>
      <c r="D97" s="198">
        <f t="shared" ref="D97" si="57">SUM(E97:H97)+LARGE((I97:N97),1)+LARGE((I97:N97),2)</f>
        <v>3.05E-9</v>
      </c>
      <c r="E97" s="84">
        <f>E4</f>
        <v>1E-10</v>
      </c>
      <c r="F97" s="84">
        <f>F4*2</f>
        <v>4.0000000000000001E-10</v>
      </c>
      <c r="G97" s="84">
        <f t="shared" ref="G97:N97" si="58">G4</f>
        <v>3E-10</v>
      </c>
      <c r="H97" s="84">
        <f t="shared" si="58"/>
        <v>4.0000000000000001E-10</v>
      </c>
      <c r="I97" s="84">
        <f t="shared" si="58"/>
        <v>5.0000000000000003E-10</v>
      </c>
      <c r="J97" s="84">
        <f t="shared" si="58"/>
        <v>6E-10</v>
      </c>
      <c r="K97" s="84">
        <f t="shared" si="58"/>
        <v>6.9999999999999996E-10</v>
      </c>
      <c r="L97" s="84">
        <f t="shared" si="58"/>
        <v>8.0000000000000003E-10</v>
      </c>
      <c r="M97" s="84">
        <f t="shared" si="58"/>
        <v>8.9999999999999999E-10</v>
      </c>
      <c r="N97" s="84">
        <f t="shared" si="58"/>
        <v>9.5000000000000003E-10</v>
      </c>
    </row>
    <row r="98" spans="1:15">
      <c r="A98" s="84" t="s">
        <v>912</v>
      </c>
      <c r="B98" s="85" t="s">
        <v>953</v>
      </c>
      <c r="C98" s="65" t="s">
        <v>195</v>
      </c>
      <c r="D98" s="198">
        <f>SUM(E98:H98)+LARGE((I98:N98),1)+LARGE((I98:N98),2)</f>
        <v>2.8499999999999999E-9</v>
      </c>
      <c r="E98" s="84">
        <f t="shared" ref="E98:N98" si="59">E4</f>
        <v>1E-10</v>
      </c>
      <c r="F98" s="84">
        <f t="shared" si="59"/>
        <v>2.0000000000000001E-10</v>
      </c>
      <c r="G98" s="84">
        <f t="shared" si="59"/>
        <v>3E-10</v>
      </c>
      <c r="H98" s="84">
        <f t="shared" si="59"/>
        <v>4.0000000000000001E-10</v>
      </c>
      <c r="I98" s="84">
        <f t="shared" si="59"/>
        <v>5.0000000000000003E-10</v>
      </c>
      <c r="J98" s="84">
        <f t="shared" si="59"/>
        <v>6E-10</v>
      </c>
      <c r="K98" s="84">
        <f t="shared" si="59"/>
        <v>6.9999999999999996E-10</v>
      </c>
      <c r="L98" s="84">
        <f t="shared" si="59"/>
        <v>8.0000000000000003E-10</v>
      </c>
      <c r="M98" s="84">
        <f t="shared" si="59"/>
        <v>8.9999999999999999E-10</v>
      </c>
      <c r="N98" s="84">
        <f t="shared" si="59"/>
        <v>9.5000000000000003E-10</v>
      </c>
    </row>
    <row r="99" spans="1:15">
      <c r="A99" s="84" t="s">
        <v>913</v>
      </c>
      <c r="B99" s="85" t="s">
        <v>955</v>
      </c>
      <c r="C99" s="65" t="s">
        <v>189</v>
      </c>
      <c r="D99" s="198">
        <f>SUM(E99:F99)+LARGE((G99:N99),1)+LARGE((G99:N99),2)+LARGE((G99:N99),3)</f>
        <v>2.9900000000000002E-9</v>
      </c>
      <c r="E99" s="84">
        <f>E4</f>
        <v>1E-10</v>
      </c>
      <c r="F99" s="84">
        <f>F4*1.2</f>
        <v>2.4E-10</v>
      </c>
      <c r="G99" s="84">
        <f t="shared" ref="G99:N99" si="60">G4</f>
        <v>3E-10</v>
      </c>
      <c r="H99" s="84">
        <f t="shared" si="60"/>
        <v>4.0000000000000001E-10</v>
      </c>
      <c r="I99" s="84">
        <f t="shared" si="60"/>
        <v>5.0000000000000003E-10</v>
      </c>
      <c r="J99" s="84">
        <f t="shared" si="60"/>
        <v>6E-10</v>
      </c>
      <c r="K99" s="84">
        <f t="shared" si="60"/>
        <v>6.9999999999999996E-10</v>
      </c>
      <c r="L99" s="84">
        <f t="shared" si="60"/>
        <v>8.0000000000000003E-10</v>
      </c>
      <c r="M99" s="84">
        <f t="shared" si="60"/>
        <v>8.9999999999999999E-10</v>
      </c>
      <c r="N99" s="84">
        <f t="shared" si="60"/>
        <v>9.5000000000000003E-10</v>
      </c>
    </row>
    <row r="100" spans="1:15">
      <c r="A100" s="84" t="s">
        <v>914</v>
      </c>
      <c r="B100" s="85" t="s">
        <v>957</v>
      </c>
      <c r="C100" s="65" t="s">
        <v>189</v>
      </c>
      <c r="D100" s="198">
        <f>SUM(E100:F100)+LARGE((G100:N100),1)+LARGE((G100:N100),2)+LARGE((G100:N100),3)</f>
        <v>2.9900000000000002E-9</v>
      </c>
      <c r="E100" s="84">
        <f>E4</f>
        <v>1E-10</v>
      </c>
      <c r="F100" s="84">
        <f>F4*1.2</f>
        <v>2.4E-10</v>
      </c>
      <c r="G100" s="84">
        <f t="shared" ref="G100:N100" si="61">G4</f>
        <v>3E-10</v>
      </c>
      <c r="H100" s="84">
        <f t="shared" si="61"/>
        <v>4.0000000000000001E-10</v>
      </c>
      <c r="I100" s="84">
        <f t="shared" si="61"/>
        <v>5.0000000000000003E-10</v>
      </c>
      <c r="J100" s="84">
        <f t="shared" si="61"/>
        <v>6E-10</v>
      </c>
      <c r="K100" s="84">
        <f t="shared" si="61"/>
        <v>6.9999999999999996E-10</v>
      </c>
      <c r="L100" s="84">
        <f t="shared" si="61"/>
        <v>8.0000000000000003E-10</v>
      </c>
      <c r="M100" s="84">
        <f t="shared" si="61"/>
        <v>8.9999999999999999E-10</v>
      </c>
      <c r="N100" s="84">
        <f t="shared" si="61"/>
        <v>9.5000000000000003E-10</v>
      </c>
    </row>
    <row r="101" spans="1:15">
      <c r="A101" s="84" t="s">
        <v>915</v>
      </c>
      <c r="B101" s="85" t="s">
        <v>959</v>
      </c>
      <c r="C101" s="65" t="s">
        <v>190</v>
      </c>
      <c r="D101" s="84">
        <f>SUM(E101:H101)+LARGE((I101:N101),1)+LARGE((I101:N101),2)</f>
        <v>3.2500000000000002E-9</v>
      </c>
      <c r="E101" s="84">
        <f>E4</f>
        <v>1E-10</v>
      </c>
      <c r="F101" s="84">
        <f>F4*2</f>
        <v>4.0000000000000001E-10</v>
      </c>
      <c r="G101" s="84">
        <f>G4</f>
        <v>3E-10</v>
      </c>
      <c r="H101" s="84">
        <f>H4*1.5</f>
        <v>6E-10</v>
      </c>
      <c r="I101" s="84">
        <f t="shared" ref="I101:N101" si="62">I4</f>
        <v>5.0000000000000003E-10</v>
      </c>
      <c r="J101" s="84">
        <f t="shared" si="62"/>
        <v>6E-10</v>
      </c>
      <c r="K101" s="84">
        <f t="shared" si="62"/>
        <v>6.9999999999999996E-10</v>
      </c>
      <c r="L101" s="84">
        <f t="shared" si="62"/>
        <v>8.0000000000000003E-10</v>
      </c>
      <c r="M101" s="84">
        <f t="shared" si="62"/>
        <v>8.9999999999999999E-10</v>
      </c>
      <c r="N101" s="84">
        <f t="shared" si="62"/>
        <v>9.5000000000000003E-10</v>
      </c>
    </row>
    <row r="102" spans="1:15">
      <c r="A102" s="84" t="s">
        <v>916</v>
      </c>
      <c r="B102" s="85" t="s">
        <v>961</v>
      </c>
      <c r="C102" s="65" t="s">
        <v>195</v>
      </c>
      <c r="D102" s="84">
        <f t="shared" ref="D102:D103" si="63">SUM(E102:H102)+LARGE((I102:N102),1)+LARGE((I102:N102),2)</f>
        <v>2.9999999999999996E-9</v>
      </c>
      <c r="E102" s="84">
        <f>E4*1.5</f>
        <v>1.5E-10</v>
      </c>
      <c r="F102" s="84">
        <f>F4*1.5</f>
        <v>3E-10</v>
      </c>
      <c r="G102" s="84">
        <f t="shared" ref="G102:N102" si="64">G4</f>
        <v>3E-10</v>
      </c>
      <c r="H102" s="84">
        <f t="shared" si="64"/>
        <v>4.0000000000000001E-10</v>
      </c>
      <c r="I102" s="84">
        <f t="shared" si="64"/>
        <v>5.0000000000000003E-10</v>
      </c>
      <c r="J102" s="84">
        <f t="shared" si="64"/>
        <v>6E-10</v>
      </c>
      <c r="K102" s="84">
        <f t="shared" si="64"/>
        <v>6.9999999999999996E-10</v>
      </c>
      <c r="L102" s="84">
        <f t="shared" si="64"/>
        <v>8.0000000000000003E-10</v>
      </c>
      <c r="M102" s="84">
        <f t="shared" si="64"/>
        <v>8.9999999999999999E-10</v>
      </c>
      <c r="N102" s="84">
        <f t="shared" si="64"/>
        <v>9.5000000000000003E-10</v>
      </c>
    </row>
    <row r="103" spans="1:15">
      <c r="A103" s="84" t="s">
        <v>918</v>
      </c>
      <c r="B103" s="85" t="s">
        <v>962</v>
      </c>
      <c r="C103" s="65" t="s">
        <v>190</v>
      </c>
      <c r="D103" s="84">
        <f t="shared" si="63"/>
        <v>2.8499999999999999E-9</v>
      </c>
      <c r="E103" s="84">
        <f>E4</f>
        <v>1E-10</v>
      </c>
      <c r="F103" s="84">
        <f>F4</f>
        <v>2.0000000000000001E-10</v>
      </c>
      <c r="G103" s="84">
        <f>G4</f>
        <v>3E-10</v>
      </c>
      <c r="H103" s="84">
        <f>H4</f>
        <v>4.0000000000000001E-10</v>
      </c>
      <c r="I103" s="84">
        <f>I4</f>
        <v>5.0000000000000003E-10</v>
      </c>
      <c r="J103" s="84">
        <f>IF(OR(J1="中國歷史",J1="經濟",J1="倫理及宗教",J1="地理",J1="歷史",J1="旅遊及款待"),J4*1.2,J4)</f>
        <v>6E-10</v>
      </c>
      <c r="K103" s="84">
        <f>IF(OR(K1="中國歷史",K1="經濟",K1="倫理及宗教",K1="地理",K1="歷史",K1="旅遊及款待"),K4*1.2,K4)</f>
        <v>6.9999999999999996E-10</v>
      </c>
      <c r="L103" s="84">
        <f>IF(OR(L1="中國歷史",L1="經濟",L1="倫理及宗教",L1="地理",L1="歷史",L1="旅遊及款待"),L4*1.2,L4)</f>
        <v>8.0000000000000003E-10</v>
      </c>
      <c r="M103" s="84">
        <f>IF(OR(M1="中國歷史",M1="經濟",M1="倫理及宗教",M1="地理",M1="歷史",M1="旅遊及款待"),M4*1.2,M4)</f>
        <v>8.9999999999999999E-10</v>
      </c>
      <c r="N103" s="84">
        <f>N4</f>
        <v>9.5000000000000003E-10</v>
      </c>
    </row>
    <row r="104" spans="1:15">
      <c r="A104" s="84" t="s">
        <v>919</v>
      </c>
      <c r="B104" s="85" t="s">
        <v>964</v>
      </c>
      <c r="C104" s="65" t="s">
        <v>189</v>
      </c>
      <c r="D104" s="88">
        <f>F104+LARGE((E104,G104:N104), 1)+LARGE((E104,G104:N104), 2)+LARGE((E104,G104:N104),3)+LARGE((E104,G104:N104), 4)</f>
        <v>3.5500000000000004E-9</v>
      </c>
      <c r="E104" s="84">
        <f>E4</f>
        <v>1E-10</v>
      </c>
      <c r="F104" s="84">
        <f>F4</f>
        <v>2.0000000000000001E-10</v>
      </c>
      <c r="G104" s="84">
        <f>G4</f>
        <v>3E-10</v>
      </c>
      <c r="H104" s="84">
        <f t="shared" ref="H104:N104" si="65">H4</f>
        <v>4.0000000000000001E-10</v>
      </c>
      <c r="I104" s="84">
        <f t="shared" si="65"/>
        <v>5.0000000000000003E-10</v>
      </c>
      <c r="J104" s="84">
        <f t="shared" si="65"/>
        <v>6E-10</v>
      </c>
      <c r="K104" s="84">
        <f t="shared" si="65"/>
        <v>6.9999999999999996E-10</v>
      </c>
      <c r="L104" s="84">
        <f t="shared" si="65"/>
        <v>8.0000000000000003E-10</v>
      </c>
      <c r="M104" s="84">
        <f t="shared" si="65"/>
        <v>8.9999999999999999E-10</v>
      </c>
      <c r="N104" s="84">
        <f t="shared" si="65"/>
        <v>9.5000000000000003E-10</v>
      </c>
    </row>
    <row r="105" spans="1:15">
      <c r="A105" s="84" t="s">
        <v>920</v>
      </c>
      <c r="B105" s="85" t="s">
        <v>966</v>
      </c>
      <c r="C105" s="65" t="s">
        <v>548</v>
      </c>
      <c r="D105" s="84">
        <f>LARGE((E105:M105),1)+LARGE((E105:M105),2)+LARGE((E105:M105),3)+LARGE((E105:M105),4)+LARGE((E105:M105),5)+LARGE((E105:M105),6)</f>
        <v>3.9000000000000002E-9</v>
      </c>
      <c r="E105" s="84">
        <f>E4</f>
        <v>1E-10</v>
      </c>
      <c r="F105" s="84">
        <f>F4</f>
        <v>2.0000000000000001E-10</v>
      </c>
      <c r="G105" s="84">
        <f>G4</f>
        <v>3E-10</v>
      </c>
      <c r="H105" s="84">
        <f t="shared" ref="H105:N105" si="66">H4</f>
        <v>4.0000000000000001E-10</v>
      </c>
      <c r="I105" s="84">
        <f t="shared" si="66"/>
        <v>5.0000000000000003E-10</v>
      </c>
      <c r="J105" s="84">
        <f t="shared" si="66"/>
        <v>6E-10</v>
      </c>
      <c r="K105" s="84">
        <f t="shared" si="66"/>
        <v>6.9999999999999996E-10</v>
      </c>
      <c r="L105" s="84">
        <f t="shared" si="66"/>
        <v>8.0000000000000003E-10</v>
      </c>
      <c r="M105" s="84">
        <f t="shared" si="66"/>
        <v>8.9999999999999999E-10</v>
      </c>
      <c r="N105" s="84">
        <f t="shared" si="66"/>
        <v>9.5000000000000003E-10</v>
      </c>
    </row>
    <row r="106" spans="1:15">
      <c r="A106" s="155"/>
      <c r="B106" s="155"/>
      <c r="C106" s="156"/>
      <c r="D106" s="155"/>
      <c r="E106" s="155"/>
      <c r="F106" s="155"/>
      <c r="G106" s="155"/>
      <c r="H106" s="155"/>
      <c r="I106" s="155"/>
      <c r="J106" s="155"/>
      <c r="K106" s="155"/>
      <c r="L106" s="157"/>
      <c r="M106" s="157"/>
      <c r="N106" s="155"/>
    </row>
    <row r="107" spans="1:15">
      <c r="A107" s="83" t="s">
        <v>550</v>
      </c>
      <c r="D107" s="83" t="s">
        <v>194</v>
      </c>
      <c r="E107" s="83" t="str">
        <f t="shared" ref="E107:N107" si="67">E1</f>
        <v>中國語文</v>
      </c>
      <c r="F107" s="83" t="str">
        <f t="shared" si="67"/>
        <v>英國語文</v>
      </c>
      <c r="G107" s="83" t="str">
        <f t="shared" si="67"/>
        <v>數學</v>
      </c>
      <c r="H107" s="83" t="str">
        <f t="shared" si="67"/>
        <v>通識教育</v>
      </c>
      <c r="I107" s="83" t="str">
        <f t="shared" si="67"/>
        <v>數學延伸</v>
      </c>
      <c r="J107" s="83" t="str">
        <f t="shared" si="67"/>
        <v>請選擇第一選修科</v>
      </c>
      <c r="K107" s="83" t="str">
        <f t="shared" si="67"/>
        <v>請選擇第二選修科</v>
      </c>
      <c r="L107" s="83" t="str">
        <f t="shared" si="67"/>
        <v>請選擇第三選修科</v>
      </c>
      <c r="M107" s="83" t="str">
        <f t="shared" si="67"/>
        <v>請選擇第四選修科</v>
      </c>
      <c r="N107" s="83" t="str">
        <f t="shared" si="67"/>
        <v>請選擇語言科目</v>
      </c>
    </row>
    <row r="108" spans="1:15">
      <c r="A108" s="84" t="s">
        <v>395</v>
      </c>
      <c r="B108" s="84" t="s">
        <v>485</v>
      </c>
      <c r="C108" s="209" t="s">
        <v>190</v>
      </c>
      <c r="D108" s="84">
        <f>SUM(E108:H108)+LARGE((I108:N108),1)+LARGE((I108:N108),2)</f>
        <v>1.925E-8</v>
      </c>
      <c r="E108" s="84">
        <f>E5*10</f>
        <v>1.0000000000000001E-9</v>
      </c>
      <c r="F108" s="84">
        <f>F5*10</f>
        <v>2.0000000000000001E-9</v>
      </c>
      <c r="G108" s="84">
        <f>G5*10</f>
        <v>3E-9</v>
      </c>
      <c r="H108" s="84">
        <f>H5*10</f>
        <v>4.0000000000000002E-9</v>
      </c>
      <c r="I108" s="84">
        <f>I5*5</f>
        <v>2.5000000000000001E-9</v>
      </c>
      <c r="J108" s="88">
        <f>IF(OR(J1="生物",J1="組合科學(生物、化學)",J1="組合科學(物理、生物)"),J5*10,J5*5)</f>
        <v>3E-9</v>
      </c>
      <c r="K108" s="88">
        <f>IF(OR(K1="生物",K1="組合科學(生物、化學)",K1="組合科學(物理、生物)"),K5*10,K5*5)</f>
        <v>3.4999999999999999E-9</v>
      </c>
      <c r="L108" s="88">
        <f>IF(OR(L1="生物",L1="組合科學(生物、化學)",L1="組合科學(物理、生物)"),L5*10,L5*5)</f>
        <v>4.0000000000000002E-9</v>
      </c>
      <c r="M108" s="88">
        <f>IF(OR(M1="生物",M1="組合科學(生物、化學)",M1="組合科學(物理、生物)"),M5*10,M5*5)</f>
        <v>4.4999999999999998E-9</v>
      </c>
      <c r="N108" s="84">
        <f>N5*5</f>
        <v>4.7500000000000003E-9</v>
      </c>
      <c r="O108" s="83"/>
    </row>
    <row r="109" spans="1:15">
      <c r="A109" s="84" t="s">
        <v>396</v>
      </c>
      <c r="B109" s="84" t="s">
        <v>486</v>
      </c>
      <c r="C109" s="209" t="s">
        <v>189</v>
      </c>
      <c r="D109" s="84">
        <f>LARGE((E109:N109),1)+LARGE((E109:N109),2)+LARGE((E109:N109),3)+LARGE((E109:N109),4)+LARGE((E109:N109),5)</f>
        <v>2.175E-8</v>
      </c>
      <c r="E109" s="84">
        <f>E5*7</f>
        <v>7.0000000000000006E-10</v>
      </c>
      <c r="F109" s="84">
        <f>F5*10</f>
        <v>2.0000000000000001E-9</v>
      </c>
      <c r="G109" s="84">
        <f>G5*10</f>
        <v>3E-9</v>
      </c>
      <c r="H109" s="84">
        <f>H5*7</f>
        <v>2.8000000000000003E-9</v>
      </c>
      <c r="I109" s="84">
        <f>I5*10</f>
        <v>5.0000000000000001E-9</v>
      </c>
      <c r="J109" s="84">
        <f>IF(OR(J1="物理",J1="化學",J1="生物",J1="組合科學(物理、化學)",J1="組合科學(生物、化學)",J1="組合科學(物理、生物)"),J5*10,J5*5)</f>
        <v>3E-9</v>
      </c>
      <c r="K109" s="84">
        <f>IF(OR(K1="物理",K1="化學",K1="生物",K1="組合科學(物理、化學)",K1="組合科學(生物、化學)",K1="組合科學(物理、生物)"),K5*10,K5*5)</f>
        <v>3.4999999999999999E-9</v>
      </c>
      <c r="L109" s="84">
        <f>IF(OR(L1="物理",L1="化學",L1="生物",L1="組合科學(物理、化學)",L1="組合科學(生物、化學)",L1="組合科學(物理、生物)"),L5*10,L5*5)</f>
        <v>4.0000000000000002E-9</v>
      </c>
      <c r="M109" s="84">
        <f>IF(OR(M1="物理",M1="化學",M1="生物",M1="組合科學(物理、化學)",M1="組合科學(生物、化學)",M1="組合科學(物理、生物)"),M5*10,M5*5)</f>
        <v>4.4999999999999998E-9</v>
      </c>
      <c r="N109" s="84">
        <f>N5*5</f>
        <v>4.7500000000000003E-9</v>
      </c>
    </row>
    <row r="110" spans="1:15">
      <c r="A110" s="84" t="s">
        <v>397</v>
      </c>
      <c r="B110" s="84" t="s">
        <v>487</v>
      </c>
      <c r="C110" s="209" t="s">
        <v>189</v>
      </c>
      <c r="D110" s="84">
        <f t="shared" ref="D110:D118" si="68">LARGE((E110:N110),1)+LARGE((E110:N110),2)+LARGE((E110:N110),3)+LARGE((E110:N110),4)+LARGE((E110:N110),5)</f>
        <v>2.175E-8</v>
      </c>
      <c r="E110" s="84">
        <f>E5*7</f>
        <v>7.0000000000000006E-10</v>
      </c>
      <c r="F110" s="84">
        <f>F5*10</f>
        <v>2.0000000000000001E-9</v>
      </c>
      <c r="G110" s="84">
        <f>G5*10</f>
        <v>3E-9</v>
      </c>
      <c r="H110" s="84">
        <f>H5*7</f>
        <v>2.8000000000000003E-9</v>
      </c>
      <c r="I110" s="84">
        <f>I5*10</f>
        <v>5.0000000000000001E-9</v>
      </c>
      <c r="J110" s="84">
        <f>IF(OR(J1="物理",J1="化學",J1="生物",J1="組合科學(物理、化學)",J1="組合科學(生物、化學)",J1="組合科學(物理、生物)",J1="資訊及通訊科技"),J5*10,J5*5)</f>
        <v>3E-9</v>
      </c>
      <c r="K110" s="84">
        <f>IF(OR(K1="物理",K1="化學",K1="生物",K1="組合科學(物理、化學)",K1="組合科學(生物、化學)",K1="組合科學(物理、生物)",K1="資訊及通訊科技"),K5*10,K5*5)</f>
        <v>3.4999999999999999E-9</v>
      </c>
      <c r="L110" s="84">
        <f>IF(OR(L1="物理",L1="化學",L1="生物",L1="組合科學(物理、化學)",L1="組合科學(生物、化學)",L1="組合科學(物理、生物)",L1="資訊及通訊科技"),L5*10,L5*5)</f>
        <v>4.0000000000000002E-9</v>
      </c>
      <c r="M110" s="84">
        <f>IF(OR(M1="物理",M1="化學",M1="生物",M1="組合科學(物理、化學)",M1="組合科學(生物、化學)",M1="組合科學(物理、生物)",M1="資訊及通訊科技"),M5*10,M5*5)</f>
        <v>4.4999999999999998E-9</v>
      </c>
      <c r="N110" s="84">
        <f>N5*5</f>
        <v>4.7500000000000003E-9</v>
      </c>
    </row>
    <row r="111" spans="1:15">
      <c r="A111" s="84" t="s">
        <v>398</v>
      </c>
      <c r="B111" s="84" t="s">
        <v>488</v>
      </c>
      <c r="C111" s="250" t="s">
        <v>189</v>
      </c>
      <c r="D111" s="84">
        <f t="shared" si="68"/>
        <v>1.9750000000000001E-8</v>
      </c>
      <c r="E111" s="84">
        <f>E5*7</f>
        <v>7.0000000000000006E-10</v>
      </c>
      <c r="F111" s="84">
        <f>F5*10</f>
        <v>2.0000000000000001E-9</v>
      </c>
      <c r="G111" s="84">
        <f>G5*10</f>
        <v>3E-9</v>
      </c>
      <c r="H111" s="84">
        <f>H5*7</f>
        <v>2.8000000000000003E-9</v>
      </c>
      <c r="I111" s="84">
        <f>I5*5</f>
        <v>2.5000000000000001E-9</v>
      </c>
      <c r="J111" s="84">
        <f>IF(OR(J1="物理",J1="化學",J1="組合科學(物理、化學)",J1="組合科學(生物、化學)",J1="組合科學(物理、生物)"),J5*10,J5*5)</f>
        <v>3E-9</v>
      </c>
      <c r="K111" s="84">
        <f>IF(OR(K1="物理",K1="化學",K1="組合科學(物理、化學)",K1="組合科學(生物、化學)",K1="組合科學(物理、生物)"),K5*10,K5*5)</f>
        <v>3.4999999999999999E-9</v>
      </c>
      <c r="L111" s="84">
        <f>IF(OR(L1="物理",L1="化學",L1="組合科學(物理、化學)",L1="組合科學(生物、化學)",L1="組合科學(物理、生物)"),L5*10,L5*5)</f>
        <v>4.0000000000000002E-9</v>
      </c>
      <c r="M111" s="84">
        <f>IF(OR(M1="物理",M1="化學",M1="組合科學(物理、化學)",M1="組合科學(生物、化學)",M1="組合科學(物理、生物)"),M5*10,M5*5)</f>
        <v>4.4999999999999998E-9</v>
      </c>
      <c r="N111" s="84">
        <f>N5*5</f>
        <v>4.7500000000000003E-9</v>
      </c>
    </row>
    <row r="112" spans="1:15">
      <c r="A112" s="84" t="s">
        <v>399</v>
      </c>
      <c r="B112" s="84" t="s">
        <v>489</v>
      </c>
      <c r="C112" s="250" t="s">
        <v>189</v>
      </c>
      <c r="D112" s="84">
        <f t="shared" si="68"/>
        <v>1.9750000000000001E-8</v>
      </c>
      <c r="E112" s="84">
        <f>E5*7</f>
        <v>7.0000000000000006E-10</v>
      </c>
      <c r="F112" s="84">
        <f>F5*10</f>
        <v>2.0000000000000001E-9</v>
      </c>
      <c r="G112" s="84">
        <f>G5*10</f>
        <v>3E-9</v>
      </c>
      <c r="H112" s="84">
        <f>H5*7</f>
        <v>2.8000000000000003E-9</v>
      </c>
      <c r="I112" s="84">
        <f t="shared" ref="I112:N112" si="69">I5*5</f>
        <v>2.5000000000000001E-9</v>
      </c>
      <c r="J112" s="84">
        <f t="shared" si="69"/>
        <v>3E-9</v>
      </c>
      <c r="K112" s="84">
        <f t="shared" si="69"/>
        <v>3.4999999999999999E-9</v>
      </c>
      <c r="L112" s="84">
        <f t="shared" si="69"/>
        <v>4.0000000000000002E-9</v>
      </c>
      <c r="M112" s="84">
        <f t="shared" si="69"/>
        <v>4.4999999999999998E-9</v>
      </c>
      <c r="N112" s="84">
        <f t="shared" si="69"/>
        <v>4.7500000000000003E-9</v>
      </c>
    </row>
    <row r="113" spans="1:20">
      <c r="A113" s="84" t="s">
        <v>400</v>
      </c>
      <c r="B113" s="84" t="s">
        <v>490</v>
      </c>
      <c r="C113" s="209" t="s">
        <v>189</v>
      </c>
      <c r="D113" s="84">
        <f t="shared" si="68"/>
        <v>3.875E-8</v>
      </c>
      <c r="E113" s="84">
        <f>E5*7</f>
        <v>7.0000000000000006E-10</v>
      </c>
      <c r="F113" s="84">
        <f>F5*10</f>
        <v>2.0000000000000001E-9</v>
      </c>
      <c r="G113" s="84">
        <f>G5*7</f>
        <v>2.0999999999999998E-9</v>
      </c>
      <c r="H113" s="84">
        <f>H5*7</f>
        <v>2.8000000000000003E-9</v>
      </c>
      <c r="I113" s="84">
        <f>I5*5</f>
        <v>2.5000000000000001E-9</v>
      </c>
      <c r="J113" s="84">
        <f>J5*5</f>
        <v>3E-9</v>
      </c>
      <c r="K113" s="84">
        <f>K5*5</f>
        <v>3.4999999999999999E-9</v>
      </c>
      <c r="L113" s="84">
        <f>L5*5</f>
        <v>4.0000000000000002E-9</v>
      </c>
      <c r="M113" s="84">
        <f>M5*5</f>
        <v>4.4999999999999998E-9</v>
      </c>
      <c r="N113" s="84">
        <f>N5*5*5</f>
        <v>2.3750000000000001E-8</v>
      </c>
    </row>
    <row r="114" spans="1:20">
      <c r="A114" s="84" t="s">
        <v>401</v>
      </c>
      <c r="B114" s="84" t="s">
        <v>491</v>
      </c>
      <c r="C114" s="209" t="s">
        <v>189</v>
      </c>
      <c r="D114" s="84">
        <f t="shared" si="68"/>
        <v>1.8250000000000001E-8</v>
      </c>
      <c r="E114" s="84">
        <f>E5*7</f>
        <v>7.0000000000000006E-10</v>
      </c>
      <c r="F114" s="84">
        <f>F5*10</f>
        <v>2.0000000000000001E-9</v>
      </c>
      <c r="G114" s="84">
        <f>G5*10</f>
        <v>3E-9</v>
      </c>
      <c r="H114" s="84">
        <f>H5*7</f>
        <v>2.8000000000000003E-9</v>
      </c>
      <c r="I114" s="84">
        <f>I5*5</f>
        <v>2.5000000000000001E-9</v>
      </c>
      <c r="J114" s="84">
        <f>J5*5</f>
        <v>3E-9</v>
      </c>
      <c r="K114" s="84">
        <f>K5*5</f>
        <v>3.4999999999999999E-9</v>
      </c>
      <c r="L114" s="84">
        <f>L5*5</f>
        <v>4.0000000000000002E-9</v>
      </c>
      <c r="M114" s="84">
        <f>M5</f>
        <v>8.9999999999999999E-10</v>
      </c>
      <c r="N114" s="84">
        <f>N5*5</f>
        <v>4.7500000000000003E-9</v>
      </c>
    </row>
    <row r="115" spans="1:20">
      <c r="A115" s="84" t="s">
        <v>402</v>
      </c>
      <c r="B115" s="84" t="s">
        <v>492</v>
      </c>
      <c r="C115" s="209" t="s">
        <v>548</v>
      </c>
      <c r="D115" s="84">
        <f>LARGE((E115:N115),1)+LARGE((E115:N115),2)+LARGE((E115:N115),3)+LARGE((E115:N115),4)+LARGE((E115:N115),5)+LARGE((E115:N115),6)</f>
        <v>2.475E-8</v>
      </c>
      <c r="E115" s="84">
        <f>E5*7</f>
        <v>7.0000000000000006E-10</v>
      </c>
      <c r="F115" s="84">
        <f>F5*10</f>
        <v>2.0000000000000001E-9</v>
      </c>
      <c r="G115" s="84">
        <f>G5*10</f>
        <v>3E-9</v>
      </c>
      <c r="H115" s="84">
        <f>H5*7</f>
        <v>2.8000000000000003E-9</v>
      </c>
      <c r="I115" s="84">
        <f>I5*10</f>
        <v>5.0000000000000001E-9</v>
      </c>
      <c r="J115" s="84">
        <f>IF(OR(J1="化學",J1="生物",J1="組合科學(生物、化學)"),J5*10,J5*5)</f>
        <v>3E-9</v>
      </c>
      <c r="K115" s="84">
        <f>IF(OR(K1="化學",K1="生物",K1="組合科學(生物、化學)"),K5*10,K5*5)</f>
        <v>3.4999999999999999E-9</v>
      </c>
      <c r="L115" s="84">
        <f>IF(OR(L1="化學",L1="生物",L1="組合科學(生物、化學)"),L5*10,L5*5)</f>
        <v>4.0000000000000002E-9</v>
      </c>
      <c r="M115" s="84">
        <f>IF(OR(M1="化學",M1="生物",M1="組合科學(生物、化學)"),M5*10,M5*5)</f>
        <v>4.4999999999999998E-9</v>
      </c>
      <c r="N115" s="84">
        <f>N5*5</f>
        <v>4.7500000000000003E-9</v>
      </c>
    </row>
    <row r="116" spans="1:20">
      <c r="A116" s="84" t="s">
        <v>403</v>
      </c>
      <c r="B116" s="84" t="s">
        <v>493</v>
      </c>
      <c r="C116" s="209" t="s">
        <v>189</v>
      </c>
      <c r="D116" s="84">
        <f t="shared" si="68"/>
        <v>1.9750000000000001E-8</v>
      </c>
      <c r="E116" s="84">
        <f>E5*7</f>
        <v>7.0000000000000006E-10</v>
      </c>
      <c r="F116" s="84">
        <f>F5*10</f>
        <v>2.0000000000000001E-9</v>
      </c>
      <c r="G116" s="84">
        <f>G5*7</f>
        <v>2.0999999999999998E-9</v>
      </c>
      <c r="H116" s="84">
        <f>H5*7</f>
        <v>2.8000000000000003E-9</v>
      </c>
      <c r="I116" s="84">
        <f>I5*5</f>
        <v>2.5000000000000001E-9</v>
      </c>
      <c r="J116" s="84">
        <f>IF(OR(J1="化學",J1="組合科學(物理、化學)",J1="組合科學(生物、化學)",J1="設計及應用科技",J1="視覺藝術"),J5*10,J5*5)</f>
        <v>3E-9</v>
      </c>
      <c r="K116" s="84">
        <f>IF(OR(K1="化學",K1="組合科學(物理、化學)",K1="組合科學(生物、化學)",K1="設計及應用科技",K1="視覺藝術"),K5*10,K5*5)</f>
        <v>3.4999999999999999E-9</v>
      </c>
      <c r="L116" s="84">
        <f>IF(OR(L1="化學",L1="組合科學(物理、化學)",L1="組合科學(生物、化學)",L1="設計及應用科技",L1="視覺藝術"),L5*10,L5*5)</f>
        <v>4.0000000000000002E-9</v>
      </c>
      <c r="M116" s="84">
        <f>IF(OR(M1="化學",M1="組合科學(物理、化學)",M1="組合科學(生物、化學)",M1="設計及應用科技",M1="視覺藝術"),M5*10,M5*5)</f>
        <v>4.4999999999999998E-9</v>
      </c>
      <c r="N116" s="84">
        <f>N5*5</f>
        <v>4.7500000000000003E-9</v>
      </c>
    </row>
    <row r="117" spans="1:20">
      <c r="A117" s="84" t="s">
        <v>404</v>
      </c>
      <c r="B117" s="84" t="s">
        <v>494</v>
      </c>
      <c r="C117" s="209" t="s">
        <v>189</v>
      </c>
      <c r="D117" s="84">
        <f>LARGE((E117:N117),1)+LARGE((E117:N117),2)+LARGE((E117:N117),3)+LARGE((E117:N117),4)+LARGE((E117:N117),5)</f>
        <v>2.175E-8</v>
      </c>
      <c r="E117" s="84">
        <f>E5*7</f>
        <v>7.0000000000000006E-10</v>
      </c>
      <c r="F117" s="84">
        <f>F5*10</f>
        <v>2.0000000000000001E-9</v>
      </c>
      <c r="G117" s="84">
        <f>G5*10</f>
        <v>3E-9</v>
      </c>
      <c r="H117" s="84">
        <f>H5*7</f>
        <v>2.8000000000000003E-9</v>
      </c>
      <c r="I117" s="84">
        <f>I5*10</f>
        <v>5.0000000000000001E-9</v>
      </c>
      <c r="J117" s="84">
        <f>IF(OR(J1="物理",J1="化學",J1="組合科學(物理、化學)",J1="組合科學(生物、化學)",J1="組合科學(物理、生物)"),J5*10,J5*5)</f>
        <v>3E-9</v>
      </c>
      <c r="K117" s="84">
        <f>IF(OR(K1="物理",K1="化學",K1="組合科學(物理、化學)",K1="組合科學(生物、化學)",K1="組合科學(物理、生物)"),K5*10,K5*5)</f>
        <v>3.4999999999999999E-9</v>
      </c>
      <c r="L117" s="84">
        <f>IF(OR(L1="物理",L1="化學",L1="組合科學(物理、化學)",L1="組合科學(生物、化學)",L1="組合科學(物理、生物)"),L5*10,L5*5)</f>
        <v>4.0000000000000002E-9</v>
      </c>
      <c r="M117" s="84">
        <f>IF(OR(M1="物理",M1="化學",M1="組合科學(物理、化學)",M1="組合科學(生物、化學)",M1="組合科學(物理、生物)"),M5*10,M5*5)</f>
        <v>4.4999999999999998E-9</v>
      </c>
      <c r="N117" s="84">
        <f>N5*5</f>
        <v>4.7500000000000003E-9</v>
      </c>
    </row>
    <row r="118" spans="1:20">
      <c r="A118" s="84" t="s">
        <v>405</v>
      </c>
      <c r="B118" s="84" t="s">
        <v>495</v>
      </c>
      <c r="C118" s="209" t="s">
        <v>189</v>
      </c>
      <c r="D118" s="84">
        <f t="shared" si="68"/>
        <v>2.175E-8</v>
      </c>
      <c r="E118" s="84">
        <f>E5*7</f>
        <v>7.0000000000000006E-10</v>
      </c>
      <c r="F118" s="84">
        <f>F5*10</f>
        <v>2.0000000000000001E-9</v>
      </c>
      <c r="G118" s="84">
        <f>G5*10</f>
        <v>3E-9</v>
      </c>
      <c r="H118" s="84">
        <f>H5*7</f>
        <v>2.8000000000000003E-9</v>
      </c>
      <c r="I118" s="84">
        <f>I5*10</f>
        <v>5.0000000000000001E-9</v>
      </c>
      <c r="J118" s="84">
        <f>IF(OR(J1="物理",J1="化學",J1="組合科學(物理、化學)",J1="組合科學(生物、化學)",J1="組合科學(物理、生物)"),J5*10,J5*5)</f>
        <v>3E-9</v>
      </c>
      <c r="K118" s="84">
        <f>IF(OR(K1="物理",K1="化學",K1="組合科學(物理、化學)",K1="組合科學(生物、化學)",K1="組合科學(物理、生物)"),K5*10,K5*5)</f>
        <v>3.4999999999999999E-9</v>
      </c>
      <c r="L118" s="84">
        <f>IF(OR(L1="物理",L1="化學",L1="組合科學(物理、化學)",L1="組合科學(生物、化學)",L1="組合科學(物理、生物)"),L5*10,L5*5)</f>
        <v>4.0000000000000002E-9</v>
      </c>
      <c r="M118" s="84">
        <f>IF(OR(M1="物理",M1="化學",M1="組合科學(物理、化學)",M1="組合科學(生物、化學)",M1="組合科學(物理、生物)"),M5*10,M5*5)</f>
        <v>4.4999999999999998E-9</v>
      </c>
      <c r="N118" s="84">
        <f>N5*5</f>
        <v>4.7500000000000003E-9</v>
      </c>
    </row>
    <row r="119" spans="1:20">
      <c r="A119" s="84" t="s">
        <v>406</v>
      </c>
      <c r="B119" s="84" t="s">
        <v>496</v>
      </c>
      <c r="C119" s="209" t="s">
        <v>189</v>
      </c>
      <c r="D119" s="84">
        <f t="shared" ref="D119:D124" si="70">LARGE((E119:N119),1)+LARGE((E119:N119),2)+LARGE((E119:N119),3)+LARGE((E119:N119),4)+LARGE((E119:N119),5)</f>
        <v>1.9750000000000001E-8</v>
      </c>
      <c r="E119" s="84">
        <f>E5*7</f>
        <v>7.0000000000000006E-10</v>
      </c>
      <c r="F119" s="84">
        <f>F5*10</f>
        <v>2.0000000000000001E-9</v>
      </c>
      <c r="G119" s="84">
        <f>G5*10</f>
        <v>3E-9</v>
      </c>
      <c r="H119" s="84">
        <f>H5*7</f>
        <v>2.8000000000000003E-9</v>
      </c>
      <c r="I119" s="84">
        <f t="shared" ref="I119:N119" si="71">I5*5</f>
        <v>2.5000000000000001E-9</v>
      </c>
      <c r="J119" s="84">
        <f t="shared" si="71"/>
        <v>3E-9</v>
      </c>
      <c r="K119" s="84">
        <f t="shared" si="71"/>
        <v>3.4999999999999999E-9</v>
      </c>
      <c r="L119" s="84">
        <f t="shared" si="71"/>
        <v>4.0000000000000002E-9</v>
      </c>
      <c r="M119" s="84">
        <f t="shared" si="71"/>
        <v>4.4999999999999998E-9</v>
      </c>
      <c r="N119" s="84">
        <f t="shared" si="71"/>
        <v>4.7500000000000003E-9</v>
      </c>
    </row>
    <row r="120" spans="1:20">
      <c r="A120" s="84" t="s">
        <v>407</v>
      </c>
      <c r="B120" s="84" t="s">
        <v>497</v>
      </c>
      <c r="C120" s="209" t="s">
        <v>189</v>
      </c>
      <c r="D120" s="84">
        <f t="shared" si="70"/>
        <v>2.0749999999999997E-8</v>
      </c>
      <c r="E120" s="84">
        <f>E5*10</f>
        <v>1.0000000000000001E-9</v>
      </c>
      <c r="F120" s="84">
        <f>F5*10</f>
        <v>2.0000000000000001E-9</v>
      </c>
      <c r="G120" s="84">
        <f>G5*10</f>
        <v>3E-9</v>
      </c>
      <c r="H120" s="84">
        <f>H5*10</f>
        <v>4.0000000000000002E-9</v>
      </c>
      <c r="I120" s="84">
        <f>I5*5</f>
        <v>2.5000000000000001E-9</v>
      </c>
      <c r="J120" s="84">
        <f>IF(OR(J1="設計與應用科技",J1="視覺藝術"),J5*10,J5*5)</f>
        <v>3E-9</v>
      </c>
      <c r="K120" s="84">
        <f>IF(OR(K1="設計與應用科技",K1="視覺藝術"),K5*10,K5*5)</f>
        <v>3.4999999999999999E-9</v>
      </c>
      <c r="L120" s="84">
        <f>IF(OR(L1="設計與應用科技",L1="視覺藝術"),L5*10,L5*5)</f>
        <v>4.0000000000000002E-9</v>
      </c>
      <c r="M120" s="84">
        <f>IF(OR(M1="設計與應用科技",M1="視覺藝術"),M5*10,M5*5)</f>
        <v>4.4999999999999998E-9</v>
      </c>
      <c r="N120" s="84">
        <f>N5*5</f>
        <v>4.7500000000000003E-9</v>
      </c>
    </row>
    <row r="121" spans="1:20">
      <c r="A121" s="84" t="s">
        <v>408</v>
      </c>
      <c r="B121" s="84" t="s">
        <v>498</v>
      </c>
      <c r="C121" s="209" t="s">
        <v>189</v>
      </c>
      <c r="D121" s="84">
        <f t="shared" si="70"/>
        <v>1.9750000000000001E-8</v>
      </c>
      <c r="E121" s="84">
        <f>E5*7</f>
        <v>7.0000000000000006E-10</v>
      </c>
      <c r="F121" s="84">
        <f>F5*10</f>
        <v>2.0000000000000001E-9</v>
      </c>
      <c r="G121" s="84">
        <f>G5*10</f>
        <v>3E-9</v>
      </c>
      <c r="H121" s="84">
        <f>H5*7</f>
        <v>2.8000000000000003E-9</v>
      </c>
      <c r="I121" s="84">
        <f t="shared" ref="I121:N121" si="72">I5*5</f>
        <v>2.5000000000000001E-9</v>
      </c>
      <c r="J121" s="84">
        <f t="shared" si="72"/>
        <v>3E-9</v>
      </c>
      <c r="K121" s="84">
        <f t="shared" si="72"/>
        <v>3.4999999999999999E-9</v>
      </c>
      <c r="L121" s="84">
        <f t="shared" si="72"/>
        <v>4.0000000000000002E-9</v>
      </c>
      <c r="M121" s="84">
        <f t="shared" si="72"/>
        <v>4.4999999999999998E-9</v>
      </c>
      <c r="N121" s="84">
        <f t="shared" si="72"/>
        <v>4.7500000000000003E-9</v>
      </c>
    </row>
    <row r="122" spans="1:20">
      <c r="A122" s="84" t="s">
        <v>409</v>
      </c>
      <c r="B122" s="84" t="s">
        <v>499</v>
      </c>
      <c r="C122" s="209" t="s">
        <v>189</v>
      </c>
      <c r="D122" s="84">
        <f t="shared" si="70"/>
        <v>1.9750000000000001E-8</v>
      </c>
      <c r="E122" s="84">
        <f>E5*7</f>
        <v>7.0000000000000006E-10</v>
      </c>
      <c r="F122" s="84">
        <f>F5*10</f>
        <v>2.0000000000000001E-9</v>
      </c>
      <c r="G122" s="84">
        <f>G5*10</f>
        <v>3E-9</v>
      </c>
      <c r="H122" s="84">
        <f>H5*7</f>
        <v>2.8000000000000003E-9</v>
      </c>
      <c r="I122" s="84">
        <f t="shared" ref="I122:N122" si="73">I5*5</f>
        <v>2.5000000000000001E-9</v>
      </c>
      <c r="J122" s="84">
        <f t="shared" si="73"/>
        <v>3E-9</v>
      </c>
      <c r="K122" s="84">
        <f t="shared" si="73"/>
        <v>3.4999999999999999E-9</v>
      </c>
      <c r="L122" s="84">
        <f t="shared" si="73"/>
        <v>4.0000000000000002E-9</v>
      </c>
      <c r="M122" s="84">
        <f t="shared" si="73"/>
        <v>4.4999999999999998E-9</v>
      </c>
      <c r="N122" s="84">
        <f t="shared" si="73"/>
        <v>4.7500000000000003E-9</v>
      </c>
    </row>
    <row r="123" spans="1:20">
      <c r="A123" s="84" t="s">
        <v>410</v>
      </c>
      <c r="B123" s="84" t="s">
        <v>500</v>
      </c>
      <c r="C123" s="209" t="s">
        <v>189</v>
      </c>
      <c r="D123" s="84">
        <f t="shared" si="70"/>
        <v>1.9750000000000001E-8</v>
      </c>
      <c r="E123" s="84">
        <f>E5*7</f>
        <v>7.0000000000000006E-10</v>
      </c>
      <c r="F123" s="84">
        <f>F5*10</f>
        <v>2.0000000000000001E-9</v>
      </c>
      <c r="G123" s="84">
        <f>G5*10</f>
        <v>3E-9</v>
      </c>
      <c r="H123" s="84">
        <f>H5*7</f>
        <v>2.8000000000000003E-9</v>
      </c>
      <c r="I123" s="84">
        <f t="shared" ref="I123:N123" si="74">I5*5</f>
        <v>2.5000000000000001E-9</v>
      </c>
      <c r="J123" s="84">
        <f t="shared" si="74"/>
        <v>3E-9</v>
      </c>
      <c r="K123" s="84">
        <f t="shared" si="74"/>
        <v>3.4999999999999999E-9</v>
      </c>
      <c r="L123" s="84">
        <f t="shared" si="74"/>
        <v>4.0000000000000002E-9</v>
      </c>
      <c r="M123" s="84">
        <f t="shared" si="74"/>
        <v>4.4999999999999998E-9</v>
      </c>
      <c r="N123" s="84">
        <f t="shared" si="74"/>
        <v>4.7500000000000003E-9</v>
      </c>
    </row>
    <row r="124" spans="1:20">
      <c r="A124" s="84" t="s">
        <v>411</v>
      </c>
      <c r="B124" s="84" t="s">
        <v>501</v>
      </c>
      <c r="C124" s="209" t="s">
        <v>59</v>
      </c>
      <c r="D124" s="84">
        <f t="shared" si="70"/>
        <v>2.175E-8</v>
      </c>
      <c r="E124" s="84">
        <f>E5*7</f>
        <v>7.0000000000000006E-10</v>
      </c>
      <c r="F124" s="84">
        <f>F5*7</f>
        <v>1.4000000000000001E-9</v>
      </c>
      <c r="G124" s="84">
        <f>G5*10</f>
        <v>3E-9</v>
      </c>
      <c r="H124" s="84">
        <f>H5*7</f>
        <v>2.8000000000000003E-9</v>
      </c>
      <c r="I124" s="84">
        <f>I5*10</f>
        <v>5.0000000000000001E-9</v>
      </c>
      <c r="J124" s="84">
        <f>IF(OR(J1="物理",J1="化學",J1="生物",J1="組合科學(物理、化學)",J1="組合科學(生物、化學)",J1="組合科學(物理、生物)"),J5*10,J5*5)</f>
        <v>3E-9</v>
      </c>
      <c r="K124" s="84">
        <f>IF(OR(K1="物理",K1="化學",K1="生物",K1="組合科學(物理、化學)",K1="組合科學(生物、化學)",K1="組合科學(物理、生物)"),K5*10,K5*5)</f>
        <v>3.4999999999999999E-9</v>
      </c>
      <c r="L124" s="84">
        <f>IF(OR(L1="物理",L1="化學",L1="生物",L1="組合科學(物理、化學)",L1="組合科學(生物、化學)",L1="組合科學(物理、生物)"),L5*10,L5*5)</f>
        <v>4.0000000000000002E-9</v>
      </c>
      <c r="M124" s="84">
        <f>IF(OR(M1="物理",M1="化學",M1="生物",M1="組合科學(物理、化學)",M1="組合科學(生物、化學)",M1="組合科學(物理、生物)"),M5*10,M5*5)</f>
        <v>4.4999999999999998E-9</v>
      </c>
      <c r="N124" s="84">
        <f>N5*5</f>
        <v>4.7500000000000003E-9</v>
      </c>
    </row>
    <row r="125" spans="1:20">
      <c r="A125" s="88" t="s">
        <v>412</v>
      </c>
      <c r="B125" s="88" t="s">
        <v>502</v>
      </c>
      <c r="C125" s="209" t="s">
        <v>548</v>
      </c>
      <c r="D125" s="88">
        <f>LARGE((E125:N125),1)+LARGE((E125:N125),2)+LARGE((E125:N125),3)+LARGE((E125:N125),4)+LARGE((E125:N125),5)+LARGE((E125:N125),6)</f>
        <v>2.2750000000000002E-8</v>
      </c>
      <c r="E125" s="88">
        <f>E5*10</f>
        <v>1.0000000000000001E-9</v>
      </c>
      <c r="F125" s="88">
        <f>F5*10</f>
        <v>2.0000000000000001E-9</v>
      </c>
      <c r="G125" s="88">
        <f>G5*10</f>
        <v>3E-9</v>
      </c>
      <c r="H125" s="88">
        <f>H5*7</f>
        <v>2.8000000000000003E-9</v>
      </c>
      <c r="I125" s="88">
        <f>I5*5</f>
        <v>2.5000000000000001E-9</v>
      </c>
      <c r="J125" s="88">
        <f>IF(OR(J1="物理",J1="化學",J1="生物",J1="組合科學(物理、化學)",J1="組合科學(生物、化學)",J1="組合科學(物理、生物)"),J5*10,J5*5)</f>
        <v>3E-9</v>
      </c>
      <c r="K125" s="88">
        <f>IF(OR(K1="物理",K1="化學",K1="生物",K1="組合科學(物理、化學)",K1="組合科學(生物、化學)",K1="組合科學(物理、生物)",K1="綜合科學"),K5*10,K5*5)</f>
        <v>3.4999999999999999E-9</v>
      </c>
      <c r="L125" s="88">
        <f>IF(OR(L1="物理",L1="化學",L1="生物",L1="組合科學(物理、化學)",L1="組合科學(生物、化學)",L1="組合科學(物理、生物)",L1="綜合科學"),L5*10,L5*5)</f>
        <v>4.0000000000000002E-9</v>
      </c>
      <c r="M125" s="88">
        <f>IF(OR(M1="物理",M1="化學",M1="生物",M1="組合科學(物理、化學)",M1="組合科學(生物、化學)",M1="組合科學(物理、生物)",M1="綜合科學"),M5*10,M5*5)</f>
        <v>4.4999999999999998E-9</v>
      </c>
      <c r="N125" s="88">
        <f>N5*5</f>
        <v>4.7500000000000003E-9</v>
      </c>
    </row>
    <row r="126" spans="1:20" s="88" customFormat="1">
      <c r="A126" s="84" t="s">
        <v>413</v>
      </c>
      <c r="B126" s="84" t="s">
        <v>503</v>
      </c>
      <c r="C126" s="209" t="s">
        <v>548</v>
      </c>
      <c r="D126" s="84">
        <f>LARGE((E126:N126),1)+LARGE((E126:N126),2)+LARGE((E126:N126),3)+LARGE((E126:N126),4)+LARGE((E126:N126),5)+LARGE((E126:N126),6)</f>
        <v>2.255E-8</v>
      </c>
      <c r="E126" s="84">
        <f>E5*10</f>
        <v>1.0000000000000001E-9</v>
      </c>
      <c r="F126" s="84">
        <f>F5*10</f>
        <v>2.0000000000000001E-9</v>
      </c>
      <c r="G126" s="84">
        <f>G5*7</f>
        <v>2.0999999999999998E-9</v>
      </c>
      <c r="H126" s="84">
        <f>H5*7</f>
        <v>2.8000000000000003E-9</v>
      </c>
      <c r="I126" s="84">
        <f>I5*5</f>
        <v>2.5000000000000001E-9</v>
      </c>
      <c r="J126" s="84">
        <f>IF(OR(J1="物理",J1="生物",J1="組合科學(物理、化學)",J1="組合科學(生物、化學)",J1="組合科學(物理、生物)"),J5*10,J5*5)</f>
        <v>3E-9</v>
      </c>
      <c r="K126" s="84">
        <f>IF(OR(K1="物理",K1="生物",K1="組合科學(物理、化學)",K1="組合科學(生物、化學)",K1="組合科學(物理、生物)",K1="綜合科學"),K5*10,K5*5)</f>
        <v>3.4999999999999999E-9</v>
      </c>
      <c r="L126" s="84">
        <f>IF(OR(L1="物理",L1="生物",L1="組合科學(物理、化學)",L1="組合科學(生物、化學)",L1="組合科學(物理、生物)",L1="綜合科學"),L5*10,L5*5)</f>
        <v>4.0000000000000002E-9</v>
      </c>
      <c r="M126" s="84">
        <f>IF(OR(M1="物理",M1="生物",M1="組合科學(物理、化學)",M1="組合科學(生物、化學)",M1="組合科學(物理、生物)",M1="綜合科學"),M5*10,M5*5)</f>
        <v>4.4999999999999998E-9</v>
      </c>
      <c r="N126" s="84">
        <f>N5*5</f>
        <v>4.7500000000000003E-9</v>
      </c>
      <c r="T126" s="99"/>
    </row>
    <row r="127" spans="1:20">
      <c r="A127" s="84" t="s">
        <v>414</v>
      </c>
      <c r="B127" s="84" t="s">
        <v>504</v>
      </c>
      <c r="C127" s="209" t="s">
        <v>548</v>
      </c>
      <c r="D127" s="84">
        <f>LARGE((E127:N127),1)+LARGE((E127:N127),2)+LARGE((E127:N127),3)+LARGE((E127:N127),4)+LARGE((E127:N127),5)+LARGE((E127:N127),6)</f>
        <v>2.255E-8</v>
      </c>
      <c r="E127" s="84">
        <f>E5*10</f>
        <v>1.0000000000000001E-9</v>
      </c>
      <c r="F127" s="84">
        <f>F5*10</f>
        <v>2.0000000000000001E-9</v>
      </c>
      <c r="G127" s="84">
        <f>G5*7</f>
        <v>2.0999999999999998E-9</v>
      </c>
      <c r="H127" s="84">
        <f>H5*7</f>
        <v>2.8000000000000003E-9</v>
      </c>
      <c r="I127" s="84">
        <f>I5*5</f>
        <v>2.5000000000000001E-9</v>
      </c>
      <c r="J127" s="84">
        <f>IF(OR(J1="物理",J1="生物",J1="組合科學(物理、生物)"),J5*10,J5*5)</f>
        <v>3E-9</v>
      </c>
      <c r="K127" s="84">
        <f>IF(OR(K1="物理",K1="生物",K1="組合科學(物理、生物)"),K5*10,K5*5)</f>
        <v>3.4999999999999999E-9</v>
      </c>
      <c r="L127" s="84">
        <f>IF(OR(L1="物理",L1="生物",L1="組合科學(物理、生物)"),L5*10,L5*5)</f>
        <v>4.0000000000000002E-9</v>
      </c>
      <c r="M127" s="84">
        <f>IF(OR(M1="物理",M1="生物",M1="組合科學(物理、生物)"),M5*10,M5*5)</f>
        <v>4.4999999999999998E-9</v>
      </c>
      <c r="N127" s="84">
        <f>IF(OR(N1="物理",N1="生物",N1="組合科學(物理、生物)"),N5*10,N5*5)</f>
        <v>4.7500000000000003E-9</v>
      </c>
    </row>
    <row r="128" spans="1:20">
      <c r="A128" s="84" t="s">
        <v>415</v>
      </c>
      <c r="B128" s="84" t="s">
        <v>505</v>
      </c>
      <c r="C128" s="209" t="s">
        <v>190</v>
      </c>
      <c r="D128" s="84">
        <f>SUM(E128:H128)+LARGE((I128:N128),1)+LARGE((I128:N128),2)</f>
        <v>1.925E-8</v>
      </c>
      <c r="E128" s="84">
        <f>E5*10</f>
        <v>1.0000000000000001E-9</v>
      </c>
      <c r="F128" s="84">
        <f>F5*10</f>
        <v>2.0000000000000001E-9</v>
      </c>
      <c r="G128" s="84">
        <f>G5*10</f>
        <v>3E-9</v>
      </c>
      <c r="H128" s="84">
        <f>H5*10</f>
        <v>4.0000000000000002E-9</v>
      </c>
      <c r="I128" s="84">
        <f>I5*5</f>
        <v>2.5000000000000001E-9</v>
      </c>
      <c r="J128" s="84">
        <f>IF(OR(J1="生物",J1="組合科學(生物、化學)",J1="組合科學(物理、生物)"),J5*10,J5*5)</f>
        <v>3E-9</v>
      </c>
      <c r="K128" s="84">
        <f>IF(OR(K1="生物",K1="組合科學(生物、化學)",K1="組合科學(物理、生物)"),K5*10,K5*5)</f>
        <v>3.4999999999999999E-9</v>
      </c>
      <c r="L128" s="84">
        <f>IF(OR(L1="生物",L1="組合科學(生物、化學)",L1="組合科學(物理、生物)"),L5*10,L5*5)</f>
        <v>4.0000000000000002E-9</v>
      </c>
      <c r="M128" s="84">
        <f>IF(OR(M1="生物",M1="組合科學(生物、化學)",M1="組合科學(物理、生物)"),M5*10,M5*5)</f>
        <v>4.4999999999999998E-9</v>
      </c>
      <c r="N128" s="84">
        <f>N5*5</f>
        <v>4.7500000000000003E-9</v>
      </c>
    </row>
    <row r="129" spans="1:23">
      <c r="A129" s="84" t="s">
        <v>416</v>
      </c>
      <c r="B129" s="84" t="s">
        <v>506</v>
      </c>
      <c r="C129" s="209" t="s">
        <v>548</v>
      </c>
      <c r="D129" s="84">
        <f>LARGE((E129:N129),1)+LARGE((E129:N129),2)+LARGE((E129:N129),3)+LARGE((E129:N129),4)+LARGE((E129:N129),5)+LARGE((E129:N129),6)</f>
        <v>2.475E-8</v>
      </c>
      <c r="E129" s="84">
        <f>E5*7</f>
        <v>7.0000000000000006E-10</v>
      </c>
      <c r="F129" s="84">
        <f>F5*10</f>
        <v>2.0000000000000001E-9</v>
      </c>
      <c r="G129" s="84">
        <f>G5*10</f>
        <v>3E-9</v>
      </c>
      <c r="H129" s="84">
        <f>H5*7</f>
        <v>2.8000000000000003E-9</v>
      </c>
      <c r="I129" s="84">
        <f>I5*10</f>
        <v>5.0000000000000001E-9</v>
      </c>
      <c r="J129" s="84">
        <f>IF(OR(J1="物理",J1="化學",J1="生物",J1="組合科學(物理、化學)",J1="組合科學(生物、化學)",J1="組合科學(物理、生物)"),J5*10,J5*5)</f>
        <v>3E-9</v>
      </c>
      <c r="K129" s="84">
        <f>IF(OR(K1="物理",K1="化學",K1="生物",K1="組合科學(物理、化學)",K1="組合科學(生物、化學)",K1="組合科學(物理、生物)"),K5*10,K5*5)</f>
        <v>3.4999999999999999E-9</v>
      </c>
      <c r="L129" s="84">
        <f>IF(OR(L1="物理",L1="化學",L1="生物",L1="組合科學(物理、化學)",L1="組合科學(生物、化學)",L1="組合科學(物理、生物)"),L5*10,L5*5)</f>
        <v>4.0000000000000002E-9</v>
      </c>
      <c r="M129" s="84">
        <f>IF(OR(M1="物理",M1="化學",M1="生物",M1="組合科學(物理、化學)",M1="組合科學(生物、化學)",M1="組合科學(物理、生物)"),M5*10,M5*5)</f>
        <v>4.4999999999999998E-9</v>
      </c>
      <c r="N129" s="84">
        <f>N5*5</f>
        <v>4.7500000000000003E-9</v>
      </c>
    </row>
    <row r="130" spans="1:23">
      <c r="A130" s="84" t="s">
        <v>417</v>
      </c>
      <c r="B130" s="84" t="s">
        <v>507</v>
      </c>
      <c r="C130" s="209" t="s">
        <v>190</v>
      </c>
      <c r="D130" s="84">
        <f>SUM(E130:H130)+LARGE((I130:N130),1)+LARGE((I130:N130),2)</f>
        <v>1.625E-8</v>
      </c>
      <c r="E130" s="84">
        <f>E5*7</f>
        <v>7.0000000000000006E-10</v>
      </c>
      <c r="F130" s="84">
        <f>F5*7</f>
        <v>1.4000000000000001E-9</v>
      </c>
      <c r="G130" s="84">
        <f>G5*7</f>
        <v>2.0999999999999998E-9</v>
      </c>
      <c r="H130" s="84">
        <f>H5*7</f>
        <v>2.8000000000000003E-9</v>
      </c>
      <c r="I130" s="84">
        <f t="shared" ref="I130:N130" si="75">I5*5</f>
        <v>2.5000000000000001E-9</v>
      </c>
      <c r="J130" s="84">
        <f t="shared" si="75"/>
        <v>3E-9</v>
      </c>
      <c r="K130" s="84">
        <f t="shared" si="75"/>
        <v>3.4999999999999999E-9</v>
      </c>
      <c r="L130" s="84">
        <f t="shared" si="75"/>
        <v>4.0000000000000002E-9</v>
      </c>
      <c r="M130" s="84">
        <f t="shared" si="75"/>
        <v>4.4999999999999998E-9</v>
      </c>
      <c r="N130" s="84">
        <f t="shared" si="75"/>
        <v>4.7500000000000003E-9</v>
      </c>
    </row>
    <row r="131" spans="1:23">
      <c r="A131" s="84" t="s">
        <v>418</v>
      </c>
      <c r="B131" s="84" t="s">
        <v>508</v>
      </c>
      <c r="C131" s="209" t="s">
        <v>189</v>
      </c>
      <c r="D131" s="84">
        <f t="shared" ref="D131:D136" si="76">LARGE((E131:N131),1)+LARGE((E131:N131),2)+LARGE((E131:N131),3)+LARGE((E131:N131),4)+LARGE((E131:N131),5)</f>
        <v>1.9750000000000001E-8</v>
      </c>
      <c r="E131" s="84">
        <f>E5*7</f>
        <v>7.0000000000000006E-10</v>
      </c>
      <c r="F131" s="84">
        <f>F5*10</f>
        <v>2.0000000000000001E-9</v>
      </c>
      <c r="G131" s="84">
        <f>G5*10</f>
        <v>3E-9</v>
      </c>
      <c r="H131" s="84">
        <f>H5*7</f>
        <v>2.8000000000000003E-9</v>
      </c>
      <c r="I131" s="84">
        <f t="shared" ref="I131:N131" si="77">I5*5</f>
        <v>2.5000000000000001E-9</v>
      </c>
      <c r="J131" s="84">
        <f t="shared" si="77"/>
        <v>3E-9</v>
      </c>
      <c r="K131" s="84">
        <f t="shared" si="77"/>
        <v>3.4999999999999999E-9</v>
      </c>
      <c r="L131" s="84">
        <f t="shared" si="77"/>
        <v>4.0000000000000002E-9</v>
      </c>
      <c r="M131" s="84">
        <f t="shared" si="77"/>
        <v>4.4999999999999998E-9</v>
      </c>
      <c r="N131" s="84">
        <f t="shared" si="77"/>
        <v>4.7500000000000003E-9</v>
      </c>
    </row>
    <row r="132" spans="1:23">
      <c r="A132" s="84" t="s">
        <v>419</v>
      </c>
      <c r="B132" s="84" t="s">
        <v>509</v>
      </c>
      <c r="C132" s="209" t="s">
        <v>189</v>
      </c>
      <c r="D132" s="84">
        <f t="shared" si="76"/>
        <v>2.175E-8</v>
      </c>
      <c r="E132" s="84">
        <f>E5*7</f>
        <v>7.0000000000000006E-10</v>
      </c>
      <c r="F132" s="84">
        <f>F5*10</f>
        <v>2.0000000000000001E-9</v>
      </c>
      <c r="G132" s="84">
        <f>G5*10</f>
        <v>3E-9</v>
      </c>
      <c r="H132" s="84">
        <f>H5*7</f>
        <v>2.8000000000000003E-9</v>
      </c>
      <c r="I132" s="84">
        <f>I5*10</f>
        <v>5.0000000000000001E-9</v>
      </c>
      <c r="J132" s="84">
        <f>IF(OR(J1="物理",J1="化學",J1="生物",J1="組合科學(物理、化學)",J1="組合科學(生物、化學)",J1="組合科學(物理、生物)",J1="資訊及通訊科技"),J5*10,J5*5)</f>
        <v>3E-9</v>
      </c>
      <c r="K132" s="84">
        <f>IF(OR(K1="物理",K1="化學",K1="生物",K1="組合科學(物理、化學)",K1="組合科學(生物、化學)",K1="組合科學(物理、生物)",K1="資訊及通訊科技"),K5*10,K5*5)</f>
        <v>3.4999999999999999E-9</v>
      </c>
      <c r="L132" s="84">
        <f>IF(OR(L1="物理",L1="化學",L1="生物",L1="組合科學(物理、化學)",L1="組合科學(生物、化學)",L1="組合科學(物理、生物)",L1="資訊及通訊科技"),L5*10,L5*5)</f>
        <v>4.0000000000000002E-9</v>
      </c>
      <c r="M132" s="84">
        <f>IF(OR(M1="物理",M1="化學",M1="生物",M1="組合科學(物理、化學)",M1="組合科學(生物、化學)",M1="組合科學(物理、生物)",M1="資訊及通訊科技"),M5*10,M5*5)</f>
        <v>4.4999999999999998E-9</v>
      </c>
      <c r="N132" s="84">
        <f>N5*5</f>
        <v>4.7500000000000003E-9</v>
      </c>
    </row>
    <row r="133" spans="1:23">
      <c r="A133" s="84" t="s">
        <v>420</v>
      </c>
      <c r="B133" s="84" t="s">
        <v>510</v>
      </c>
      <c r="C133" s="209" t="s">
        <v>189</v>
      </c>
      <c r="D133" s="84">
        <f t="shared" si="76"/>
        <v>2.175E-8</v>
      </c>
      <c r="E133" s="84">
        <f>E5*7</f>
        <v>7.0000000000000006E-10</v>
      </c>
      <c r="F133" s="84">
        <f>F5*10</f>
        <v>2.0000000000000001E-9</v>
      </c>
      <c r="G133" s="84">
        <f>G5*10</f>
        <v>3E-9</v>
      </c>
      <c r="H133" s="84">
        <f>H5*7</f>
        <v>2.8000000000000003E-9</v>
      </c>
      <c r="I133" s="84">
        <f>I5*10</f>
        <v>5.0000000000000001E-9</v>
      </c>
      <c r="J133" s="84">
        <f>IF(OR(J1="物理",J1="化學",J1="生物",J1="組合科學(物理、化學)",J1="組合科學(生物、化學)",J1="組合科學(物理、生物)",J1="資訊及通訊科技"),J5*10,J5*5)</f>
        <v>3E-9</v>
      </c>
      <c r="K133" s="84">
        <f>IF(OR(K1="物理",K1="化學",K1="生物",K1="組合科學(物理、化學)",K1="組合科學(生物、化學)",K1="組合科學(物理、生物)",K1="資訊及通訊科技"),K5*10,K5*5)</f>
        <v>3.4999999999999999E-9</v>
      </c>
      <c r="L133" s="84">
        <f>IF(OR(L1="物理",L1="化學",L1="生物",L1="組合科學(物理、化學)",L1="組合科學(生物、化學)",L1="組合科學(物理、生物)",L1="資訊及通訊科技"),L5*10,L5*5)</f>
        <v>4.0000000000000002E-9</v>
      </c>
      <c r="M133" s="84">
        <f>IF(OR(M1="物理",M1="化學",M1="生物",M1="組合科學(物理、化學)",M1="組合科學(生物、化學)",M1="組合科學(物理、生物)",M1="資訊及通訊科技"),M5*10,M5*5)</f>
        <v>4.4999999999999998E-9</v>
      </c>
      <c r="N133" s="84">
        <f>N5*5</f>
        <v>4.7500000000000003E-9</v>
      </c>
    </row>
    <row r="134" spans="1:23">
      <c r="A134" s="84" t="s">
        <v>421</v>
      </c>
      <c r="B134" s="84" t="s">
        <v>511</v>
      </c>
      <c r="C134" s="209" t="s">
        <v>189</v>
      </c>
      <c r="D134" s="84">
        <f t="shared" si="76"/>
        <v>2.175E-8</v>
      </c>
      <c r="E134" s="84">
        <f>E5*7</f>
        <v>7.0000000000000006E-10</v>
      </c>
      <c r="F134" s="84">
        <f>F5*10</f>
        <v>2.0000000000000001E-9</v>
      </c>
      <c r="G134" s="84">
        <f>G5*10</f>
        <v>3E-9</v>
      </c>
      <c r="H134" s="84">
        <f>H5*7</f>
        <v>2.8000000000000003E-9</v>
      </c>
      <c r="I134" s="84">
        <f>I5*10</f>
        <v>5.0000000000000001E-9</v>
      </c>
      <c r="J134" s="84">
        <f>IF(OR(J1="物理",J1="組合科學(物理、化學)",J1="組合科學(物理、生物)"),J5*10,J5*5)</f>
        <v>3E-9</v>
      </c>
      <c r="K134" s="84">
        <f>IF(OR(K1="物理",K1="組合科學(物理、化學)",K1="組合科學(物理、生物)"),K5*10,K5*5)</f>
        <v>3.4999999999999999E-9</v>
      </c>
      <c r="L134" s="84">
        <f>IF(OR(L1="物理",L1="組合科學(物理、化學)",L1="組合科學(物理、生物)"),L5*10,L5*5)</f>
        <v>4.0000000000000002E-9</v>
      </c>
      <c r="M134" s="84">
        <f>IF(OR(M1="物理",M1="組合科學(物理、化學)",M1="組合科學(物理、生物)"),M5*10,M5*5)</f>
        <v>4.4999999999999998E-9</v>
      </c>
      <c r="N134" s="84">
        <f>N5*5</f>
        <v>4.7500000000000003E-9</v>
      </c>
    </row>
    <row r="135" spans="1:23">
      <c r="A135" s="84" t="s">
        <v>422</v>
      </c>
      <c r="B135" s="84" t="s">
        <v>512</v>
      </c>
      <c r="C135" s="209" t="s">
        <v>189</v>
      </c>
      <c r="D135" s="84">
        <f t="shared" si="76"/>
        <v>2.175E-8</v>
      </c>
      <c r="E135" s="84">
        <f>E5*7</f>
        <v>7.0000000000000006E-10</v>
      </c>
      <c r="F135" s="84">
        <f>F5*10</f>
        <v>2.0000000000000001E-9</v>
      </c>
      <c r="G135" s="84">
        <f>G5*10</f>
        <v>3E-9</v>
      </c>
      <c r="H135" s="84">
        <f>H5*7</f>
        <v>2.8000000000000003E-9</v>
      </c>
      <c r="I135" s="84">
        <f>I5*10</f>
        <v>5.0000000000000001E-9</v>
      </c>
      <c r="J135" s="84">
        <f>IF(OR(J1="物理",J1="化學",J1="生物",J1="組合科學(物理、化學)",J1="組合科學(生物、化學)",J1="組合科學(物理、生物)",J1="資訊及通訊科技"),J5*10,J5*5)</f>
        <v>3E-9</v>
      </c>
      <c r="K135" s="84">
        <f>IF(OR(K1="物理",K1="化學",K1="生物",K1="組合科學(物理、化學)",K1="組合科學(生物、化學)",K1="組合科學(物理、生物)",K1="資訊及通訊科技"),K5*10,K5*5)</f>
        <v>3.4999999999999999E-9</v>
      </c>
      <c r="L135" s="84">
        <f>IF(OR(L1="物理",L1="化學",L1="生物",L1="組合科學(物理、化學)",L1="組合科學(生物、化學)",L1="組合科學(物理、生物)",L1="資訊及通訊科技"),L5*10,L5*5)</f>
        <v>4.0000000000000002E-9</v>
      </c>
      <c r="M135" s="84">
        <f>IF(OR(M1="物理",M1="化學",M1="生物",M1="組合科學(物理、化學)",M1="組合科學(生物、化學)",M1="組合科學(物理、生物)",M1="資訊及通訊科技"),M5*10,M5*5)</f>
        <v>4.4999999999999998E-9</v>
      </c>
      <c r="N135" s="84">
        <f>N5*5</f>
        <v>4.7500000000000003E-9</v>
      </c>
    </row>
    <row r="136" spans="1:23">
      <c r="A136" s="84" t="s">
        <v>423</v>
      </c>
      <c r="B136" s="84" t="s">
        <v>513</v>
      </c>
      <c r="C136" s="209" t="s">
        <v>189</v>
      </c>
      <c r="D136" s="84">
        <f t="shared" si="76"/>
        <v>1.9750000000000001E-8</v>
      </c>
      <c r="E136" s="84">
        <f>E5*7</f>
        <v>7.0000000000000006E-10</v>
      </c>
      <c r="F136" s="84">
        <f>F5*10</f>
        <v>2.0000000000000001E-9</v>
      </c>
      <c r="G136" s="84">
        <f>G5*10</f>
        <v>3E-9</v>
      </c>
      <c r="H136" s="84">
        <f>H5*7</f>
        <v>2.8000000000000003E-9</v>
      </c>
      <c r="I136" s="84">
        <f>I5*5</f>
        <v>2.5000000000000001E-9</v>
      </c>
      <c r="J136" s="84">
        <f>IF(OR(J1="物理",J1="組合科學(物理、化學)",J1="組合科學(物理、生物)"),J5*10,J5*5)</f>
        <v>3E-9</v>
      </c>
      <c r="K136" s="84">
        <f>IF(OR(K1="物理",K1="組合科學(物理、化學)",K1="組合科學(物理、生物)"),K5*10,K5*5)</f>
        <v>3.4999999999999999E-9</v>
      </c>
      <c r="L136" s="84">
        <f>IF(OR(L1="物理",L1="組合科學(物理、化學)",L1="組合科學(物理、生物)"),L5*10,L5*5)</f>
        <v>4.0000000000000002E-9</v>
      </c>
      <c r="M136" s="84">
        <f>IF(OR(M1="物理",M1="組合科學(物理、化學)",M1="組合科學(物理、生物)"),M5*10,M5*5)</f>
        <v>4.4999999999999998E-9</v>
      </c>
      <c r="N136" s="84">
        <f>N5*5</f>
        <v>4.7500000000000003E-9</v>
      </c>
    </row>
    <row r="137" spans="1:23">
      <c r="A137" s="84" t="s">
        <v>424</v>
      </c>
      <c r="B137" s="84" t="s">
        <v>514</v>
      </c>
      <c r="C137" s="209" t="s">
        <v>190</v>
      </c>
      <c r="D137" s="84">
        <f>SUM(E137:H137)+LARGE((I137:N137),1)+LARGE((I137:N137),2)</f>
        <v>1.625E-8</v>
      </c>
      <c r="E137" s="84">
        <f>E5*7</f>
        <v>7.0000000000000006E-10</v>
      </c>
      <c r="F137" s="84">
        <f>F5*7</f>
        <v>1.4000000000000001E-9</v>
      </c>
      <c r="G137" s="84">
        <f>G5*7</f>
        <v>2.0999999999999998E-9</v>
      </c>
      <c r="H137" s="84">
        <f>H5*7</f>
        <v>2.8000000000000003E-9</v>
      </c>
      <c r="I137" s="84">
        <f t="shared" ref="I137:N137" si="78">I5*5</f>
        <v>2.5000000000000001E-9</v>
      </c>
      <c r="J137" s="84">
        <f t="shared" si="78"/>
        <v>3E-9</v>
      </c>
      <c r="K137" s="84">
        <f t="shared" si="78"/>
        <v>3.4999999999999999E-9</v>
      </c>
      <c r="L137" s="84">
        <f t="shared" si="78"/>
        <v>4.0000000000000002E-9</v>
      </c>
      <c r="M137" s="84">
        <f t="shared" si="78"/>
        <v>4.4999999999999998E-9</v>
      </c>
      <c r="N137" s="84">
        <f t="shared" si="78"/>
        <v>4.7500000000000003E-9</v>
      </c>
    </row>
    <row r="138" spans="1:23">
      <c r="A138" s="88" t="s">
        <v>425</v>
      </c>
      <c r="B138" s="88" t="s">
        <v>515</v>
      </c>
      <c r="C138" s="209" t="s">
        <v>189</v>
      </c>
      <c r="D138" s="88">
        <f>LARGE((E138:N138),1)+LARGE((E138:N138),2)+LARGE((E138:N138),3)+LARGE((E138:N138),4)+LARGE((E138:N138),5)</f>
        <v>2.175E-8</v>
      </c>
      <c r="E138" s="88">
        <f>E5*7</f>
        <v>7.0000000000000006E-10</v>
      </c>
      <c r="F138" s="88">
        <f>F5*10</f>
        <v>2.0000000000000001E-9</v>
      </c>
      <c r="G138" s="88">
        <f>G5*10</f>
        <v>3E-9</v>
      </c>
      <c r="H138" s="88">
        <f>H5*7</f>
        <v>2.8000000000000003E-9</v>
      </c>
      <c r="I138" s="88">
        <f>I5*10</f>
        <v>5.0000000000000001E-9</v>
      </c>
      <c r="J138" s="88">
        <f>IF(OR(J1="物理",J1="組合科學(物理、化學)",J1="組合科學(物理、生物)"),J5*10,J5*5)</f>
        <v>3E-9</v>
      </c>
      <c r="K138" s="88">
        <f>IF(OR(K1="物理",K1="組合科學(物理、化學)",K1="組合科學(物理、生物)"),K5*10,K5*5)</f>
        <v>3.4999999999999999E-9</v>
      </c>
      <c r="L138" s="88">
        <f>IF(OR(L1="物理",L1="組合科學(物理、化學)",L1="組合科學(物理、生物)"),L5*10,L5*5)</f>
        <v>4.0000000000000002E-9</v>
      </c>
      <c r="M138" s="88">
        <f>IF(OR(M1="物理",M1="組合科學(物理、化學)",M1="組合科學(物理、生物)"),M5*10,M5*5)</f>
        <v>4.4999999999999998E-9</v>
      </c>
      <c r="N138" s="88">
        <f>N5*5</f>
        <v>4.7500000000000003E-9</v>
      </c>
    </row>
    <row r="139" spans="1:23" s="88" customFormat="1">
      <c r="A139" s="88" t="s">
        <v>426</v>
      </c>
      <c r="B139" s="88" t="s">
        <v>516</v>
      </c>
      <c r="C139" s="209" t="s">
        <v>189</v>
      </c>
      <c r="D139" s="88">
        <f>LARGE((E139:N139),1)+LARGE((E139:N139),2)+LARGE((E139:N139),3)+LARGE((E139:N139),4)+LARGE((E139:N139),5)</f>
        <v>1.9750000000000001E-8</v>
      </c>
      <c r="E139" s="88">
        <f>E5*7</f>
        <v>7.0000000000000006E-10</v>
      </c>
      <c r="F139" s="88">
        <f>F5*10</f>
        <v>2.0000000000000001E-9</v>
      </c>
      <c r="G139" s="88">
        <f>G5*7</f>
        <v>2.0999999999999998E-9</v>
      </c>
      <c r="H139" s="88">
        <f>H5*7</f>
        <v>2.8000000000000003E-9</v>
      </c>
      <c r="I139" s="88">
        <f t="shared" ref="I139:N139" si="79">I5*5</f>
        <v>2.5000000000000001E-9</v>
      </c>
      <c r="J139" s="88">
        <f t="shared" si="79"/>
        <v>3E-9</v>
      </c>
      <c r="K139" s="88">
        <f t="shared" si="79"/>
        <v>3.4999999999999999E-9</v>
      </c>
      <c r="L139" s="88">
        <f t="shared" si="79"/>
        <v>4.0000000000000002E-9</v>
      </c>
      <c r="M139" s="88">
        <f t="shared" si="79"/>
        <v>4.4999999999999998E-9</v>
      </c>
      <c r="N139" s="88">
        <f t="shared" si="79"/>
        <v>4.7500000000000003E-9</v>
      </c>
      <c r="T139" s="99"/>
    </row>
    <row r="140" spans="1:23" s="88" customFormat="1">
      <c r="A140" s="88" t="s">
        <v>427</v>
      </c>
      <c r="B140" s="88" t="s">
        <v>517</v>
      </c>
      <c r="C140" s="209" t="s">
        <v>189</v>
      </c>
      <c r="D140" s="88">
        <f>LARGE((E140:N140),1)+LARGE((E140:N140),2)+LARGE((E140:N140),3)+LARGE((E140:N140),4)+LARGE((E140:N140),5)</f>
        <v>2.175E-8</v>
      </c>
      <c r="E140" s="88">
        <f>E5*7</f>
        <v>7.0000000000000006E-10</v>
      </c>
      <c r="F140" s="88">
        <f>F5*10</f>
        <v>2.0000000000000001E-9</v>
      </c>
      <c r="G140" s="88">
        <f>G5*10</f>
        <v>3E-9</v>
      </c>
      <c r="H140" s="88">
        <f>H5*7</f>
        <v>2.8000000000000003E-9</v>
      </c>
      <c r="I140" s="88">
        <f>I5*10</f>
        <v>5.0000000000000001E-9</v>
      </c>
      <c r="J140" s="88">
        <f>IF(OR(J1="物理",J1="組合科學(物理、化學)",J1="組合科學(物理、生物)"),J5*10,J5*5)</f>
        <v>3E-9</v>
      </c>
      <c r="K140" s="88">
        <f>IF(OR(K1="物理",K1="組合科學(物理、化學)",K1="組合科學(物理、生物)"),K5*10,K5*5)</f>
        <v>3.4999999999999999E-9</v>
      </c>
      <c r="L140" s="88">
        <f>IF(OR(L1="物理",L1="組合科學(物理、化學)",L1="組合科學(物理、生物)"),L5*10,L5*5)</f>
        <v>4.0000000000000002E-9</v>
      </c>
      <c r="M140" s="88">
        <f>IF(OR(M1="物理",M1="組合科學(物理、化學)",M1="組合科學(物理、生物)"),M5*10,M5*5)</f>
        <v>4.4999999999999998E-9</v>
      </c>
      <c r="N140" s="88">
        <f>N5*5</f>
        <v>4.7500000000000003E-9</v>
      </c>
      <c r="P140" s="84"/>
      <c r="Q140" s="84"/>
      <c r="R140" s="84" t="str">
        <f>I1</f>
        <v>數學延伸</v>
      </c>
      <c r="S140" s="84" t="str">
        <f>J1</f>
        <v>請選擇第一選修科</v>
      </c>
      <c r="T140" s="90" t="str">
        <f>K1</f>
        <v>請選擇第二選修科</v>
      </c>
      <c r="U140" s="84" t="str">
        <f>L1</f>
        <v>請選擇第三選修科</v>
      </c>
      <c r="V140" s="84" t="str">
        <f>M1</f>
        <v>請選擇第四選修科</v>
      </c>
      <c r="W140" s="84"/>
    </row>
    <row r="141" spans="1:23" s="88" customFormat="1">
      <c r="A141" s="88" t="s">
        <v>428</v>
      </c>
      <c r="B141" s="88" t="s">
        <v>518</v>
      </c>
      <c r="C141" s="209" t="s">
        <v>189</v>
      </c>
      <c r="D141" s="88">
        <f>LARGE((E141:N141),1)+LARGE((E141:N141),2)+LARGE((E141:N141),3)+LARGE((E141:N141),4)+LARGE((E141:N141),5)</f>
        <v>1.9750000000000001E-8</v>
      </c>
      <c r="E141" s="88">
        <f>E5*7</f>
        <v>7.0000000000000006E-10</v>
      </c>
      <c r="F141" s="88">
        <f>F5*10</f>
        <v>2.0000000000000001E-9</v>
      </c>
      <c r="G141" s="88">
        <f>G5*10</f>
        <v>3E-9</v>
      </c>
      <c r="H141" s="88">
        <f>H5*7</f>
        <v>2.8000000000000003E-9</v>
      </c>
      <c r="I141" s="88">
        <f t="shared" ref="I141:N141" si="80">I5*5</f>
        <v>2.5000000000000001E-9</v>
      </c>
      <c r="J141" s="88">
        <f t="shared" si="80"/>
        <v>3E-9</v>
      </c>
      <c r="K141" s="88">
        <f t="shared" si="80"/>
        <v>3.4999999999999999E-9</v>
      </c>
      <c r="L141" s="88">
        <f t="shared" si="80"/>
        <v>4.0000000000000002E-9</v>
      </c>
      <c r="M141" s="88">
        <f t="shared" si="80"/>
        <v>4.4999999999999998E-9</v>
      </c>
      <c r="N141" s="88">
        <f t="shared" si="80"/>
        <v>4.7500000000000003E-9</v>
      </c>
      <c r="P141" s="84" t="s">
        <v>1319</v>
      </c>
      <c r="Q141" s="84" t="s">
        <v>787</v>
      </c>
      <c r="R141" s="84">
        <f>I7</f>
        <v>5.0000000000000003E-10</v>
      </c>
      <c r="S141" s="84">
        <f>IF(OR(J1="物理",J1="化學",J1="生物",J1="組合科學(物理、化學)",J1="組合科學(生物、化學)",J1="組合科學(物理、生物)"),J13,0)</f>
        <v>0</v>
      </c>
      <c r="T141" s="90">
        <f>IF(OR(K1="物理",K1="化學",K1="生物",K1="組合科學(物理、化學)",K1="組合科學(生物、化學)",K1="組合科學(物理、生物)"),K13,0)</f>
        <v>0</v>
      </c>
      <c r="U141" s="84">
        <f>IF(OR(L1="物理",L1="化學",L1="生物",L1="組合科學(物理、化學)",L1="組合科學(生物、化學)",L1="組合科學(物理、生物)"),L13,0)</f>
        <v>0</v>
      </c>
      <c r="V141" s="84">
        <f>IF(OR(M1="物理",M1="化學",M1="生物",M1="組合科學(物理、化學)",M1="組合科學(生物、化學)",M1="組合科學(物理、生物)"),M13,0)</f>
        <v>0</v>
      </c>
      <c r="W141" s="84"/>
    </row>
    <row r="142" spans="1:23" s="88" customFormat="1">
      <c r="A142" s="84" t="s">
        <v>429</v>
      </c>
      <c r="B142" s="84" t="s">
        <v>519</v>
      </c>
      <c r="C142" s="209" t="s">
        <v>549</v>
      </c>
      <c r="D142" s="84">
        <f>E142+F142+LARGE((G142:N142),1)+LARGE((G142:N142),2)+LARGE((G142:N142),3)</f>
        <v>1.625E-8</v>
      </c>
      <c r="E142" s="84">
        <f>E5*10</f>
        <v>1.0000000000000001E-9</v>
      </c>
      <c r="F142" s="84">
        <f>F5*10</f>
        <v>2.0000000000000001E-9</v>
      </c>
      <c r="G142" s="84">
        <f>G5*7</f>
        <v>2.0999999999999998E-9</v>
      </c>
      <c r="H142" s="84">
        <f>H5*7</f>
        <v>2.8000000000000003E-9</v>
      </c>
      <c r="I142" s="84">
        <f t="shared" ref="I142:N142" si="81">I5*5</f>
        <v>2.5000000000000001E-9</v>
      </c>
      <c r="J142" s="84">
        <f t="shared" si="81"/>
        <v>3E-9</v>
      </c>
      <c r="K142" s="84">
        <f t="shared" si="81"/>
        <v>3.4999999999999999E-9</v>
      </c>
      <c r="L142" s="84">
        <f t="shared" si="81"/>
        <v>4.0000000000000002E-9</v>
      </c>
      <c r="M142" s="84">
        <f t="shared" si="81"/>
        <v>4.4999999999999998E-9</v>
      </c>
      <c r="N142" s="84">
        <f t="shared" si="81"/>
        <v>4.7500000000000003E-9</v>
      </c>
      <c r="P142" s="84" t="s">
        <v>1329</v>
      </c>
      <c r="Q142" s="84" t="s">
        <v>785</v>
      </c>
      <c r="R142" s="84"/>
      <c r="S142" s="84">
        <f>IF(OR(J1="資訊及通訊科技"),J13,0)</f>
        <v>0</v>
      </c>
      <c r="T142" s="90">
        <f>IF(OR(K1="資訊及通訊科技"),K13,0)</f>
        <v>0</v>
      </c>
      <c r="U142" s="84">
        <f>IF(OR(L1="資訊及通訊科技"),L13,0)</f>
        <v>0</v>
      </c>
      <c r="V142" s="84">
        <f>IF(OR(M1="資訊及通訊科技"),M13,0)</f>
        <v>0</v>
      </c>
      <c r="W142" s="84"/>
    </row>
    <row r="143" spans="1:23">
      <c r="A143" s="84" t="s">
        <v>430</v>
      </c>
      <c r="B143" s="84" t="s">
        <v>520</v>
      </c>
      <c r="C143" s="209" t="s">
        <v>189</v>
      </c>
      <c r="D143" s="84">
        <f>LARGE((E143:N143),1)+LARGE((E143:N143),2)+LARGE((E143:N143),3)+LARGE((E143:N143),4)+LARGE((E143:N143),5)</f>
        <v>1.9750000000000001E-8</v>
      </c>
      <c r="E143" s="84">
        <f>E5*7</f>
        <v>7.0000000000000006E-10</v>
      </c>
      <c r="F143" s="84">
        <f>F5*10</f>
        <v>2.0000000000000001E-9</v>
      </c>
      <c r="G143" s="84">
        <f>G5*7</f>
        <v>2.0999999999999998E-9</v>
      </c>
      <c r="H143" s="84">
        <f>H5*7</f>
        <v>2.8000000000000003E-9</v>
      </c>
      <c r="I143" s="84">
        <f t="shared" ref="I143:N143" si="82">I5*5</f>
        <v>2.5000000000000001E-9</v>
      </c>
      <c r="J143" s="84">
        <f t="shared" si="82"/>
        <v>3E-9</v>
      </c>
      <c r="K143" s="84">
        <f t="shared" si="82"/>
        <v>3.4999999999999999E-9</v>
      </c>
      <c r="L143" s="84">
        <f t="shared" si="82"/>
        <v>4.0000000000000002E-9</v>
      </c>
      <c r="M143" s="84">
        <f t="shared" si="82"/>
        <v>4.4999999999999998E-9</v>
      </c>
      <c r="N143" s="84">
        <f t="shared" si="82"/>
        <v>4.7500000000000003E-9</v>
      </c>
      <c r="P143" s="84" t="s">
        <v>1330</v>
      </c>
      <c r="Q143" s="84" t="s">
        <v>786</v>
      </c>
      <c r="S143" s="84">
        <f>IF(OR(J1="物理",J1="化學",J1="生物",J1="設計與應用科技",J1="組合科學(物理、化學)",J1="組合科學(生物、化學)",J1="組合科學(物理、生物)"),J13,0)</f>
        <v>0</v>
      </c>
      <c r="T143" s="90">
        <f>IF(OR(K1="物理",K1="化學",K1="生物",K1="設計與應用科技",K1="組合科學(物理、化學)",K1="組合科學(生物、化學)",K1="組合科學(物理、生物)"),K13,0)</f>
        <v>0</v>
      </c>
      <c r="U143" s="84">
        <f>IF(OR(L1="物理",L1="化學",L1="生物",L1="設計與應用科技",L1="組合科學(物理、化學)",L1="組合科學(生物、化學)",L1="組合科學(物理、生物)"),L13,0)</f>
        <v>0</v>
      </c>
      <c r="V143" s="84">
        <f>IF(OR(M1="物理",M1="化學",M1="生物",M1="設計與應用科技",M1="組合科學(物理、化學)",M1="組合科學(生物、化學)",M1="組合科學(物理、生物)"),M13,0)</f>
        <v>0</v>
      </c>
    </row>
    <row r="144" spans="1:23">
      <c r="A144" s="84" t="s">
        <v>431</v>
      </c>
      <c r="B144" s="84" t="s">
        <v>521</v>
      </c>
      <c r="C144" s="209" t="s">
        <v>549</v>
      </c>
      <c r="D144" s="84">
        <f>E144+F144+LARGE((G144:N144),1)+LARGE((G144:N144),2)+LARGE((G144:N144),3)</f>
        <v>1.625E-8</v>
      </c>
      <c r="E144" s="84">
        <f>E5*10</f>
        <v>1.0000000000000001E-9</v>
      </c>
      <c r="F144" s="84">
        <f>F5*10</f>
        <v>2.0000000000000001E-9</v>
      </c>
      <c r="G144" s="84">
        <f>G5*7</f>
        <v>2.0999999999999998E-9</v>
      </c>
      <c r="H144" s="84">
        <f>H5*7</f>
        <v>2.8000000000000003E-9</v>
      </c>
      <c r="I144" s="84">
        <f t="shared" ref="I144:N144" si="83">I5*5</f>
        <v>2.5000000000000001E-9</v>
      </c>
      <c r="J144" s="84">
        <f t="shared" si="83"/>
        <v>3E-9</v>
      </c>
      <c r="K144" s="84">
        <f t="shared" si="83"/>
        <v>3.4999999999999999E-9</v>
      </c>
      <c r="L144" s="84">
        <f t="shared" si="83"/>
        <v>4.0000000000000002E-9</v>
      </c>
      <c r="M144" s="84">
        <f t="shared" si="83"/>
        <v>4.4999999999999998E-9</v>
      </c>
      <c r="N144" s="84">
        <f t="shared" si="83"/>
        <v>4.7500000000000003E-9</v>
      </c>
      <c r="Q144" s="84" t="s">
        <v>788</v>
      </c>
      <c r="R144" s="84">
        <f>I7</f>
        <v>5.0000000000000003E-10</v>
      </c>
      <c r="S144" s="84">
        <f>IF(OR(J1="物理",J1="化學",J1="經濟"),J13,0)</f>
        <v>0</v>
      </c>
      <c r="T144" s="90">
        <f>IF(OR(K1="物理",K1="化學",K1="經濟"),K13,0)</f>
        <v>0</v>
      </c>
      <c r="U144" s="84">
        <f>IF(OR(L1="物理",L1="化學",L1="經濟"),L13,0)</f>
        <v>0</v>
      </c>
      <c r="V144" s="84">
        <f>IF(OR(M1="物理",M1="化學",M1="經濟"),M13,0)</f>
        <v>0</v>
      </c>
    </row>
    <row r="145" spans="1:23" s="198" customFormat="1">
      <c r="A145" s="198" t="s">
        <v>1360</v>
      </c>
      <c r="B145" s="198" t="s">
        <v>1361</v>
      </c>
      <c r="C145" s="209" t="s">
        <v>189</v>
      </c>
      <c r="D145" s="198">
        <f>LARGE((E145:N145),1)+LARGE((E145:N145),2)+LARGE((E145:N145),3)+LARGE((E145:N145),4)+LARGE((E145:N145),5)</f>
        <v>1.9750000000000001E-8</v>
      </c>
      <c r="E145" s="198">
        <f>E5*7</f>
        <v>7.0000000000000006E-10</v>
      </c>
      <c r="F145" s="198">
        <f>F5*10</f>
        <v>2.0000000000000001E-9</v>
      </c>
      <c r="G145" s="198">
        <f>G5*10</f>
        <v>3E-9</v>
      </c>
      <c r="H145" s="198">
        <f>H5*7</f>
        <v>2.8000000000000003E-9</v>
      </c>
      <c r="I145" s="198">
        <f t="shared" ref="I145:N145" si="84">I5*5</f>
        <v>2.5000000000000001E-9</v>
      </c>
      <c r="J145" s="198">
        <f t="shared" si="84"/>
        <v>3E-9</v>
      </c>
      <c r="K145" s="198">
        <f t="shared" si="84"/>
        <v>3.4999999999999999E-9</v>
      </c>
      <c r="L145" s="198">
        <f t="shared" si="84"/>
        <v>4.0000000000000002E-9</v>
      </c>
      <c r="M145" s="198">
        <f t="shared" si="84"/>
        <v>4.4999999999999998E-9</v>
      </c>
      <c r="N145" s="198">
        <f t="shared" si="84"/>
        <v>4.7500000000000003E-9</v>
      </c>
      <c r="T145" s="200"/>
    </row>
    <row r="146" spans="1:23">
      <c r="A146" s="84" t="s">
        <v>432</v>
      </c>
      <c r="B146" s="84" t="s">
        <v>522</v>
      </c>
      <c r="C146" s="209" t="s">
        <v>189</v>
      </c>
      <c r="D146" s="84">
        <f>LARGE((E146:N146),1)+LARGE((E146:N146),2)+LARGE((E146:N146),3)+LARGE((E146:N146),4)+LARGE((E146:N146),5)</f>
        <v>2.175E-8</v>
      </c>
      <c r="E146" s="84">
        <f>E5*7</f>
        <v>7.0000000000000006E-10</v>
      </c>
      <c r="F146" s="84">
        <f>F5*10</f>
        <v>2.0000000000000001E-9</v>
      </c>
      <c r="G146" s="84">
        <f>G5*10</f>
        <v>3E-9</v>
      </c>
      <c r="H146" s="84">
        <f>H5*7</f>
        <v>2.8000000000000003E-9</v>
      </c>
      <c r="I146" s="84">
        <f>I5*10</f>
        <v>5.0000000000000001E-9</v>
      </c>
      <c r="J146" s="84">
        <f>IF(OR(J1="物理",J1="化學",J1="生物",J1="組合科學(物理、化學)",J1="組合科學(生物、化學)",J1="組合科學(物理、生物)", J1="經濟",J1="資訊及通訊科技",J1="企業、會計與財務概論"),J5*10,J5*5)</f>
        <v>3E-9</v>
      </c>
      <c r="K146" s="84">
        <f>IF(OR(K1="物理",K1="化學",K1="生物",K1="組合科學(物理、化學)",K1="組合科學(生物、化學)",K1="組合科學(物理、生物)", K1="經濟",K1="資訊及通訊科技",K1="企業、會計與財務概論"),K5*10,K5*5)</f>
        <v>3.4999999999999999E-9</v>
      </c>
      <c r="L146" s="84">
        <f>IF(OR(L1="物理",L1="化學",L1="生物",L1="組合科學(物理、化學)",L1="組合科學(生物、化學)",L1="組合科學(物理、生物)", L1="經濟",L1="資訊及通訊科技",L1="企業、會計與財務概論"),L5*10,L5*5)</f>
        <v>4.0000000000000002E-9</v>
      </c>
      <c r="M146" s="84">
        <f>IF(OR(M1="物理",M1="化學",M1="生物",M1="組合科學(物理、化學)",M1="組合科學(生物、化學)",M1="組合科學(物理、生物)", M1="經濟",M1="資訊及通訊科技",M1="企業、會計與財務概論"),M5*10,M5*5)</f>
        <v>4.4999999999999998E-9</v>
      </c>
      <c r="N146" s="84">
        <f>N5*5</f>
        <v>4.7500000000000003E-9</v>
      </c>
      <c r="Q146" s="84" t="s">
        <v>784</v>
      </c>
      <c r="S146" s="84">
        <f>IF(OR(J1="化學",J1="生物"),J13,0)</f>
        <v>0</v>
      </c>
      <c r="T146" s="90">
        <f>IF(OR(K1="化學",K1="生物"),K13,0)</f>
        <v>0</v>
      </c>
      <c r="U146" s="84">
        <f>IF(OR(L1="化學",L1="生物"),L13,0)</f>
        <v>0</v>
      </c>
      <c r="V146" s="84">
        <f>IF(OR(M1="化學",M1="生物"),M13,0)</f>
        <v>0</v>
      </c>
    </row>
    <row r="147" spans="1:23">
      <c r="A147" s="84" t="s">
        <v>433</v>
      </c>
      <c r="B147" s="84" t="s">
        <v>523</v>
      </c>
      <c r="C147" s="209" t="s">
        <v>59</v>
      </c>
      <c r="D147" s="84">
        <f t="shared" ref="D147:D151" si="85">LARGE((E147:N147),1)+LARGE((E147:N147),2)+LARGE((E147:N147),3)+LARGE((E147:N147),4)+LARGE((E147:N147),5)</f>
        <v>1.9750000000000001E-8</v>
      </c>
      <c r="E147" s="84">
        <f>E5*7</f>
        <v>7.0000000000000006E-10</v>
      </c>
      <c r="F147" s="84">
        <f>F5*10</f>
        <v>2.0000000000000001E-9</v>
      </c>
      <c r="G147" s="84">
        <f>G5*7</f>
        <v>2.0999999999999998E-9</v>
      </c>
      <c r="H147" s="84">
        <f>H5*7</f>
        <v>2.8000000000000003E-9</v>
      </c>
      <c r="I147" s="84">
        <f t="shared" ref="I147:N147" si="86">I5*5</f>
        <v>2.5000000000000001E-9</v>
      </c>
      <c r="J147" s="84">
        <f t="shared" si="86"/>
        <v>3E-9</v>
      </c>
      <c r="K147" s="84">
        <f t="shared" si="86"/>
        <v>3.4999999999999999E-9</v>
      </c>
      <c r="L147" s="84">
        <f t="shared" si="86"/>
        <v>4.0000000000000002E-9</v>
      </c>
      <c r="M147" s="84">
        <f t="shared" si="86"/>
        <v>4.4999999999999998E-9</v>
      </c>
      <c r="N147" s="84">
        <f t="shared" si="86"/>
        <v>4.7500000000000003E-9</v>
      </c>
      <c r="Q147" s="84" t="s">
        <v>1338</v>
      </c>
      <c r="R147" s="84">
        <f>I7</f>
        <v>5.0000000000000003E-10</v>
      </c>
      <c r="S147" s="84">
        <f>IF(OR(J1="物理",J1="化學",J1="生物",J1="經濟",J1="組合科學(物理、化學)",J1="組合科學(生物、化學)",J1="組合科學(物理、生物)"),J13,0)</f>
        <v>0</v>
      </c>
      <c r="T147" s="84">
        <f>IF(OR(K1="物理",K1="化學",K1="生物",K1="經濟",K1="組合科學(物理、化學)",K1="組合科學(生物、化學)",K1="組合科學(物理、生物)"),K13,0)</f>
        <v>0</v>
      </c>
      <c r="U147" s="84">
        <f>IF(OR(L1="物理",L1="化學",L1="生物",L1="經濟",L1="組合科學(物理、化學)",L1="組合科學(生物、化學)",L1="組合科學(物理、生物)"),L13,0)</f>
        <v>0</v>
      </c>
      <c r="V147" s="84">
        <f>IF(OR(M1="物理",M1="化學",M1="生物",M1="經濟",M1="組合科學(物理、化學)",M1="組合科學(生物、化學)",M1="組合科學(物理、生物)"),M13,0)</f>
        <v>0</v>
      </c>
    </row>
    <row r="148" spans="1:23">
      <c r="A148" s="84" t="s">
        <v>434</v>
      </c>
      <c r="B148" s="84" t="s">
        <v>524</v>
      </c>
      <c r="C148" s="209" t="s">
        <v>189</v>
      </c>
      <c r="D148" s="84">
        <f t="shared" si="85"/>
        <v>1.9750000000000001E-8</v>
      </c>
      <c r="E148" s="84">
        <f>E5*7</f>
        <v>7.0000000000000006E-10</v>
      </c>
      <c r="F148" s="84">
        <f>F5*10</f>
        <v>2.0000000000000001E-9</v>
      </c>
      <c r="G148" s="84">
        <f>G5*10</f>
        <v>3E-9</v>
      </c>
      <c r="H148" s="84">
        <f>H5*7</f>
        <v>2.8000000000000003E-9</v>
      </c>
      <c r="I148" s="84">
        <f t="shared" ref="I148:N148" si="87">I5*5</f>
        <v>2.5000000000000001E-9</v>
      </c>
      <c r="J148" s="84">
        <f t="shared" si="87"/>
        <v>3E-9</v>
      </c>
      <c r="K148" s="84">
        <f t="shared" si="87"/>
        <v>3.4999999999999999E-9</v>
      </c>
      <c r="L148" s="84">
        <f t="shared" si="87"/>
        <v>4.0000000000000002E-9</v>
      </c>
      <c r="M148" s="84">
        <f t="shared" si="87"/>
        <v>4.4999999999999998E-9</v>
      </c>
      <c r="N148" s="84">
        <f t="shared" si="87"/>
        <v>4.7500000000000003E-9</v>
      </c>
      <c r="P148" s="88"/>
      <c r="Q148" s="84" t="s">
        <v>2009</v>
      </c>
      <c r="R148" s="84">
        <f>I7</f>
        <v>5.0000000000000003E-10</v>
      </c>
      <c r="S148" s="84">
        <f>IF(OR(J1="物理",J1="化學",J1="生物",J1="組合科學(物理、化學)",J1="組合科學(生物、化學)",J1="組合科學(物理、生物)",J1="綜合科學"),J13,0)</f>
        <v>0</v>
      </c>
      <c r="T148" s="90">
        <f>IF(OR(K1="物理",K1="化學",K1="生物",K1="組合科學(物理、化學)",K1="組合科學(生物、化學)",K1="組合科學(物理、生物)",K1="綜合科學"),K13,0)</f>
        <v>0</v>
      </c>
      <c r="U148" s="84">
        <f>IF(OR(L1="物理",L1="化學",L1="生物",L1="組合科學(物理、化學)",L1="組合科學(生物、化學)",L1="組合科學(物理、生物)",L1="綜合科學"),L13,0)</f>
        <v>0</v>
      </c>
      <c r="V148" s="84">
        <f>IF(OR(M1="物理",M1="化學",M1="生物",M1="組合科學(物理、化學)",M1="組合科學(生物、化學)",M1="組合科學(物理、生物)",M1="綜合科學"),M13,0)</f>
        <v>0</v>
      </c>
    </row>
    <row r="149" spans="1:23">
      <c r="A149" s="84" t="s">
        <v>435</v>
      </c>
      <c r="B149" s="84" t="s">
        <v>525</v>
      </c>
      <c r="C149" s="209" t="s">
        <v>189</v>
      </c>
      <c r="D149" s="84">
        <f t="shared" si="85"/>
        <v>2.0249999999999999E-8</v>
      </c>
      <c r="E149" s="84">
        <f>E5*7</f>
        <v>7.0000000000000006E-10</v>
      </c>
      <c r="F149" s="84">
        <f>F5*10</f>
        <v>2.0000000000000001E-9</v>
      </c>
      <c r="G149" s="84">
        <f>G5*10</f>
        <v>3E-9</v>
      </c>
      <c r="H149" s="84">
        <f>H5*7</f>
        <v>2.8000000000000003E-9</v>
      </c>
      <c r="I149" s="84">
        <f>I5*7</f>
        <v>3.5000000000000003E-9</v>
      </c>
      <c r="J149" s="84">
        <f>J5*5</f>
        <v>3E-9</v>
      </c>
      <c r="K149" s="84">
        <f>K5*5</f>
        <v>3.4999999999999999E-9</v>
      </c>
      <c r="L149" s="84">
        <f>L5*5</f>
        <v>4.0000000000000002E-9</v>
      </c>
      <c r="M149" s="84">
        <f>M5*5</f>
        <v>4.4999999999999998E-9</v>
      </c>
      <c r="N149" s="84">
        <f>N5*5</f>
        <v>4.7500000000000003E-9</v>
      </c>
      <c r="Q149" s="84" t="s">
        <v>865</v>
      </c>
      <c r="S149" s="84">
        <f>IF(OR(J1="物理",J1="化學",J1="組合科學(物理、化學)"),J13,0)</f>
        <v>0</v>
      </c>
      <c r="T149" s="90">
        <f>IF(OR(K1="物理",K1="化學",K1="組合科學(物理、化學)"),K13,0)</f>
        <v>0</v>
      </c>
      <c r="U149" s="84">
        <f>IF(OR(L1="物理",L1="化學",L1="組合科學(物理、化學)"),L13,0)</f>
        <v>0</v>
      </c>
      <c r="V149" s="84">
        <f>IF(OR(M1="物理",M1="化學",M1="組合科學(物理、化學)"),M13,0)</f>
        <v>0</v>
      </c>
    </row>
    <row r="150" spans="1:23">
      <c r="A150" s="88" t="s">
        <v>436</v>
      </c>
      <c r="B150" s="88" t="s">
        <v>526</v>
      </c>
      <c r="C150" s="209" t="s">
        <v>189</v>
      </c>
      <c r="D150" s="88">
        <f>LARGE((E150:N150),1)+LARGE((E150:N150),2)+LARGE((E150:N150),3)+LARGE((E150:N150),4)+LARGE((E150:N150),5)</f>
        <v>1.9750000000000001E-8</v>
      </c>
      <c r="E150" s="88">
        <f>E5*7</f>
        <v>7.0000000000000006E-10</v>
      </c>
      <c r="F150" s="88">
        <f>F5*10</f>
        <v>2.0000000000000001E-9</v>
      </c>
      <c r="G150" s="88">
        <f>G5*10</f>
        <v>3E-9</v>
      </c>
      <c r="H150" s="88">
        <f>H5*7</f>
        <v>2.8000000000000003E-9</v>
      </c>
      <c r="I150" s="88">
        <f>I5*5</f>
        <v>2.5000000000000001E-9</v>
      </c>
      <c r="J150" s="88">
        <f>IF(OR(J1="生物",J1="組合科學(生物、化學)",J1="組合科學(物理、生物)"),J5*10,J5*5)</f>
        <v>3E-9</v>
      </c>
      <c r="K150" s="88">
        <f>IF(OR(K1="生物",K1="組合科學(生物、化學)",K1="組合科學(物理、生物)"),K5*10,K5*5)</f>
        <v>3.4999999999999999E-9</v>
      </c>
      <c r="L150" s="88">
        <f>IF(OR(L1="生物",L1="組合科學(生物、化學)",L1="組合科學(物理、生物)"),L5*10,L5*5)</f>
        <v>4.0000000000000002E-9</v>
      </c>
      <c r="M150" s="88">
        <f>IF(OR(M1="生物",M1="組合科學(生物、化學)",M1="組合科學(物理、生物)"),M5*10,M5*5)</f>
        <v>4.4999999999999998E-9</v>
      </c>
      <c r="N150" s="88">
        <f>N5*5</f>
        <v>4.7500000000000003E-9</v>
      </c>
      <c r="Q150" s="84" t="s">
        <v>884</v>
      </c>
      <c r="R150" s="84">
        <f>I3</f>
        <v>5.0000000000000003E-10</v>
      </c>
      <c r="S150" s="84">
        <f>IF(OR(J1="物理",J1="化學",J1="生物",J1="組合科學(物理、化學)",J1="組合科學(生物、化學)",J1="組合科學(物理、生物)",J1="資訊及通訊科技"),J3,0)</f>
        <v>0</v>
      </c>
      <c r="T150" s="90">
        <f>IF(OR(K1="物理",K1="化學",K1="生物",K1="組合科學(物理、化學)",K1="組合科學(生物、化學)",K1="組合科學(物理、生物)",K1="資訊及通訊科技"),K3,0)</f>
        <v>0</v>
      </c>
      <c r="U150" s="84">
        <f>IF(OR(L1="物理",L1="化學",L1="生物",L1="組合科學(物理、化學)",L1="組合科學(生物、化學)",L1="組合科學(物理、生物)",L1="資訊及通訊科技"),L3,0)</f>
        <v>0</v>
      </c>
      <c r="V150" s="84">
        <f>IF(OR(M1="物理",M1="化學",M1="生物",M1="組合科學(物理、化學)",M1="組合科學(生物、化學)",M1="組合科學(物理、生物)",M1="資訊及通訊科技"),M3,0)</f>
        <v>0</v>
      </c>
    </row>
    <row r="151" spans="1:23" s="88" customFormat="1">
      <c r="A151" s="84" t="s">
        <v>437</v>
      </c>
      <c r="B151" s="84" t="s">
        <v>527</v>
      </c>
      <c r="C151" s="209" t="s">
        <v>189</v>
      </c>
      <c r="D151" s="84">
        <f t="shared" si="85"/>
        <v>2.0750000000000004E-8</v>
      </c>
      <c r="E151" s="84">
        <f>E5*7</f>
        <v>7.0000000000000006E-10</v>
      </c>
      <c r="F151" s="84">
        <f>F5*10</f>
        <v>2.0000000000000001E-9</v>
      </c>
      <c r="G151" s="84">
        <f>G5*10</f>
        <v>3E-9</v>
      </c>
      <c r="H151" s="84">
        <f>H5*7</f>
        <v>2.8000000000000003E-9</v>
      </c>
      <c r="I151" s="84">
        <f>I5*10</f>
        <v>5.0000000000000001E-9</v>
      </c>
      <c r="J151" s="84">
        <f>IF(OR(J1="物理",J1="組合科學(物理、化學)",J1="組合科學(物理、生物)"),J5*10,J5*5)</f>
        <v>3E-9</v>
      </c>
      <c r="K151" s="84">
        <f>IF(OR(K1="物理",K1="組合科學(物理、化學)",K1="組合科學(物理、生物)"),K5*10,K5*5)</f>
        <v>3.4999999999999999E-9</v>
      </c>
      <c r="L151" s="84">
        <f>L74</f>
        <v>8.0000000000000003E-10</v>
      </c>
      <c r="M151" s="84">
        <f>IF(OR(M1="物理",M1="組合科學(物理、化學)",M1="組合科學(物理、生物)"),M5*10,M5*5)</f>
        <v>4.4999999999999998E-9</v>
      </c>
      <c r="N151" s="84">
        <f>N5*5</f>
        <v>4.7500000000000003E-9</v>
      </c>
      <c r="P151" s="84"/>
      <c r="Q151" s="84" t="s">
        <v>885</v>
      </c>
      <c r="R151" s="84">
        <f>I3</f>
        <v>5.0000000000000003E-10</v>
      </c>
      <c r="S151" s="84">
        <f>IF(OR(J1="物理",J1="化學",J1="生物",J1="組合科學(物理、化學)",J1="組合科學(生物、化學)",J1="組合科學(物理、生物)",J1="資訊及通訊科技",J1="綜合科學"),J3,0)</f>
        <v>0</v>
      </c>
      <c r="T151" s="90">
        <f>IF(OR(K1="物理",K1="化學",K1="生物",K1="組合科學(物理、化學)",K1="組合科學(生物、化學)",K1="組合科學(物理、生物)",K1="資訊及通訊科技",K1="綜合科學"),K3,0)</f>
        <v>0</v>
      </c>
      <c r="U151" s="84">
        <f>IF(OR(L1="物理",L1="化學",L1="生物",L1="組合科學(物理、化學)",L1="組合科學(生物、化學)",L1="組合科學(物理、生物)",L1="資訊及通訊科技",L1="綜合科學"),L3,0)</f>
        <v>0</v>
      </c>
      <c r="V151" s="84">
        <f>IF(OR(M1="物理",M1="化學",M1="生物",M1="組合科學(物理、化學)",M1="組合科學(生物、化學)",M1="組合科學(物理、生物)",M1="資訊及通訊科技",M1="綜合科學"),M3,0)</f>
        <v>0</v>
      </c>
      <c r="W151" s="84"/>
    </row>
    <row r="152" spans="1:23">
      <c r="A152" s="84" t="s">
        <v>438</v>
      </c>
      <c r="B152" s="84" t="s">
        <v>528</v>
      </c>
      <c r="C152" s="209" t="s">
        <v>189</v>
      </c>
      <c r="D152" s="84">
        <f>LARGE((E152:N152),1)+LARGE((E152:N152),2)+LARGE((E152:N152),3)+LARGE((E152:N152),4)+LARGE((E152:N152),5)</f>
        <v>1.9750000000000001E-8</v>
      </c>
      <c r="E152" s="84">
        <f>E5*7</f>
        <v>7.0000000000000006E-10</v>
      </c>
      <c r="F152" s="84">
        <f>F5*10</f>
        <v>2.0000000000000001E-9</v>
      </c>
      <c r="G152" s="84">
        <f>G5*10</f>
        <v>3E-9</v>
      </c>
      <c r="H152" s="84">
        <f>H5*7</f>
        <v>2.8000000000000003E-9</v>
      </c>
      <c r="I152" s="84">
        <f>I5*5</f>
        <v>2.5000000000000001E-9</v>
      </c>
      <c r="J152" s="84">
        <f>IF(OR(J1="化學",J1="組合科學(物理、化學)",J1="組合科學(生物、化學)"),J5*10,J5*5)</f>
        <v>3E-9</v>
      </c>
      <c r="K152" s="84">
        <f>IF(OR(K1="化學",K1="組合科學(物理、化學)",K1="組合科學(生物、化學)"),K5*10,K5*5)</f>
        <v>3.4999999999999999E-9</v>
      </c>
      <c r="L152" s="84">
        <f>IF(OR(L1="化學",L1="組合科學(物理、化學)",L1="組合科學(生物、化學)"),L5*10,L5*5)</f>
        <v>4.0000000000000002E-9</v>
      </c>
      <c r="M152" s="84">
        <f>IF(OR(M1="化學",M1="組合科學(物理、化學)",M1="組合科學(生物、化學)"),M5*10,M5*5)</f>
        <v>4.4999999999999998E-9</v>
      </c>
      <c r="N152" s="84">
        <f>N5*5</f>
        <v>4.7500000000000003E-9</v>
      </c>
      <c r="Q152" s="84" t="s">
        <v>886</v>
      </c>
      <c r="S152" s="84">
        <f>IF(OR(J1="物理",J1="化學",J1="設計與應用科技",J1="組合科學(物理、化學)",J1="組合科學(生物、化學)",J1="組合科學(物理、生物)"),J3,0)</f>
        <v>0</v>
      </c>
      <c r="T152" s="90">
        <f>IF(OR(K1="物理",K1="化學",K1="設計與應用科技",K1="組合科學(物理、化學)",K1="組合科學(生物、化學)",K1="組合科學(物理、生物)"),K3,0)</f>
        <v>0</v>
      </c>
      <c r="U152" s="84">
        <f>IF(OR(L1="物理",L1="化學",L1="設計與應用科技",L1="組合科學(物理、化學)",L1="組合科學(生物、化學)",L1="組合科學(物理、生物)"),L3,0)</f>
        <v>0</v>
      </c>
      <c r="V152" s="84">
        <f>IF(OR(M1="物理",M1="化學",M1="設計與應用科技",M1="組合科學(物理、化學)",M1="組合科學(生物、化學)",M1="組合科學(物理、生物)"),M3,0)</f>
        <v>0</v>
      </c>
    </row>
    <row r="153" spans="1:23">
      <c r="A153" s="84" t="s">
        <v>439</v>
      </c>
      <c r="B153" s="84" t="s">
        <v>538</v>
      </c>
      <c r="C153" s="209" t="s">
        <v>549</v>
      </c>
      <c r="D153" s="84">
        <f>E153+F153+LARGE((G153:N153),1)+LARGE((G153:N153),2)+LARGE((G153:N153),3)</f>
        <v>2.9500000000000004E-9</v>
      </c>
      <c r="E153" s="84">
        <f t="shared" ref="E153:N153" si="88">E5</f>
        <v>1E-10</v>
      </c>
      <c r="F153" s="84">
        <f t="shared" si="88"/>
        <v>2.0000000000000001E-10</v>
      </c>
      <c r="G153" s="84">
        <f t="shared" si="88"/>
        <v>3E-10</v>
      </c>
      <c r="H153" s="84">
        <f t="shared" si="88"/>
        <v>4.0000000000000001E-10</v>
      </c>
      <c r="I153" s="84">
        <f t="shared" si="88"/>
        <v>5.0000000000000003E-10</v>
      </c>
      <c r="J153" s="84">
        <f t="shared" si="88"/>
        <v>6E-10</v>
      </c>
      <c r="K153" s="84">
        <f t="shared" si="88"/>
        <v>6.9999999999999996E-10</v>
      </c>
      <c r="L153" s="84">
        <f t="shared" si="88"/>
        <v>8.0000000000000003E-10</v>
      </c>
      <c r="M153" s="84">
        <f t="shared" si="88"/>
        <v>8.9999999999999999E-10</v>
      </c>
      <c r="N153" s="84">
        <f t="shared" si="88"/>
        <v>9.5000000000000003E-10</v>
      </c>
      <c r="Q153" s="84" t="s">
        <v>1278</v>
      </c>
      <c r="S153" s="84">
        <f>IF(OR(J1="物理",J1="化學",J1="設計與應用科技",J1="組合科學(物理、化學)",J1="組合科學(物理、生物)"),J3,0)</f>
        <v>0</v>
      </c>
      <c r="T153" s="90">
        <f>IF(OR(K1="物理",K1="化學",K1="設計與應用科技",K1="組合科學(物理、化學)",K1="組合科學(物理、生物)"),K3,0)</f>
        <v>0</v>
      </c>
      <c r="U153" s="84">
        <f>IF(OR(L1="物理",L1="化學",L1="設計與應用科技",L1="組合科學(物理、化學)",L1="組合科學(物理、生物)"),L3,0)</f>
        <v>0</v>
      </c>
      <c r="V153" s="84">
        <f>IF(OR(M1="物理",M1="化學",M1="設計與應用科技",M1="組合科學(物理、化學)",M1="組合科學(物理、生物)"),M3,0)</f>
        <v>0</v>
      </c>
    </row>
    <row r="154" spans="1:23">
      <c r="A154" s="84" t="s">
        <v>440</v>
      </c>
      <c r="B154" s="84" t="s">
        <v>539</v>
      </c>
      <c r="C154" s="209" t="s">
        <v>549</v>
      </c>
      <c r="D154" s="84">
        <f t="shared" ref="D154:D162" si="89">E154+F154+LARGE((G154:N154),1)+LARGE((G154:N154),2)+LARGE((G154:N154),3)</f>
        <v>2.9500000000000004E-9</v>
      </c>
      <c r="E154" s="84">
        <f t="shared" ref="E154:N154" si="90">E5</f>
        <v>1E-10</v>
      </c>
      <c r="F154" s="84">
        <f t="shared" si="90"/>
        <v>2.0000000000000001E-10</v>
      </c>
      <c r="G154" s="84">
        <f t="shared" si="90"/>
        <v>3E-10</v>
      </c>
      <c r="H154" s="84">
        <f t="shared" si="90"/>
        <v>4.0000000000000001E-10</v>
      </c>
      <c r="I154" s="84">
        <f t="shared" si="90"/>
        <v>5.0000000000000003E-10</v>
      </c>
      <c r="J154" s="84">
        <f t="shared" si="90"/>
        <v>6E-10</v>
      </c>
      <c r="K154" s="84">
        <f t="shared" si="90"/>
        <v>6.9999999999999996E-10</v>
      </c>
      <c r="L154" s="84">
        <f t="shared" si="90"/>
        <v>8.0000000000000003E-10</v>
      </c>
      <c r="M154" s="84">
        <f t="shared" si="90"/>
        <v>8.9999999999999999E-10</v>
      </c>
      <c r="N154" s="84">
        <f t="shared" si="90"/>
        <v>9.5000000000000003E-10</v>
      </c>
      <c r="Q154" s="84" t="s">
        <v>981</v>
      </c>
      <c r="S154" s="84">
        <f>IF(OR(J1="物理",J1="綜合科學",J1="組合科學(物理、化學)",J1="組合科學(物理、生物)"),J3,0)</f>
        <v>0</v>
      </c>
      <c r="T154" s="90">
        <f>IF(OR(K1="物理",K1="綜合科學",K1="組合科學(物理、化學)",K1="組合科學(物理、生物)"),K3,0)</f>
        <v>0</v>
      </c>
      <c r="U154" s="84">
        <f>IF(OR(L1="物理",L1="綜合科學",L1="組合科學(物理、化學)",L1="組合科學(物理、生物)"),L3,0)</f>
        <v>0</v>
      </c>
      <c r="V154" s="84">
        <f>IF(OR(M1="物理",M1="綜合科學",M1="組合科學(物理、化學)",M1="組合科學(物理、生物)"),M3,0)</f>
        <v>0</v>
      </c>
    </row>
    <row r="155" spans="1:23">
      <c r="A155" s="84" t="s">
        <v>441</v>
      </c>
      <c r="B155" s="84" t="s">
        <v>540</v>
      </c>
      <c r="C155" s="209" t="s">
        <v>549</v>
      </c>
      <c r="D155" s="84">
        <f t="shared" si="89"/>
        <v>2.9500000000000004E-9</v>
      </c>
      <c r="E155" s="84">
        <f t="shared" ref="E155:N155" si="91">E5</f>
        <v>1E-10</v>
      </c>
      <c r="F155" s="84">
        <f t="shared" si="91"/>
        <v>2.0000000000000001E-10</v>
      </c>
      <c r="G155" s="84">
        <f t="shared" si="91"/>
        <v>3E-10</v>
      </c>
      <c r="H155" s="84">
        <f t="shared" si="91"/>
        <v>4.0000000000000001E-10</v>
      </c>
      <c r="I155" s="84">
        <f t="shared" si="91"/>
        <v>5.0000000000000003E-10</v>
      </c>
      <c r="J155" s="84">
        <f t="shared" si="91"/>
        <v>6E-10</v>
      </c>
      <c r="K155" s="84">
        <f t="shared" si="91"/>
        <v>6.9999999999999996E-10</v>
      </c>
      <c r="L155" s="84">
        <f t="shared" si="91"/>
        <v>8.0000000000000003E-10</v>
      </c>
      <c r="M155" s="84">
        <f t="shared" si="91"/>
        <v>8.9999999999999999E-10</v>
      </c>
      <c r="N155" s="84">
        <f t="shared" si="91"/>
        <v>9.5000000000000003E-10</v>
      </c>
      <c r="Q155" s="84" t="s">
        <v>980</v>
      </c>
      <c r="S155" s="84">
        <f>IF(OR(J1="化學",J1="組合科學(物理、化學)",J1="組合科學(生物、化學)"),J3,0)</f>
        <v>0</v>
      </c>
      <c r="T155" s="90">
        <f>IF(OR(K1="化學",K1="組合科學(物理、化學)",K1="組合科學(生物、化學)"),K3,0)</f>
        <v>0</v>
      </c>
      <c r="U155" s="84">
        <f>IF(OR(L1="化學",L1="組合科學(物理、化學)",L1="組合科學(生物、化學)"),L3,0)</f>
        <v>0</v>
      </c>
      <c r="V155" s="84">
        <f>IF(OR(M1="化學",M1="組合科學(物理、化學)",M1="組合科學(生物、化學)"),M3,0)</f>
        <v>0</v>
      </c>
    </row>
    <row r="156" spans="1:23">
      <c r="A156" s="84" t="s">
        <v>442</v>
      </c>
      <c r="B156" s="84" t="s">
        <v>541</v>
      </c>
      <c r="C156" s="209" t="s">
        <v>549</v>
      </c>
      <c r="D156" s="84">
        <f>E156+F156+LARGE((G156:N156),1)+LARGE((G156:N156),2)+LARGE((G156:N156),3)</f>
        <v>2.9500000000000004E-9</v>
      </c>
      <c r="E156" s="84">
        <f t="shared" ref="E156:N156" si="92">E5</f>
        <v>1E-10</v>
      </c>
      <c r="F156" s="84">
        <f t="shared" si="92"/>
        <v>2.0000000000000001E-10</v>
      </c>
      <c r="G156" s="84">
        <f t="shared" si="92"/>
        <v>3E-10</v>
      </c>
      <c r="H156" s="84">
        <f t="shared" si="92"/>
        <v>4.0000000000000001E-10</v>
      </c>
      <c r="I156" s="84">
        <f t="shared" si="92"/>
        <v>5.0000000000000003E-10</v>
      </c>
      <c r="J156" s="84">
        <f t="shared" si="92"/>
        <v>6E-10</v>
      </c>
      <c r="K156" s="84">
        <f t="shared" si="92"/>
        <v>6.9999999999999996E-10</v>
      </c>
      <c r="L156" s="84">
        <f t="shared" si="92"/>
        <v>8.0000000000000003E-10</v>
      </c>
      <c r="M156" s="84">
        <f t="shared" si="92"/>
        <v>8.9999999999999999E-10</v>
      </c>
      <c r="N156" s="84">
        <f t="shared" si="92"/>
        <v>9.5000000000000003E-10</v>
      </c>
      <c r="P156" s="84" t="s">
        <v>733</v>
      </c>
      <c r="Q156" s="84" t="s">
        <v>890</v>
      </c>
      <c r="R156" s="84">
        <f>I3</f>
        <v>5.0000000000000003E-10</v>
      </c>
      <c r="S156" s="84">
        <f>IF(OR(J1="物理",J1="化學",J1="生物",J1="資訊及通訊科技",J1="科技與生活",J1="綜合科學",J1="組合科學(物理、化學)",J1="組合科學(生物、化學)",J1="組合科學(物理、生物)",J1="企業、會計與財務概論"),J3,0)</f>
        <v>0</v>
      </c>
      <c r="T156" s="90">
        <f>IF(OR(K1="物理",K1="化學",K1="生物",K1="資訊及通訊科技",K1="科技與生活",K1="綜合科學",K1="組合科學(物理、化學)",K1="組合科學(生物、化學)",K1="組合科學(物理、生物)",K1="企業、會計與財務概論"),K3,0)</f>
        <v>0</v>
      </c>
      <c r="U156" s="84">
        <f>IF(OR(L1="物理",L1="化學",L1="生物",L1="資訊及通訊科技",L1="科技與生活",L1="綜合科學",L1="組合科學(物理、化學)",L1="組合科學(生物、化學)",L1="組合科學(物理、生物)",L1="企業、會計與財務概論"),L3,0)</f>
        <v>0</v>
      </c>
      <c r="V156" s="84">
        <f>IF(OR(M1="物理",M1="化學",M1="生物",M1="資訊及通訊科技",M1="科技與生活",M1="綜合科學",M1="組合科學(物理、化學)",M1="組合科學(生物、化學)",M1="組合科學(物理、生物)",M1="企業、會計與財務概論"),M3,0)</f>
        <v>0</v>
      </c>
    </row>
    <row r="157" spans="1:23">
      <c r="A157" s="84" t="s">
        <v>443</v>
      </c>
      <c r="B157" s="84" t="s">
        <v>542</v>
      </c>
      <c r="C157" s="209" t="s">
        <v>549</v>
      </c>
      <c r="D157" s="84">
        <f t="shared" si="89"/>
        <v>2.9500000000000004E-9</v>
      </c>
      <c r="E157" s="84">
        <f t="shared" ref="E157:N157" si="93">E5</f>
        <v>1E-10</v>
      </c>
      <c r="F157" s="84">
        <f t="shared" si="93"/>
        <v>2.0000000000000001E-10</v>
      </c>
      <c r="G157" s="84">
        <f t="shared" si="93"/>
        <v>3E-10</v>
      </c>
      <c r="H157" s="84">
        <f t="shared" si="93"/>
        <v>4.0000000000000001E-10</v>
      </c>
      <c r="I157" s="84">
        <f t="shared" si="93"/>
        <v>5.0000000000000003E-10</v>
      </c>
      <c r="J157" s="84">
        <f t="shared" si="93"/>
        <v>6E-10</v>
      </c>
      <c r="K157" s="84">
        <f t="shared" si="93"/>
        <v>6.9999999999999996E-10</v>
      </c>
      <c r="L157" s="84">
        <f t="shared" si="93"/>
        <v>8.0000000000000003E-10</v>
      </c>
      <c r="M157" s="84">
        <f t="shared" si="93"/>
        <v>8.9999999999999999E-10</v>
      </c>
      <c r="N157" s="84">
        <f t="shared" si="93"/>
        <v>9.5000000000000003E-10</v>
      </c>
      <c r="P157" s="84" t="s">
        <v>1285</v>
      </c>
      <c r="Q157" s="198" t="s">
        <v>2298</v>
      </c>
      <c r="S157" s="84">
        <f>IF(OR(J1="物理",J1="生物",J1="設計與應用科技",J1="綜合科學",J1="組合科學(物理、生物)",J1="企業、會計與財務概論"),J3,0)</f>
        <v>0</v>
      </c>
      <c r="T157" s="198">
        <f>IF(OR(K1="物理",K1="生物",K1="設計與應用科技",K1="綜合科學",K1="組合科學(物理、生物)",K1="企業、會計與財務概論"),K3,0)</f>
        <v>0</v>
      </c>
      <c r="U157" s="198">
        <f>IF(OR(L1="物理",L1="生物",L1="設計與應用科技",L1="綜合科學",L1="組合科學(物理、生物)",L1="企業、會計與財務概論"),L3,0)</f>
        <v>0</v>
      </c>
      <c r="V157" s="198">
        <f>IF(OR(M1="物理",M1="生物",M1="設計與應用科技",M1="綜合科學",M1="組合科學(物理、生物)",M1="企業、會計與財務概論"),M3,0)</f>
        <v>0</v>
      </c>
    </row>
    <row r="158" spans="1:23">
      <c r="A158" s="84" t="s">
        <v>444</v>
      </c>
      <c r="B158" s="84" t="s">
        <v>543</v>
      </c>
      <c r="C158" s="209" t="s">
        <v>549</v>
      </c>
      <c r="D158" s="84">
        <f t="shared" si="89"/>
        <v>2.9500000000000004E-9</v>
      </c>
      <c r="E158" s="84">
        <f t="shared" ref="E158:N158" si="94">E5</f>
        <v>1E-10</v>
      </c>
      <c r="F158" s="84">
        <f t="shared" si="94"/>
        <v>2.0000000000000001E-10</v>
      </c>
      <c r="G158" s="84">
        <f t="shared" si="94"/>
        <v>3E-10</v>
      </c>
      <c r="H158" s="84">
        <f t="shared" si="94"/>
        <v>4.0000000000000001E-10</v>
      </c>
      <c r="I158" s="84">
        <f t="shared" si="94"/>
        <v>5.0000000000000003E-10</v>
      </c>
      <c r="J158" s="84">
        <f t="shared" si="94"/>
        <v>6E-10</v>
      </c>
      <c r="K158" s="84">
        <f t="shared" si="94"/>
        <v>6.9999999999999996E-10</v>
      </c>
      <c r="L158" s="84">
        <f t="shared" si="94"/>
        <v>8.0000000000000003E-10</v>
      </c>
      <c r="M158" s="84">
        <f t="shared" si="94"/>
        <v>8.9999999999999999E-10</v>
      </c>
      <c r="N158" s="84">
        <f t="shared" si="94"/>
        <v>9.5000000000000003E-10</v>
      </c>
      <c r="Q158" s="84" t="s">
        <v>979</v>
      </c>
      <c r="S158" s="84">
        <f>IF(OR(J1="化學",J1="生物",J1="組合科學(物理、化學)",J1="組合科學(生物、化學)",J1="組合科學(物理、生物)"),J13,0)</f>
        <v>0</v>
      </c>
      <c r="T158" s="90">
        <f>IF(OR(K1="化學",K1="生物",K1="組合科學(物理、化學)",K1="組合科學(生物、化學)",K1="組合科學(物理、生物)"),K13,0)</f>
        <v>0</v>
      </c>
      <c r="U158" s="84">
        <f>IF(OR(L1="化學",L1="生物",L1="組合科學(物理、化學)",L1="組合科學(生物、化學)",L1="組合科學(物理、生物)"),L13,0)</f>
        <v>0</v>
      </c>
      <c r="V158" s="84">
        <f>IF(OR(M1="化學",M1="生物",M1="組合科學(物理、化學)",M1="組合科學(生物、化學)",M1="組合科學(物理、生物)"),M13,0)</f>
        <v>0</v>
      </c>
    </row>
    <row r="159" spans="1:23">
      <c r="A159" s="84" t="s">
        <v>445</v>
      </c>
      <c r="B159" s="84" t="s">
        <v>544</v>
      </c>
      <c r="C159" s="209" t="s">
        <v>1052</v>
      </c>
      <c r="D159" s="84">
        <f t="shared" si="89"/>
        <v>2.9500000000000004E-9</v>
      </c>
      <c r="E159" s="84">
        <f t="shared" ref="E159:N159" si="95">E5</f>
        <v>1E-10</v>
      </c>
      <c r="F159" s="84">
        <f t="shared" si="95"/>
        <v>2.0000000000000001E-10</v>
      </c>
      <c r="G159" s="84">
        <f t="shared" si="95"/>
        <v>3E-10</v>
      </c>
      <c r="H159" s="84">
        <f t="shared" si="95"/>
        <v>4.0000000000000001E-10</v>
      </c>
      <c r="I159" s="84">
        <f t="shared" si="95"/>
        <v>5.0000000000000003E-10</v>
      </c>
      <c r="J159" s="84">
        <f t="shared" si="95"/>
        <v>6E-10</v>
      </c>
      <c r="K159" s="84">
        <f t="shared" si="95"/>
        <v>6.9999999999999996E-10</v>
      </c>
      <c r="L159" s="84">
        <f t="shared" si="95"/>
        <v>8.0000000000000003E-10</v>
      </c>
      <c r="M159" s="84">
        <f t="shared" si="95"/>
        <v>8.9999999999999999E-10</v>
      </c>
      <c r="N159" s="84">
        <f t="shared" si="95"/>
        <v>9.5000000000000003E-10</v>
      </c>
      <c r="Q159" s="84" t="s">
        <v>1265</v>
      </c>
      <c r="S159" s="84">
        <f>IF(J1="化學",J13,0)</f>
        <v>0</v>
      </c>
      <c r="T159" s="90">
        <f>IF(K1="化學",K13,0)</f>
        <v>0</v>
      </c>
      <c r="U159" s="84">
        <f>IF(L1="化學",L13,0)</f>
        <v>0</v>
      </c>
      <c r="V159" s="84">
        <f>IF(M1="化學",M13,0)</f>
        <v>0</v>
      </c>
    </row>
    <row r="160" spans="1:23">
      <c r="A160" s="84" t="s">
        <v>446</v>
      </c>
      <c r="B160" s="84" t="s">
        <v>545</v>
      </c>
      <c r="C160" s="209" t="s">
        <v>549</v>
      </c>
      <c r="D160" s="84">
        <f t="shared" si="89"/>
        <v>2.9500000000000004E-9</v>
      </c>
      <c r="E160" s="84">
        <f t="shared" ref="E160:N160" si="96">E5</f>
        <v>1E-10</v>
      </c>
      <c r="F160" s="84">
        <f t="shared" si="96"/>
        <v>2.0000000000000001E-10</v>
      </c>
      <c r="G160" s="84">
        <f t="shared" si="96"/>
        <v>3E-10</v>
      </c>
      <c r="H160" s="84">
        <f t="shared" si="96"/>
        <v>4.0000000000000001E-10</v>
      </c>
      <c r="I160" s="84">
        <f t="shared" si="96"/>
        <v>5.0000000000000003E-10</v>
      </c>
      <c r="J160" s="84">
        <f t="shared" si="96"/>
        <v>6E-10</v>
      </c>
      <c r="K160" s="84">
        <f t="shared" si="96"/>
        <v>6.9999999999999996E-10</v>
      </c>
      <c r="L160" s="84">
        <f t="shared" si="96"/>
        <v>8.0000000000000003E-10</v>
      </c>
      <c r="M160" s="84">
        <f t="shared" si="96"/>
        <v>8.9999999999999999E-10</v>
      </c>
      <c r="N160" s="84">
        <f t="shared" si="96"/>
        <v>9.5000000000000003E-10</v>
      </c>
      <c r="Q160" s="84" t="s">
        <v>1163</v>
      </c>
      <c r="S160" s="84">
        <f>IF(OR(J1="物理",J1="生物",J1="組合科學(物理、生物)"),J13,0)</f>
        <v>0</v>
      </c>
      <c r="T160" s="90">
        <f>IF(OR(K1="物理",K1="生物",K1="組合科學(物理、生物)"),K13,0)</f>
        <v>0</v>
      </c>
      <c r="U160" s="84">
        <f>IF(OR(L1="物理",L1="生物",L1="組合科學(物理、生物)"),L13,0)</f>
        <v>0</v>
      </c>
      <c r="V160" s="84">
        <f>IF(OR(M1="物理",M1="生物",M1="組合科學(物理、生物)"),M13,0)</f>
        <v>0</v>
      </c>
    </row>
    <row r="161" spans="1:34">
      <c r="A161" s="84" t="s">
        <v>447</v>
      </c>
      <c r="B161" s="84" t="s">
        <v>546</v>
      </c>
      <c r="C161" s="209" t="s">
        <v>1052</v>
      </c>
      <c r="D161" s="84">
        <f t="shared" si="89"/>
        <v>2.9500000000000004E-9</v>
      </c>
      <c r="E161" s="84">
        <f t="shared" ref="E161:N161" si="97">E5</f>
        <v>1E-10</v>
      </c>
      <c r="F161" s="84">
        <f t="shared" si="97"/>
        <v>2.0000000000000001E-10</v>
      </c>
      <c r="G161" s="84">
        <f t="shared" si="97"/>
        <v>3E-10</v>
      </c>
      <c r="H161" s="84">
        <f t="shared" si="97"/>
        <v>4.0000000000000001E-10</v>
      </c>
      <c r="I161" s="84">
        <f t="shared" si="97"/>
        <v>5.0000000000000003E-10</v>
      </c>
      <c r="J161" s="84">
        <f t="shared" si="97"/>
        <v>6E-10</v>
      </c>
      <c r="K161" s="84">
        <f t="shared" si="97"/>
        <v>6.9999999999999996E-10</v>
      </c>
      <c r="L161" s="84">
        <f t="shared" si="97"/>
        <v>8.0000000000000003E-10</v>
      </c>
      <c r="M161" s="84">
        <f t="shared" si="97"/>
        <v>8.9999999999999999E-10</v>
      </c>
      <c r="N161" s="84">
        <f t="shared" si="97"/>
        <v>9.5000000000000003E-10</v>
      </c>
      <c r="P161" s="84" t="s">
        <v>883</v>
      </c>
      <c r="Q161" s="84" t="s">
        <v>1279</v>
      </c>
      <c r="R161" s="84">
        <f>I3</f>
        <v>5.0000000000000003E-10</v>
      </c>
      <c r="S161" s="84">
        <f>IF(OR(J1="物理",J1="化學",J1="生物",J1="組合科學(物理、化學)",J1="組合科學(生物、化學)",J1="組合科學(物理、生物)",J1="地理"),J3,0)</f>
        <v>0</v>
      </c>
      <c r="T161" s="90">
        <f>IF(OR(K1="物理",K1="化學",K1="生物",K1="組合科學(物理、化學)",K1="組合科學(生物、化學)",K1="組合科學(物理、生物)",K1="地理"),K3,0)</f>
        <v>0</v>
      </c>
      <c r="U161" s="84">
        <f>IF(OR(L1="物理",L1="化學",L1="生物",L1="組合科學(物理、化學)",L1="組合科學(生物、化學)",L1="組合科學(物理、生物)",L1="地理"),L3,0)</f>
        <v>0</v>
      </c>
      <c r="V161" s="84">
        <f>IF(OR(M1="物理",M1="化學",M1="生物",M1="組合科學(物理、化學)",M1="組合科學(生物、化學)",M1="組合科學(物理、生物)",M1="地理"),M3,0)</f>
        <v>0</v>
      </c>
    </row>
    <row r="162" spans="1:34">
      <c r="A162" s="84" t="s">
        <v>448</v>
      </c>
      <c r="B162" s="84" t="s">
        <v>547</v>
      </c>
      <c r="C162" s="209" t="s">
        <v>549</v>
      </c>
      <c r="D162" s="84">
        <f t="shared" si="89"/>
        <v>2.9500000000000004E-9</v>
      </c>
      <c r="E162" s="84">
        <f t="shared" ref="E162:N162" si="98">E5</f>
        <v>1E-10</v>
      </c>
      <c r="F162" s="84">
        <f t="shared" si="98"/>
        <v>2.0000000000000001E-10</v>
      </c>
      <c r="G162" s="84">
        <f t="shared" si="98"/>
        <v>3E-10</v>
      </c>
      <c r="H162" s="84">
        <f t="shared" si="98"/>
        <v>4.0000000000000001E-10</v>
      </c>
      <c r="I162" s="84">
        <f t="shared" si="98"/>
        <v>5.0000000000000003E-10</v>
      </c>
      <c r="J162" s="84">
        <f t="shared" si="98"/>
        <v>6E-10</v>
      </c>
      <c r="K162" s="84">
        <f t="shared" si="98"/>
        <v>6.9999999999999996E-10</v>
      </c>
      <c r="L162" s="84">
        <f t="shared" si="98"/>
        <v>8.0000000000000003E-10</v>
      </c>
      <c r="M162" s="84">
        <f t="shared" si="98"/>
        <v>8.9999999999999999E-10</v>
      </c>
      <c r="N162" s="84">
        <f t="shared" si="98"/>
        <v>9.5000000000000003E-10</v>
      </c>
      <c r="P162" s="84" t="s">
        <v>1285</v>
      </c>
      <c r="Q162" s="84" t="s">
        <v>1286</v>
      </c>
      <c r="S162" s="84">
        <f>IF(OR(J1="物理",J1="化學",J1="生物",J1="資訊及通訊科技",J1="企業、會計與財務概論",J1="綜合科學",J1="組合科學(物理、化學)",J1="組合科學(生物、化學)",J1="組合科學(物理、生物)",J1="企業、會計與財務概論"),J3,0)</f>
        <v>0</v>
      </c>
      <c r="T162" s="90">
        <f>IF(OR(K1="物理",K1="化學",K1="生物",K1="資訊及通訊科技",K1="企業、會計與財務概論",K1="綜合科學",K1="組合科學(物理、化學)",K1="組合科學(生物、化學)",K1="組合科學(物理、生物)",K1="企業、會計與財務概論"),K3,0)</f>
        <v>0</v>
      </c>
      <c r="U162" s="84">
        <f>IF(OR(L1="物理",L1="化學",L1="生物",L1="資訊及通訊科技",L1="企業、會計與財務概論",L1="綜合科學",L1="組合科學(物理、化學)",L1="組合科學(生物、化學)",L1="組合科學(物理、生物)",L1="企業、會計與財務概論"),L3,0)</f>
        <v>0</v>
      </c>
      <c r="V162" s="84">
        <f>IF(OR(M1="物理",M1="化學",M1="生物",M1="資訊及通訊科技",M1="企業、會計與財務概論",M1="綜合科學",M1="組合科學(物理、化學)",M1="組合科學(生物、化學)",M1="組合科學(物理、生物)",M1="企業、會計與財務概論"),M3,0)</f>
        <v>0</v>
      </c>
    </row>
    <row r="163" spans="1:34">
      <c r="L163" s="84"/>
      <c r="M163" s="84"/>
      <c r="P163" s="84" t="s">
        <v>2182</v>
      </c>
      <c r="Q163" s="198" t="s">
        <v>2184</v>
      </c>
      <c r="R163" s="84">
        <f>I3</f>
        <v>5.0000000000000003E-10</v>
      </c>
      <c r="S163" s="84">
        <f>IF(OR(J1="物理",J1="化學",J1="資訊及通訊科技",J1="科技與生活",J1="組合科學(物理、化學)",J1="組合科學(物理、生物)"),J3,0)</f>
        <v>0</v>
      </c>
      <c r="T163" s="198">
        <f>IF(OR(K1="物理",K1="化學",K1="資訊及通訊科技",K1="科技與生活",K1="組合科學(物理、化學)",K1="組合科學(物理、生物)"),K3,0)</f>
        <v>0</v>
      </c>
      <c r="U163" s="198">
        <f>IF(OR(L1="物理",L1="化學",L1="資訊及通訊科技",L1="科技與生活",L1="組合科學(物理、化學)",L1="組合科學(物理、生物)"),L3,0)</f>
        <v>0</v>
      </c>
      <c r="V163" s="198">
        <f>IF(OR(M1="物理",M1="化學",M1="資訊及通訊科技",M1="科技與生活",M1="組合科學(物理、化學)",M1="組合科學(物理、生物)"),M3,0)</f>
        <v>0</v>
      </c>
    </row>
    <row r="164" spans="1:34">
      <c r="A164" s="169" t="s">
        <v>193</v>
      </c>
      <c r="B164" s="159"/>
      <c r="C164" s="160"/>
      <c r="D164" s="159" t="s">
        <v>194</v>
      </c>
      <c r="E164" s="161" t="s">
        <v>2</v>
      </c>
      <c r="F164" s="161" t="s">
        <v>1</v>
      </c>
      <c r="G164" s="161" t="s">
        <v>3</v>
      </c>
      <c r="H164" s="158" t="s">
        <v>4</v>
      </c>
      <c r="I164" s="161" t="s">
        <v>63</v>
      </c>
      <c r="J164" s="161" t="str">
        <f>J1</f>
        <v>請選擇第一選修科</v>
      </c>
      <c r="K164" s="161" t="str">
        <f>K1</f>
        <v>請選擇第二選修科</v>
      </c>
      <c r="L164" s="162" t="str">
        <f>L1</f>
        <v>請選擇第三選修科</v>
      </c>
      <c r="M164" s="162" t="str">
        <f>M1</f>
        <v>請選擇第四選修科</v>
      </c>
      <c r="N164" s="161" t="str">
        <f>N1</f>
        <v>請選擇語言科目</v>
      </c>
      <c r="O164" s="151"/>
    </row>
    <row r="165" spans="1:34">
      <c r="A165" s="159" t="s">
        <v>71</v>
      </c>
      <c r="B165" s="159" t="s">
        <v>72</v>
      </c>
      <c r="C165" s="163" t="s">
        <v>189</v>
      </c>
      <c r="D165" s="159">
        <f>LARGE(E165:N165, 1)+LARGE(E165:N165, 2)+LARGE(E165:N165, 3)+LARGE(E165:N165, 4)+LARGE(E165:N165, 5)</f>
        <v>3.9500000000000006E-9</v>
      </c>
      <c r="E165" s="159">
        <f t="shared" ref="E165:N165" si="99">E6</f>
        <v>1E-10</v>
      </c>
      <c r="F165" s="159">
        <f t="shared" si="99"/>
        <v>2.0000000000000001E-10</v>
      </c>
      <c r="G165" s="159">
        <f t="shared" si="99"/>
        <v>3E-10</v>
      </c>
      <c r="H165" s="159">
        <f t="shared" si="99"/>
        <v>4.0000000000000001E-10</v>
      </c>
      <c r="I165" s="159">
        <f t="shared" si="99"/>
        <v>5.0000000000000003E-10</v>
      </c>
      <c r="J165" s="159">
        <f t="shared" si="99"/>
        <v>6E-10</v>
      </c>
      <c r="K165" s="159">
        <f t="shared" si="99"/>
        <v>6.9999999999999996E-10</v>
      </c>
      <c r="L165" s="164">
        <f t="shared" si="99"/>
        <v>8.0000000000000003E-10</v>
      </c>
      <c r="M165" s="164">
        <f t="shared" si="99"/>
        <v>8.9999999999999999E-10</v>
      </c>
      <c r="N165" s="159">
        <f t="shared" si="99"/>
        <v>9.5000000000000003E-10</v>
      </c>
      <c r="O165" s="174"/>
      <c r="AD165" s="174"/>
      <c r="AE165" s="447"/>
      <c r="AG165" s="198"/>
      <c r="AH165" s="198"/>
    </row>
    <row r="166" spans="1:34">
      <c r="A166" s="159" t="s">
        <v>73</v>
      </c>
      <c r="B166" s="159" t="s">
        <v>74</v>
      </c>
      <c r="C166" s="163" t="s">
        <v>189</v>
      </c>
      <c r="D166" s="159">
        <f>LARGE(E166:N166, 1)+LARGE(E166:N166, 2)+LARGE(E166:N166, 3)+LARGE(E166:N166, 4)+LARGE(E166:N166, 5)</f>
        <v>3.9500000000000006E-9</v>
      </c>
      <c r="E166" s="159">
        <f>E6*1.5</f>
        <v>1.5E-10</v>
      </c>
      <c r="F166" s="159">
        <f t="shared" ref="F166:N166" si="100">F6</f>
        <v>2.0000000000000001E-10</v>
      </c>
      <c r="G166" s="159">
        <f t="shared" si="100"/>
        <v>3E-10</v>
      </c>
      <c r="H166" s="159">
        <f t="shared" si="100"/>
        <v>4.0000000000000001E-10</v>
      </c>
      <c r="I166" s="159">
        <f t="shared" si="100"/>
        <v>5.0000000000000003E-10</v>
      </c>
      <c r="J166" s="159">
        <f t="shared" si="100"/>
        <v>6E-10</v>
      </c>
      <c r="K166" s="159">
        <f t="shared" si="100"/>
        <v>6.9999999999999996E-10</v>
      </c>
      <c r="L166" s="164">
        <f t="shared" si="100"/>
        <v>8.0000000000000003E-10</v>
      </c>
      <c r="M166" s="164">
        <f t="shared" si="100"/>
        <v>8.9999999999999999E-10</v>
      </c>
      <c r="N166" s="159">
        <f t="shared" si="100"/>
        <v>9.5000000000000003E-10</v>
      </c>
      <c r="O166" s="174"/>
      <c r="AD166" s="174" t="s">
        <v>2241</v>
      </c>
      <c r="AE166" s="447" t="s">
        <v>189</v>
      </c>
      <c r="AF166" s="198" t="s">
        <v>2380</v>
      </c>
      <c r="AG166" s="198" t="s">
        <v>2381</v>
      </c>
      <c r="AH166" s="198" t="s">
        <v>2382</v>
      </c>
    </row>
    <row r="167" spans="1:34">
      <c r="A167" s="159" t="s">
        <v>75</v>
      </c>
      <c r="B167" s="159" t="s">
        <v>76</v>
      </c>
      <c r="C167" s="163" t="s">
        <v>189</v>
      </c>
      <c r="D167" s="159">
        <f>LARGE(E167:N167, 1)+LARGE(E167:N167, 2)+LARGE(E167:N167, 3)+LARGE(E167:N167, 4)+LARGE(E167:N167, 5)</f>
        <v>3.9500000000000006E-9</v>
      </c>
      <c r="E167" s="159">
        <f t="shared" ref="E167:N167" si="101">E6</f>
        <v>1E-10</v>
      </c>
      <c r="F167" s="159">
        <f t="shared" si="101"/>
        <v>2.0000000000000001E-10</v>
      </c>
      <c r="G167" s="159">
        <f t="shared" si="101"/>
        <v>3E-10</v>
      </c>
      <c r="H167" s="159">
        <f t="shared" si="101"/>
        <v>4.0000000000000001E-10</v>
      </c>
      <c r="I167" s="159">
        <f t="shared" si="101"/>
        <v>5.0000000000000003E-10</v>
      </c>
      <c r="J167" s="159">
        <f t="shared" si="101"/>
        <v>6E-10</v>
      </c>
      <c r="K167" s="159">
        <f t="shared" si="101"/>
        <v>6.9999999999999996E-10</v>
      </c>
      <c r="L167" s="164">
        <f t="shared" si="101"/>
        <v>8.0000000000000003E-10</v>
      </c>
      <c r="M167" s="164">
        <f t="shared" si="101"/>
        <v>8.9999999999999999E-10</v>
      </c>
      <c r="N167" s="159">
        <f t="shared" si="101"/>
        <v>9.5000000000000003E-10</v>
      </c>
      <c r="O167" s="174"/>
      <c r="T167" s="84"/>
      <c r="U167" s="90"/>
      <c r="AD167" s="174" t="s">
        <v>1256</v>
      </c>
      <c r="AE167" s="447" t="s">
        <v>189</v>
      </c>
      <c r="AF167" s="198" t="s">
        <v>2383</v>
      </c>
      <c r="AG167" s="198" t="s">
        <v>2384</v>
      </c>
      <c r="AH167" s="198" t="s">
        <v>2385</v>
      </c>
    </row>
    <row r="168" spans="1:34">
      <c r="A168" s="159" t="s">
        <v>77</v>
      </c>
      <c r="B168" s="159" t="s">
        <v>78</v>
      </c>
      <c r="C168" s="163" t="s">
        <v>189</v>
      </c>
      <c r="D168" s="159">
        <f>LARGE(E168:N168, 1)+LARGE(E168:N168, 2)+LARGE(E168:N168, 3)+LARGE(E168:N168, 4)+LARGE(E168:N168, 5)</f>
        <v>3.9500000000000006E-9</v>
      </c>
      <c r="E168" s="159">
        <f t="shared" ref="E168:N168" si="102">E6</f>
        <v>1E-10</v>
      </c>
      <c r="F168" s="159">
        <f t="shared" si="102"/>
        <v>2.0000000000000001E-10</v>
      </c>
      <c r="G168" s="159">
        <f t="shared" si="102"/>
        <v>3E-10</v>
      </c>
      <c r="H168" s="159">
        <f t="shared" si="102"/>
        <v>4.0000000000000001E-10</v>
      </c>
      <c r="I168" s="159">
        <f t="shared" si="102"/>
        <v>5.0000000000000003E-10</v>
      </c>
      <c r="J168" s="159">
        <f t="shared" si="102"/>
        <v>6E-10</v>
      </c>
      <c r="K168" s="159">
        <f t="shared" si="102"/>
        <v>6.9999999999999996E-10</v>
      </c>
      <c r="L168" s="164">
        <f t="shared" si="102"/>
        <v>8.0000000000000003E-10</v>
      </c>
      <c r="M168" s="164">
        <f t="shared" si="102"/>
        <v>8.9999999999999999E-10</v>
      </c>
      <c r="N168" s="159">
        <f t="shared" si="102"/>
        <v>9.5000000000000003E-10</v>
      </c>
      <c r="O168" s="174"/>
      <c r="T168" s="84"/>
      <c r="U168" s="90"/>
      <c r="AD168" s="174" t="s">
        <v>1256</v>
      </c>
      <c r="AE168" s="447" t="s">
        <v>190</v>
      </c>
      <c r="AF168" s="198" t="s">
        <v>2386</v>
      </c>
      <c r="AG168" s="198" t="s">
        <v>2387</v>
      </c>
      <c r="AH168" s="198" t="s">
        <v>2388</v>
      </c>
    </row>
    <row r="169" spans="1:34">
      <c r="A169" s="159" t="s">
        <v>79</v>
      </c>
      <c r="B169" s="159" t="s">
        <v>145</v>
      </c>
      <c r="C169" s="165" t="s">
        <v>195</v>
      </c>
      <c r="D169" s="159">
        <f>SUM(E169:H169)+LARGE(I169:N169,1)+LARGE(I169:N169,2)</f>
        <v>2.9499999999999999E-9</v>
      </c>
      <c r="E169" s="159">
        <f>E6</f>
        <v>1E-10</v>
      </c>
      <c r="F169" s="159">
        <f>F6*1.5</f>
        <v>3E-10</v>
      </c>
      <c r="G169" s="159">
        <f t="shared" ref="G169:N169" si="103">G6</f>
        <v>3E-10</v>
      </c>
      <c r="H169" s="159">
        <f t="shared" si="103"/>
        <v>4.0000000000000001E-10</v>
      </c>
      <c r="I169" s="159">
        <f t="shared" si="103"/>
        <v>5.0000000000000003E-10</v>
      </c>
      <c r="J169" s="159">
        <f t="shared" si="103"/>
        <v>6E-10</v>
      </c>
      <c r="K169" s="159">
        <f t="shared" si="103"/>
        <v>6.9999999999999996E-10</v>
      </c>
      <c r="L169" s="164">
        <f t="shared" si="103"/>
        <v>8.0000000000000003E-10</v>
      </c>
      <c r="M169" s="164">
        <f t="shared" si="103"/>
        <v>8.9999999999999999E-10</v>
      </c>
      <c r="N169" s="159">
        <f t="shared" si="103"/>
        <v>9.5000000000000003E-10</v>
      </c>
      <c r="O169" s="174"/>
      <c r="Q169" s="83" t="str">
        <f>J1</f>
        <v>請選擇第一選修科</v>
      </c>
      <c r="R169" s="83" t="str">
        <f>K1</f>
        <v>請選擇第二選修科</v>
      </c>
      <c r="S169" s="83" t="str">
        <f>L1</f>
        <v>請選擇第三選修科</v>
      </c>
      <c r="T169" s="83" t="str">
        <f>M1</f>
        <v>請選擇第四選修科</v>
      </c>
      <c r="U169" s="87" t="s">
        <v>759</v>
      </c>
      <c r="AD169" s="174" t="s">
        <v>1256</v>
      </c>
      <c r="AE169" s="313" t="s">
        <v>189</v>
      </c>
      <c r="AF169" s="198" t="s">
        <v>2389</v>
      </c>
      <c r="AG169" s="198" t="s">
        <v>2390</v>
      </c>
      <c r="AH169" s="198" t="s">
        <v>2391</v>
      </c>
    </row>
    <row r="170" spans="1:34">
      <c r="A170" s="159" t="s">
        <v>80</v>
      </c>
      <c r="B170" s="159" t="s">
        <v>81</v>
      </c>
      <c r="C170" s="163" t="s">
        <v>189</v>
      </c>
      <c r="D170" s="159">
        <f>LARGE(E170:N170, 1)+LARGE(E170:N170, 2)+LARGE(E170:N170, 3)+LARGE(E170:N170, 4)+LARGE(E170:N170, 5)</f>
        <v>3.9500000000000006E-9</v>
      </c>
      <c r="E170" s="159">
        <f t="shared" ref="E170:N170" si="104">E6</f>
        <v>1E-10</v>
      </c>
      <c r="F170" s="159">
        <f t="shared" si="104"/>
        <v>2.0000000000000001E-10</v>
      </c>
      <c r="G170" s="159">
        <f t="shared" si="104"/>
        <v>3E-10</v>
      </c>
      <c r="H170" s="159">
        <f t="shared" si="104"/>
        <v>4.0000000000000001E-10</v>
      </c>
      <c r="I170" s="159">
        <f t="shared" si="104"/>
        <v>5.0000000000000003E-10</v>
      </c>
      <c r="J170" s="159">
        <f t="shared" si="104"/>
        <v>6E-10</v>
      </c>
      <c r="K170" s="159">
        <f t="shared" si="104"/>
        <v>6.9999999999999996E-10</v>
      </c>
      <c r="L170" s="164">
        <f t="shared" si="104"/>
        <v>8.0000000000000003E-10</v>
      </c>
      <c r="M170" s="164">
        <f t="shared" si="104"/>
        <v>8.9999999999999999E-10</v>
      </c>
      <c r="N170" s="159">
        <f t="shared" si="104"/>
        <v>9.5000000000000003E-10</v>
      </c>
      <c r="O170" s="174"/>
      <c r="Q170" s="84">
        <f>IF(OR(J1="英語文學"),I6,0)</f>
        <v>0</v>
      </c>
      <c r="R170" s="84">
        <f>IF(OR(K1="英語文學"),J6,0)</f>
        <v>0</v>
      </c>
      <c r="S170" s="84">
        <f>IF(OR(L1="英語文學"),K6,0)</f>
        <v>0</v>
      </c>
      <c r="T170" s="84">
        <f>IF(OR(M1="英語文學"),L6,0)</f>
        <v>0</v>
      </c>
      <c r="U170" s="90" t="str">
        <f>INDEX(J$1:M$1,MATCH(LARGE(Q170:T170,1),Q175:T175,0))</f>
        <v>請選擇第一選修科</v>
      </c>
      <c r="V170" s="84">
        <f>IF(U170="英語文學",1,0)</f>
        <v>0</v>
      </c>
      <c r="AD170" s="174" t="s">
        <v>1257</v>
      </c>
      <c r="AE170" s="446" t="s">
        <v>189</v>
      </c>
      <c r="AF170" s="198" t="s">
        <v>2392</v>
      </c>
      <c r="AG170" s="198" t="s">
        <v>2393</v>
      </c>
      <c r="AH170" s="198" t="s">
        <v>2394</v>
      </c>
    </row>
    <row r="171" spans="1:34">
      <c r="A171" s="159" t="s">
        <v>82</v>
      </c>
      <c r="B171" s="159" t="s">
        <v>22</v>
      </c>
      <c r="C171" s="163" t="s">
        <v>189</v>
      </c>
      <c r="D171" s="159">
        <f>LARGE(E171:N171, 1)+LARGE(E171:N171, 2)+LARGE(E171:N171, 3)+LARGE(E171:N171, 4)+LARGE(E171:N171, 5)</f>
        <v>3.9500000000000006E-9</v>
      </c>
      <c r="E171" s="159">
        <f t="shared" ref="E171:N171" si="105">E6</f>
        <v>1E-10</v>
      </c>
      <c r="F171" s="159">
        <f t="shared" si="105"/>
        <v>2.0000000000000001E-10</v>
      </c>
      <c r="G171" s="159">
        <f t="shared" si="105"/>
        <v>3E-10</v>
      </c>
      <c r="H171" s="159">
        <f t="shared" si="105"/>
        <v>4.0000000000000001E-10</v>
      </c>
      <c r="I171" s="159">
        <f t="shared" si="105"/>
        <v>5.0000000000000003E-10</v>
      </c>
      <c r="J171" s="159">
        <f t="shared" si="105"/>
        <v>6E-10</v>
      </c>
      <c r="K171" s="159">
        <f t="shared" si="105"/>
        <v>6.9999999999999996E-10</v>
      </c>
      <c r="L171" s="164">
        <f t="shared" si="105"/>
        <v>8.0000000000000003E-10</v>
      </c>
      <c r="M171" s="164">
        <f t="shared" si="105"/>
        <v>8.9999999999999999E-10</v>
      </c>
      <c r="N171" s="159">
        <f t="shared" si="105"/>
        <v>9.5000000000000003E-10</v>
      </c>
      <c r="O171" s="174"/>
      <c r="Q171" s="84">
        <f>IF(OR(J1="視覺藝術"),I6,0)</f>
        <v>0</v>
      </c>
      <c r="R171" s="84">
        <f>IF(OR(K1="視覺藝術"),J6,0)</f>
        <v>0</v>
      </c>
      <c r="S171" s="84">
        <f>IF(OR(L1="視覺藝術"),K6,0)</f>
        <v>0</v>
      </c>
      <c r="T171" s="84">
        <f>IF(OR(M1="視覺藝術"),L6,0)</f>
        <v>0</v>
      </c>
      <c r="U171" s="90" t="str">
        <f>INDEX(J$1:M$1,MATCH(LARGE(Q171:T171,1),Q175:T175,0))</f>
        <v>請選擇第一選修科</v>
      </c>
      <c r="V171" s="84">
        <f>IF(U171="視覺藝術",1,0)</f>
        <v>0</v>
      </c>
      <c r="AD171" s="174" t="s">
        <v>1256</v>
      </c>
      <c r="AE171" s="446" t="s">
        <v>189</v>
      </c>
      <c r="AF171" s="198" t="s">
        <v>2395</v>
      </c>
      <c r="AG171" s="198" t="s">
        <v>2396</v>
      </c>
      <c r="AH171" s="198" t="s">
        <v>2397</v>
      </c>
    </row>
    <row r="172" spans="1:34">
      <c r="A172" s="159" t="s">
        <v>83</v>
      </c>
      <c r="B172" s="159" t="s">
        <v>84</v>
      </c>
      <c r="C172" s="163" t="s">
        <v>189</v>
      </c>
      <c r="D172" s="159">
        <f>LARGE(E172:N172, 1)+LARGE(E172:N172, 2)+LARGE(E172:N172, 3)+LARGE(E172:N172, 4)+LARGE(E172:N172, 5)</f>
        <v>3.9500000000000006E-9</v>
      </c>
      <c r="E172" s="159">
        <f t="shared" ref="E172:N172" si="106">E6</f>
        <v>1E-10</v>
      </c>
      <c r="F172" s="159">
        <f t="shared" si="106"/>
        <v>2.0000000000000001E-10</v>
      </c>
      <c r="G172" s="159">
        <f t="shared" si="106"/>
        <v>3E-10</v>
      </c>
      <c r="H172" s="159">
        <f t="shared" si="106"/>
        <v>4.0000000000000001E-10</v>
      </c>
      <c r="I172" s="159">
        <f t="shared" si="106"/>
        <v>5.0000000000000003E-10</v>
      </c>
      <c r="J172" s="159">
        <f t="shared" si="106"/>
        <v>6E-10</v>
      </c>
      <c r="K172" s="159">
        <f t="shared" si="106"/>
        <v>6.9999999999999996E-10</v>
      </c>
      <c r="L172" s="164">
        <f t="shared" si="106"/>
        <v>8.0000000000000003E-10</v>
      </c>
      <c r="M172" s="164">
        <f t="shared" si="106"/>
        <v>8.9999999999999999E-10</v>
      </c>
      <c r="N172" s="159">
        <f t="shared" si="106"/>
        <v>9.5000000000000003E-10</v>
      </c>
      <c r="O172" s="174"/>
      <c r="T172" s="84"/>
      <c r="U172" s="90"/>
      <c r="AD172" s="174" t="s">
        <v>1256</v>
      </c>
      <c r="AE172" s="313" t="s">
        <v>189</v>
      </c>
      <c r="AF172" s="198" t="s">
        <v>2398</v>
      </c>
      <c r="AG172" s="198" t="s">
        <v>2399</v>
      </c>
      <c r="AH172" s="198" t="s">
        <v>2400</v>
      </c>
    </row>
    <row r="173" spans="1:34">
      <c r="A173" s="159" t="s">
        <v>85</v>
      </c>
      <c r="B173" s="159" t="s">
        <v>146</v>
      </c>
      <c r="C173" s="163" t="s">
        <v>189</v>
      </c>
      <c r="D173" s="159">
        <f>LARGE(E173:N173, 1)+LARGE(E173:N173, 2)+LARGE(E173:N173, 3)+LARGE(E173:N173, 4)+LARGE(E173:N173, 5)</f>
        <v>3.9500000000000006E-9</v>
      </c>
      <c r="E173" s="159">
        <f t="shared" ref="E173:N173" si="107">E6</f>
        <v>1E-10</v>
      </c>
      <c r="F173" s="159">
        <f t="shared" si="107"/>
        <v>2.0000000000000001E-10</v>
      </c>
      <c r="G173" s="159">
        <f t="shared" si="107"/>
        <v>3E-10</v>
      </c>
      <c r="H173" s="159">
        <f t="shared" si="107"/>
        <v>4.0000000000000001E-10</v>
      </c>
      <c r="I173" s="159">
        <f t="shared" si="107"/>
        <v>5.0000000000000003E-10</v>
      </c>
      <c r="J173" s="159">
        <f t="shared" si="107"/>
        <v>6E-10</v>
      </c>
      <c r="K173" s="159">
        <f t="shared" si="107"/>
        <v>6.9999999999999996E-10</v>
      </c>
      <c r="L173" s="164">
        <f t="shared" si="107"/>
        <v>8.0000000000000003E-10</v>
      </c>
      <c r="M173" s="164">
        <f t="shared" si="107"/>
        <v>8.9999999999999999E-10</v>
      </c>
      <c r="N173" s="159">
        <f t="shared" si="107"/>
        <v>9.5000000000000003E-10</v>
      </c>
      <c r="O173" s="174"/>
      <c r="T173" s="84"/>
      <c r="U173" s="90"/>
      <c r="AD173" s="174" t="s">
        <v>1256</v>
      </c>
      <c r="AE173" s="449" t="s">
        <v>190</v>
      </c>
      <c r="AF173" s="198" t="s">
        <v>2401</v>
      </c>
      <c r="AG173" s="198" t="s">
        <v>2402</v>
      </c>
      <c r="AH173" s="198" t="s">
        <v>2403</v>
      </c>
    </row>
    <row r="174" spans="1:34">
      <c r="A174" s="159" t="s">
        <v>86</v>
      </c>
      <c r="B174" s="159" t="s">
        <v>21</v>
      </c>
      <c r="C174" s="163" t="s">
        <v>59</v>
      </c>
      <c r="D174" s="159">
        <f>LARGE(E174:N174, 1)+LARGE(E174:N174, 2)+LARGE(E174:N174, 3)+LARGE(E174:N174, 4)+LARGE(E174:N174, 5)</f>
        <v>3.9500000000000006E-9</v>
      </c>
      <c r="E174" s="159">
        <f t="shared" ref="E174:N174" si="108">E6</f>
        <v>1E-10</v>
      </c>
      <c r="F174" s="159">
        <f t="shared" si="108"/>
        <v>2.0000000000000001E-10</v>
      </c>
      <c r="G174" s="159">
        <f t="shared" si="108"/>
        <v>3E-10</v>
      </c>
      <c r="H174" s="159">
        <f t="shared" si="108"/>
        <v>4.0000000000000001E-10</v>
      </c>
      <c r="I174" s="159">
        <f t="shared" si="108"/>
        <v>5.0000000000000003E-10</v>
      </c>
      <c r="J174" s="159">
        <f t="shared" si="108"/>
        <v>6E-10</v>
      </c>
      <c r="K174" s="159">
        <f t="shared" si="108"/>
        <v>6.9999999999999996E-10</v>
      </c>
      <c r="L174" s="164">
        <f t="shared" si="108"/>
        <v>8.0000000000000003E-10</v>
      </c>
      <c r="M174" s="164">
        <f t="shared" si="108"/>
        <v>8.9999999999999999E-10</v>
      </c>
      <c r="N174" s="159">
        <f t="shared" si="108"/>
        <v>9.5000000000000003E-10</v>
      </c>
      <c r="O174" s="174"/>
      <c r="T174" s="84"/>
      <c r="U174" s="90"/>
      <c r="AD174" s="174" t="s">
        <v>1256</v>
      </c>
      <c r="AE174" s="447" t="s">
        <v>189</v>
      </c>
      <c r="AF174" s="198" t="s">
        <v>2404</v>
      </c>
      <c r="AG174" s="198" t="s">
        <v>2405</v>
      </c>
      <c r="AH174" s="198" t="s">
        <v>2406</v>
      </c>
    </row>
    <row r="175" spans="1:34">
      <c r="A175" s="159" t="s">
        <v>87</v>
      </c>
      <c r="B175" s="159" t="s">
        <v>147</v>
      </c>
      <c r="C175" s="163" t="s">
        <v>189</v>
      </c>
      <c r="D175" s="159">
        <f>SUM(E175:F175)+LARGE(G175:N175, 1)+LARGE(G175:N175, 2)+LARGE(G175:N175, 3)</f>
        <v>2.9500000000000004E-9</v>
      </c>
      <c r="E175" s="159">
        <f t="shared" ref="E175:N175" si="109">E6</f>
        <v>1E-10</v>
      </c>
      <c r="F175" s="159">
        <f t="shared" si="109"/>
        <v>2.0000000000000001E-10</v>
      </c>
      <c r="G175" s="159">
        <f t="shared" si="109"/>
        <v>3E-10</v>
      </c>
      <c r="H175" s="159">
        <f t="shared" si="109"/>
        <v>4.0000000000000001E-10</v>
      </c>
      <c r="I175" s="159">
        <f t="shared" si="109"/>
        <v>5.0000000000000003E-10</v>
      </c>
      <c r="J175" s="159">
        <f t="shared" si="109"/>
        <v>6E-10</v>
      </c>
      <c r="K175" s="159">
        <f t="shared" si="109"/>
        <v>6.9999999999999996E-10</v>
      </c>
      <c r="L175" s="164">
        <f t="shared" si="109"/>
        <v>8.0000000000000003E-10</v>
      </c>
      <c r="M175" s="164">
        <f t="shared" si="109"/>
        <v>8.9999999999999999E-10</v>
      </c>
      <c r="N175" s="159">
        <f t="shared" si="109"/>
        <v>9.5000000000000003E-10</v>
      </c>
      <c r="O175" s="174"/>
      <c r="Q175" s="84">
        <f>IF(OR(J1="音樂"),J6,0)</f>
        <v>0</v>
      </c>
      <c r="R175" s="84">
        <f>IF(OR(K1="音樂"),K6,0)</f>
        <v>0</v>
      </c>
      <c r="S175" s="84">
        <f>IF(OR(L1="音樂"),L6,0)</f>
        <v>0</v>
      </c>
      <c r="T175" s="84">
        <f>IF(OR(M1="音樂"),M6,0)</f>
        <v>0</v>
      </c>
      <c r="U175" s="90" t="str">
        <f>INDEX(J$1:M$1,MATCH(LARGE(Q175:T175,1),Q175:T175,0))</f>
        <v>請選擇第一選修科</v>
      </c>
      <c r="V175" s="84">
        <f>IF(U175="音樂",1,0)</f>
        <v>0</v>
      </c>
      <c r="AD175" s="174" t="s">
        <v>1256</v>
      </c>
      <c r="AE175" s="445" t="s">
        <v>189</v>
      </c>
      <c r="AF175" s="198" t="s">
        <v>2407</v>
      </c>
      <c r="AG175" s="198" t="s">
        <v>2408</v>
      </c>
      <c r="AH175" s="198" t="s">
        <v>2409</v>
      </c>
    </row>
    <row r="176" spans="1:34">
      <c r="A176" s="159" t="s">
        <v>88</v>
      </c>
      <c r="B176" s="159" t="s">
        <v>148</v>
      </c>
      <c r="C176" s="163" t="s">
        <v>189</v>
      </c>
      <c r="D176" s="159">
        <f>LARGE(E176:N176, 1)+LARGE(E176:N176, 2)+LARGE(E176:N176, 3)+LARGE(E176:N176, 4)+LARGE(E176:N176, 5)</f>
        <v>3.9500000000000006E-9</v>
      </c>
      <c r="E176" s="159">
        <f t="shared" ref="E176:N176" si="110">E6</f>
        <v>1E-10</v>
      </c>
      <c r="F176" s="159">
        <f t="shared" si="110"/>
        <v>2.0000000000000001E-10</v>
      </c>
      <c r="G176" s="159">
        <f t="shared" si="110"/>
        <v>3E-10</v>
      </c>
      <c r="H176" s="159">
        <f t="shared" si="110"/>
        <v>4.0000000000000001E-10</v>
      </c>
      <c r="I176" s="159">
        <f t="shared" si="110"/>
        <v>5.0000000000000003E-10</v>
      </c>
      <c r="J176" s="159">
        <f t="shared" si="110"/>
        <v>6E-10</v>
      </c>
      <c r="K176" s="159">
        <f t="shared" si="110"/>
        <v>6.9999999999999996E-10</v>
      </c>
      <c r="L176" s="164">
        <f t="shared" si="110"/>
        <v>8.0000000000000003E-10</v>
      </c>
      <c r="M176" s="164">
        <f t="shared" si="110"/>
        <v>8.9999999999999999E-10</v>
      </c>
      <c r="N176" s="159">
        <f t="shared" si="110"/>
        <v>9.5000000000000003E-10</v>
      </c>
      <c r="O176" s="174"/>
      <c r="T176" s="84"/>
      <c r="U176" s="90"/>
      <c r="AD176" s="174" t="s">
        <v>1256</v>
      </c>
      <c r="AE176" s="445" t="s">
        <v>189</v>
      </c>
      <c r="AF176" s="198" t="s">
        <v>2410</v>
      </c>
      <c r="AG176" s="198" t="s">
        <v>2411</v>
      </c>
      <c r="AH176" s="198" t="s">
        <v>2412</v>
      </c>
    </row>
    <row r="177" spans="1:34">
      <c r="A177" s="159" t="s">
        <v>89</v>
      </c>
      <c r="B177" s="159" t="s">
        <v>149</v>
      </c>
      <c r="C177" s="163" t="s">
        <v>189</v>
      </c>
      <c r="D177" s="159">
        <f>LARGE(E177:N177, 1)+LARGE(E177:N177, 2)+LARGE(E177:N177, 3)+LARGE(E177:N177, 4)+LARGE(E177:N177, 5)</f>
        <v>3.9500000000000006E-9</v>
      </c>
      <c r="E177" s="159">
        <f t="shared" ref="E177:N177" si="111">E6</f>
        <v>1E-10</v>
      </c>
      <c r="F177" s="159">
        <f t="shared" si="111"/>
        <v>2.0000000000000001E-10</v>
      </c>
      <c r="G177" s="159">
        <f t="shared" si="111"/>
        <v>3E-10</v>
      </c>
      <c r="H177" s="159">
        <f t="shared" si="111"/>
        <v>4.0000000000000001E-10</v>
      </c>
      <c r="I177" s="159">
        <f t="shared" si="111"/>
        <v>5.0000000000000003E-10</v>
      </c>
      <c r="J177" s="159">
        <f t="shared" si="111"/>
        <v>6E-10</v>
      </c>
      <c r="K177" s="159">
        <f t="shared" si="111"/>
        <v>6.9999999999999996E-10</v>
      </c>
      <c r="L177" s="164">
        <f t="shared" si="111"/>
        <v>8.0000000000000003E-10</v>
      </c>
      <c r="M177" s="164">
        <f t="shared" si="111"/>
        <v>8.9999999999999999E-10</v>
      </c>
      <c r="N177" s="159">
        <f t="shared" si="111"/>
        <v>9.5000000000000003E-10</v>
      </c>
      <c r="O177" s="174"/>
      <c r="T177" s="84"/>
      <c r="U177" s="90"/>
      <c r="AD177" s="174" t="s">
        <v>1256</v>
      </c>
      <c r="AE177" s="445" t="s">
        <v>189</v>
      </c>
      <c r="AF177" s="198" t="s">
        <v>2413</v>
      </c>
      <c r="AG177" s="198" t="s">
        <v>2414</v>
      </c>
      <c r="AH177" s="198" t="s">
        <v>2415</v>
      </c>
    </row>
    <row r="178" spans="1:34">
      <c r="A178" s="159" t="s">
        <v>90</v>
      </c>
      <c r="B178" s="159" t="s">
        <v>91</v>
      </c>
      <c r="C178" s="163" t="s">
        <v>189</v>
      </c>
      <c r="D178" s="159">
        <f>LARGE(E178:N178, 1)+LARGE(E178:N178, 2)+LARGE(E178:N178, 3)+LARGE(E178:N178, 4)+LARGE(E178:N178, 5)</f>
        <v>3.9500000000000006E-9</v>
      </c>
      <c r="E178" s="159">
        <f t="shared" ref="E178:N178" si="112">IF(E15=FALSE,E6,E6*0.95)</f>
        <v>1E-10</v>
      </c>
      <c r="F178" s="159">
        <f t="shared" si="112"/>
        <v>2.0000000000000001E-10</v>
      </c>
      <c r="G178" s="159">
        <f t="shared" si="112"/>
        <v>3E-10</v>
      </c>
      <c r="H178" s="159">
        <f t="shared" si="112"/>
        <v>4.0000000000000001E-10</v>
      </c>
      <c r="I178" s="159">
        <f t="shared" si="112"/>
        <v>5.0000000000000003E-10</v>
      </c>
      <c r="J178" s="159">
        <f t="shared" si="112"/>
        <v>6E-10</v>
      </c>
      <c r="K178" s="159">
        <f t="shared" si="112"/>
        <v>6.9999999999999996E-10</v>
      </c>
      <c r="L178" s="159">
        <f t="shared" si="112"/>
        <v>8.0000000000000003E-10</v>
      </c>
      <c r="M178" s="159">
        <f t="shared" si="112"/>
        <v>8.9999999999999999E-10</v>
      </c>
      <c r="N178" s="159">
        <f t="shared" si="112"/>
        <v>9.5000000000000003E-10</v>
      </c>
      <c r="O178" s="174" t="s">
        <v>2241</v>
      </c>
      <c r="T178" s="84"/>
      <c r="U178" s="90"/>
      <c r="AD178" s="174" t="s">
        <v>1257</v>
      </c>
      <c r="AE178" s="447" t="s">
        <v>362</v>
      </c>
      <c r="AF178" s="198" t="s">
        <v>2416</v>
      </c>
      <c r="AG178" s="198" t="s">
        <v>2417</v>
      </c>
      <c r="AH178" s="198" t="s">
        <v>2418</v>
      </c>
    </row>
    <row r="179" spans="1:34">
      <c r="A179" s="159" t="s">
        <v>183</v>
      </c>
      <c r="B179" s="159" t="s">
        <v>184</v>
      </c>
      <c r="C179" s="163" t="s">
        <v>189</v>
      </c>
      <c r="D179" s="159">
        <f>LARGE(E179:N179, 1)+LARGE(E179:N179, 2)+LARGE(E179:N179, 3)+LARGE(E179:N179, 4)+LARGE(E179:N179, 5)</f>
        <v>3.9500000000000006E-9</v>
      </c>
      <c r="E179" s="159">
        <f t="shared" ref="E179:N179" si="113">E6</f>
        <v>1E-10</v>
      </c>
      <c r="F179" s="159">
        <f t="shared" si="113"/>
        <v>2.0000000000000001E-10</v>
      </c>
      <c r="G179" s="159">
        <f t="shared" si="113"/>
        <v>3E-10</v>
      </c>
      <c r="H179" s="159">
        <f t="shared" si="113"/>
        <v>4.0000000000000001E-10</v>
      </c>
      <c r="I179" s="159">
        <f t="shared" si="113"/>
        <v>5.0000000000000003E-10</v>
      </c>
      <c r="J179" s="159">
        <f t="shared" si="113"/>
        <v>6E-10</v>
      </c>
      <c r="K179" s="159">
        <f t="shared" si="113"/>
        <v>6.9999999999999996E-10</v>
      </c>
      <c r="L179" s="164">
        <f t="shared" si="113"/>
        <v>8.0000000000000003E-10</v>
      </c>
      <c r="M179" s="164">
        <f t="shared" si="113"/>
        <v>8.9999999999999999E-10</v>
      </c>
      <c r="N179" s="159">
        <f t="shared" si="113"/>
        <v>9.5000000000000003E-10</v>
      </c>
      <c r="O179" s="174"/>
      <c r="T179" s="84"/>
      <c r="U179" s="90"/>
      <c r="AD179" s="174" t="s">
        <v>1257</v>
      </c>
      <c r="AE179" s="447" t="s">
        <v>362</v>
      </c>
      <c r="AF179" s="198" t="s">
        <v>2419</v>
      </c>
      <c r="AG179" s="198" t="s">
        <v>2420</v>
      </c>
      <c r="AH179" s="198" t="s">
        <v>2421</v>
      </c>
    </row>
    <row r="180" spans="1:34">
      <c r="A180" s="159" t="s">
        <v>92</v>
      </c>
      <c r="B180" s="159" t="s">
        <v>93</v>
      </c>
      <c r="C180" s="163" t="s">
        <v>189</v>
      </c>
      <c r="D180" s="159">
        <f>LARGE(E180:N180, 1)+LARGE(E180:N180, 2)+LARGE(E180:N180, 3)+LARGE(E180:N180, 4)+LARGE(E180:N180, 5)</f>
        <v>3.9500000000000006E-9</v>
      </c>
      <c r="E180" s="159">
        <f t="shared" ref="E180:N180" si="114">IF(E15=FALSE,E6,E6*0.95)</f>
        <v>1E-10</v>
      </c>
      <c r="F180" s="159">
        <f t="shared" si="114"/>
        <v>2.0000000000000001E-10</v>
      </c>
      <c r="G180" s="159">
        <f t="shared" si="114"/>
        <v>3E-10</v>
      </c>
      <c r="H180" s="159">
        <f t="shared" si="114"/>
        <v>4.0000000000000001E-10</v>
      </c>
      <c r="I180" s="159">
        <f t="shared" si="114"/>
        <v>5.0000000000000003E-10</v>
      </c>
      <c r="J180" s="159">
        <f t="shared" si="114"/>
        <v>6E-10</v>
      </c>
      <c r="K180" s="159">
        <f t="shared" si="114"/>
        <v>6.9999999999999996E-10</v>
      </c>
      <c r="L180" s="159">
        <f t="shared" si="114"/>
        <v>8.0000000000000003E-10</v>
      </c>
      <c r="M180" s="159">
        <f t="shared" si="114"/>
        <v>8.9999999999999999E-10</v>
      </c>
      <c r="N180" s="159">
        <f t="shared" si="114"/>
        <v>9.5000000000000003E-10</v>
      </c>
      <c r="O180" s="174" t="s">
        <v>1256</v>
      </c>
      <c r="T180" s="84"/>
      <c r="U180" s="90"/>
      <c r="AD180" s="174" t="s">
        <v>1256</v>
      </c>
      <c r="AE180" s="447" t="s">
        <v>190</v>
      </c>
      <c r="AF180" s="198" t="s">
        <v>2422</v>
      </c>
      <c r="AG180" s="198" t="s">
        <v>2423</v>
      </c>
      <c r="AH180" s="198" t="s">
        <v>2424</v>
      </c>
    </row>
    <row r="181" spans="1:34">
      <c r="A181" s="159" t="s">
        <v>94</v>
      </c>
      <c r="B181" s="159" t="s">
        <v>95</v>
      </c>
      <c r="C181" s="163" t="s">
        <v>190</v>
      </c>
      <c r="D181" s="159">
        <f>SUM(E181:H181)+LARGE(I181:N181,1)+LARGE(I181:N181,2)</f>
        <v>2.8499999999999999E-9</v>
      </c>
      <c r="E181" s="159">
        <f t="shared" ref="E181:N181" si="115">IF(E15=FALSE,E6,E6*0.95)</f>
        <v>1E-10</v>
      </c>
      <c r="F181" s="159">
        <f t="shared" si="115"/>
        <v>2.0000000000000001E-10</v>
      </c>
      <c r="G181" s="159">
        <f t="shared" si="115"/>
        <v>3E-10</v>
      </c>
      <c r="H181" s="159">
        <f t="shared" si="115"/>
        <v>4.0000000000000001E-10</v>
      </c>
      <c r="I181" s="159">
        <f t="shared" si="115"/>
        <v>5.0000000000000003E-10</v>
      </c>
      <c r="J181" s="159">
        <f t="shared" si="115"/>
        <v>6E-10</v>
      </c>
      <c r="K181" s="159">
        <f t="shared" si="115"/>
        <v>6.9999999999999996E-10</v>
      </c>
      <c r="L181" s="159">
        <f t="shared" si="115"/>
        <v>8.0000000000000003E-10</v>
      </c>
      <c r="M181" s="159">
        <f t="shared" si="115"/>
        <v>8.9999999999999999E-10</v>
      </c>
      <c r="N181" s="159">
        <f t="shared" si="115"/>
        <v>9.5000000000000003E-10</v>
      </c>
      <c r="O181" s="174" t="s">
        <v>1256</v>
      </c>
      <c r="T181" s="84"/>
      <c r="U181" s="90"/>
      <c r="AD181" s="174" t="s">
        <v>1257</v>
      </c>
      <c r="AE181" s="445" t="s">
        <v>190</v>
      </c>
      <c r="AF181" s="198" t="s">
        <v>2425</v>
      </c>
      <c r="AG181" s="198" t="s">
        <v>2426</v>
      </c>
      <c r="AH181" s="198" t="s">
        <v>2427</v>
      </c>
    </row>
    <row r="182" spans="1:34">
      <c r="A182" s="159" t="s">
        <v>96</v>
      </c>
      <c r="B182" s="159" t="s">
        <v>150</v>
      </c>
      <c r="C182" s="166" t="s">
        <v>189</v>
      </c>
      <c r="D182" s="159">
        <f>LARGE(E182:N182, 1)+LARGE(E182:N182, 2)+LARGE(E182:N182, 3)+LARGE(E182:N182, 4)+LARGE(E182:N182, 5)</f>
        <v>3.9500000000000006E-9</v>
      </c>
      <c r="E182" s="159">
        <f t="shared" ref="E182:N182" si="116">IF(E15=FALSE,E6,E6*0.95)</f>
        <v>1E-10</v>
      </c>
      <c r="F182" s="159">
        <f t="shared" si="116"/>
        <v>2.0000000000000001E-10</v>
      </c>
      <c r="G182" s="159">
        <f t="shared" si="116"/>
        <v>3E-10</v>
      </c>
      <c r="H182" s="159">
        <f t="shared" si="116"/>
        <v>4.0000000000000001E-10</v>
      </c>
      <c r="I182" s="159">
        <f t="shared" si="116"/>
        <v>5.0000000000000003E-10</v>
      </c>
      <c r="J182" s="159">
        <f t="shared" si="116"/>
        <v>6E-10</v>
      </c>
      <c r="K182" s="159">
        <f t="shared" si="116"/>
        <v>6.9999999999999996E-10</v>
      </c>
      <c r="L182" s="159">
        <f t="shared" si="116"/>
        <v>8.0000000000000003E-10</v>
      </c>
      <c r="M182" s="159">
        <f t="shared" si="116"/>
        <v>8.9999999999999999E-10</v>
      </c>
      <c r="N182" s="159">
        <f t="shared" si="116"/>
        <v>9.5000000000000003E-10</v>
      </c>
      <c r="O182" s="174" t="s">
        <v>1256</v>
      </c>
      <c r="T182" s="84"/>
      <c r="U182" s="90"/>
      <c r="AD182" s="174" t="s">
        <v>1256</v>
      </c>
      <c r="AE182" s="445" t="s">
        <v>190</v>
      </c>
      <c r="AF182" s="198" t="s">
        <v>2428</v>
      </c>
      <c r="AG182" s="198" t="s">
        <v>2429</v>
      </c>
      <c r="AH182" s="198" t="s">
        <v>2430</v>
      </c>
    </row>
    <row r="183" spans="1:34">
      <c r="A183" s="159" t="s">
        <v>151</v>
      </c>
      <c r="B183" s="159" t="s">
        <v>152</v>
      </c>
      <c r="C183" s="167" t="s">
        <v>189</v>
      </c>
      <c r="D183" s="159">
        <f>IF(G183&gt;I183,SUM(F183,G183)+LARGE((E183,H183:N183),1)+LARGE((E183,H183:N183),2)+LARGE((E183,H183:N183),3),SUM(F183,I183)+LARGE((E183,G183:H183,J183:N183),1)+LARGE((E183,G183:H183,J183:N183),2)+LARGE((E183,G183:H183,J183:N183),3))</f>
        <v>3.3500000000000002E-9</v>
      </c>
      <c r="E183" s="159">
        <f t="shared" ref="E183:N183" si="117">IF(E15=FALSE,E6,E6*0.9)</f>
        <v>1E-10</v>
      </c>
      <c r="F183" s="159">
        <f t="shared" si="117"/>
        <v>2.0000000000000001E-10</v>
      </c>
      <c r="G183" s="159">
        <f t="shared" si="117"/>
        <v>3E-10</v>
      </c>
      <c r="H183" s="159">
        <f t="shared" si="117"/>
        <v>4.0000000000000001E-10</v>
      </c>
      <c r="I183" s="159">
        <f t="shared" si="117"/>
        <v>5.0000000000000003E-10</v>
      </c>
      <c r="J183" s="159">
        <f t="shared" si="117"/>
        <v>6E-10</v>
      </c>
      <c r="K183" s="159">
        <f t="shared" si="117"/>
        <v>6.9999999999999996E-10</v>
      </c>
      <c r="L183" s="159">
        <f t="shared" si="117"/>
        <v>8.0000000000000003E-10</v>
      </c>
      <c r="M183" s="159">
        <f t="shared" si="117"/>
        <v>8.9999999999999999E-10</v>
      </c>
      <c r="N183" s="159">
        <f t="shared" si="117"/>
        <v>9.5000000000000003E-10</v>
      </c>
      <c r="O183" s="174" t="s">
        <v>1257</v>
      </c>
      <c r="T183" s="84"/>
      <c r="U183" s="90"/>
    </row>
    <row r="184" spans="1:34">
      <c r="A184" s="159" t="s">
        <v>97</v>
      </c>
      <c r="B184" s="159" t="s">
        <v>153</v>
      </c>
      <c r="C184" s="167" t="s">
        <v>189</v>
      </c>
      <c r="D184" s="159">
        <f>LARGE(E184:N184, 1)+LARGE(E184:N184, 2)+LARGE(E184:N184, 3)+LARGE(E184:N184, 4)+LARGE(E184:N184, 5)</f>
        <v>3.9500000000000006E-9</v>
      </c>
      <c r="E184" s="159">
        <f t="shared" ref="E184:N184" si="118">IF(E15=FALSE,E6,E6*0.95)</f>
        <v>1E-10</v>
      </c>
      <c r="F184" s="159">
        <f t="shared" si="118"/>
        <v>2.0000000000000001E-10</v>
      </c>
      <c r="G184" s="159">
        <f t="shared" si="118"/>
        <v>3E-10</v>
      </c>
      <c r="H184" s="159">
        <f t="shared" si="118"/>
        <v>4.0000000000000001E-10</v>
      </c>
      <c r="I184" s="159">
        <f t="shared" si="118"/>
        <v>5.0000000000000003E-10</v>
      </c>
      <c r="J184" s="159">
        <f t="shared" si="118"/>
        <v>6E-10</v>
      </c>
      <c r="K184" s="159">
        <f t="shared" si="118"/>
        <v>6.9999999999999996E-10</v>
      </c>
      <c r="L184" s="159">
        <f t="shared" si="118"/>
        <v>8.0000000000000003E-10</v>
      </c>
      <c r="M184" s="159">
        <f t="shared" si="118"/>
        <v>8.9999999999999999E-10</v>
      </c>
      <c r="N184" s="159">
        <f t="shared" si="118"/>
        <v>9.5000000000000003E-10</v>
      </c>
      <c r="O184" s="174" t="s">
        <v>1256</v>
      </c>
      <c r="T184" s="84"/>
      <c r="U184" s="90"/>
    </row>
    <row r="185" spans="1:34">
      <c r="A185" s="159" t="s">
        <v>154</v>
      </c>
      <c r="B185" s="159" t="s">
        <v>155</v>
      </c>
      <c r="C185" s="167" t="s">
        <v>189</v>
      </c>
      <c r="D185" s="159">
        <f>LARGE(E185:N185, 1)+LARGE(E185:N185, 2)+LARGE(E185:N185, 3)+LARGE(E185:N185, 4)+LARGE(E185:N185, 5)</f>
        <v>4.1000000000000003E-9</v>
      </c>
      <c r="E185" s="159">
        <f>IF(E15=FALSE,E6,E6*0.95)</f>
        <v>1E-10</v>
      </c>
      <c r="F185" s="159">
        <f>IF(F15=FALSE,F6*2,F6*2*0.95)</f>
        <v>4.0000000000000001E-10</v>
      </c>
      <c r="G185" s="159">
        <f>IF(G15=FALSE,G6*2,G6*2*0.95)</f>
        <v>6E-10</v>
      </c>
      <c r="H185" s="159">
        <f>IF(H15=FALSE,H6,H6*0.95)</f>
        <v>4.0000000000000001E-10</v>
      </c>
      <c r="I185" s="159">
        <f>IF(I15=FALSE,IF(I164=$V$186,I6*1.5,I6),IF(I164=$V$186,I6*1.5*0.95,I6*0.95))</f>
        <v>7.500000000000001E-10</v>
      </c>
      <c r="J185" s="159">
        <f>IF(J15=FALSE,IF(J164=$V$186,J6*1.5,J6),IF(J164=$V$186,J6*1.5*0.95,J6*0.95))</f>
        <v>6E-10</v>
      </c>
      <c r="K185" s="159">
        <f t="shared" ref="K185:L185" si="119">IF(K15=FALSE,IF(K164=$V$186,K6*1.5,K6),IF(K164=$V$186,K6*1.5*0.95,K6*0.95))</f>
        <v>6.9999999999999996E-10</v>
      </c>
      <c r="L185" s="159">
        <f t="shared" si="119"/>
        <v>8.0000000000000003E-10</v>
      </c>
      <c r="M185" s="159">
        <f>IF(M15=FALSE,IF(M164=$V$186,M6*1.5,M6),IF(M164=$V$186,M6*1.5*0.95,M6*0.95))</f>
        <v>8.9999999999999999E-10</v>
      </c>
      <c r="N185" s="159">
        <f>IF(N15=FALSE,N6,N6*0.95)</f>
        <v>9.5000000000000003E-10</v>
      </c>
      <c r="O185" s="174" t="s">
        <v>1256</v>
      </c>
      <c r="Q185" s="83" t="str">
        <f>I1</f>
        <v>數學延伸</v>
      </c>
      <c r="R185" s="83" t="str">
        <f>J1</f>
        <v>請選擇第一選修科</v>
      </c>
      <c r="S185" s="83" t="str">
        <f>K1</f>
        <v>請選擇第二選修科</v>
      </c>
      <c r="T185" s="83" t="str">
        <f>L1</f>
        <v>請選擇第三選修科</v>
      </c>
      <c r="U185" s="87" t="str">
        <f>M1</f>
        <v>請選擇第四選修科</v>
      </c>
      <c r="V185" s="83" t="s">
        <v>202</v>
      </c>
    </row>
    <row r="186" spans="1:34">
      <c r="A186" s="159" t="s">
        <v>98</v>
      </c>
      <c r="B186" s="159" t="s">
        <v>99</v>
      </c>
      <c r="C186" s="166" t="s">
        <v>190</v>
      </c>
      <c r="D186" s="159">
        <f>SUM(E186:H186)+LARGE(I186:N186,1)+LARGE(I186:N186,2)</f>
        <v>2.8499999999999999E-9</v>
      </c>
      <c r="E186" s="159">
        <f t="shared" ref="E186:N186" si="120">E6</f>
        <v>1E-10</v>
      </c>
      <c r="F186" s="159">
        <f t="shared" si="120"/>
        <v>2.0000000000000001E-10</v>
      </c>
      <c r="G186" s="159">
        <f t="shared" si="120"/>
        <v>3E-10</v>
      </c>
      <c r="H186" s="159">
        <f t="shared" si="120"/>
        <v>4.0000000000000001E-10</v>
      </c>
      <c r="I186" s="159">
        <f t="shared" si="120"/>
        <v>5.0000000000000003E-10</v>
      </c>
      <c r="J186" s="159">
        <f t="shared" si="120"/>
        <v>6E-10</v>
      </c>
      <c r="K186" s="159">
        <f t="shared" si="120"/>
        <v>6.9999999999999996E-10</v>
      </c>
      <c r="L186" s="164">
        <f t="shared" si="120"/>
        <v>8.0000000000000003E-10</v>
      </c>
      <c r="M186" s="164">
        <f t="shared" si="120"/>
        <v>8.9999999999999999E-10</v>
      </c>
      <c r="N186" s="159">
        <f t="shared" si="120"/>
        <v>9.5000000000000003E-10</v>
      </c>
      <c r="O186" s="174"/>
      <c r="Q186" s="84">
        <f>I6</f>
        <v>5.0000000000000003E-10</v>
      </c>
      <c r="R186" s="84">
        <f>IF(OR(J1="物理",J1="化學"),J6,0)</f>
        <v>0</v>
      </c>
      <c r="S186" s="84">
        <f>IF(OR(K1="物理",K1="化學"),K6,0)</f>
        <v>0</v>
      </c>
      <c r="T186" s="84">
        <f>IF(OR(L1="物理",L1="化學"),L6,0)</f>
        <v>0</v>
      </c>
      <c r="U186" s="90">
        <f>IF(OR(M1="物理",M1="化學"),M6,0)</f>
        <v>0</v>
      </c>
      <c r="V186" s="84" t="str">
        <f>INDEX(I$1:M$1,MATCH(LARGE(Q186:U186,1),Q186:U186,0))</f>
        <v>數學延伸</v>
      </c>
    </row>
    <row r="187" spans="1:34">
      <c r="A187" s="159" t="s">
        <v>156</v>
      </c>
      <c r="B187" s="159" t="s">
        <v>157</v>
      </c>
      <c r="C187" s="167" t="s">
        <v>190</v>
      </c>
      <c r="D187" s="159">
        <f>SUM(E187:H187)+LARGE(I187:N187,1)+LARGE(I187:N187,2)</f>
        <v>3.4999999999999999E-9</v>
      </c>
      <c r="E187" s="159">
        <f>IF(E15=FALSE,E6*1.5,E6*1.5*0.95)</f>
        <v>1.5E-10</v>
      </c>
      <c r="F187" s="159">
        <f>IF(F15=FALSE,F6*2,F6*2*0.95)</f>
        <v>4.0000000000000001E-10</v>
      </c>
      <c r="G187" s="159">
        <f>IF(G15=FALSE,G6,G6*0.95)</f>
        <v>3E-10</v>
      </c>
      <c r="H187" s="159">
        <f>IF(H15=FALSE,H6*2,H6*2*0.95)</f>
        <v>8.0000000000000003E-10</v>
      </c>
      <c r="I187" s="159">
        <f t="shared" ref="I187:N187" si="121">IF(I15=FALSE,I6,I6*0.95)</f>
        <v>5.0000000000000003E-10</v>
      </c>
      <c r="J187" s="159">
        <f t="shared" si="121"/>
        <v>6E-10</v>
      </c>
      <c r="K187" s="159">
        <f t="shared" si="121"/>
        <v>6.9999999999999996E-10</v>
      </c>
      <c r="L187" s="159">
        <f t="shared" si="121"/>
        <v>8.0000000000000003E-10</v>
      </c>
      <c r="M187" s="159">
        <f t="shared" si="121"/>
        <v>8.9999999999999999E-10</v>
      </c>
      <c r="N187" s="159">
        <f t="shared" si="121"/>
        <v>9.5000000000000003E-10</v>
      </c>
      <c r="O187" s="174" t="s">
        <v>1256</v>
      </c>
      <c r="T187" s="84"/>
      <c r="U187" s="90"/>
    </row>
    <row r="188" spans="1:34">
      <c r="A188" s="159" t="s">
        <v>100</v>
      </c>
      <c r="B188" s="159" t="s">
        <v>158</v>
      </c>
      <c r="C188" s="166" t="s">
        <v>189</v>
      </c>
      <c r="D188" s="159">
        <f>LARGE(E188:N188, 1)+LARGE(E188:N188, 2)+LARGE(E188:N188, 3)+LARGE(E188:N188, 4)+LARGE(E188:N188, 5)</f>
        <v>4.3500000000000001E-9</v>
      </c>
      <c r="E188" s="159">
        <f>E6</f>
        <v>1E-10</v>
      </c>
      <c r="F188" s="159">
        <f>F6*2</f>
        <v>4.0000000000000001E-10</v>
      </c>
      <c r="G188" s="159">
        <f>G6*2</f>
        <v>6E-10</v>
      </c>
      <c r="H188" s="159">
        <f>H6</f>
        <v>4.0000000000000001E-10</v>
      </c>
      <c r="I188" s="159">
        <f>I6*2</f>
        <v>1.0000000000000001E-9</v>
      </c>
      <c r="J188" s="159">
        <f>J6</f>
        <v>6E-10</v>
      </c>
      <c r="K188" s="159">
        <f>K6</f>
        <v>6.9999999999999996E-10</v>
      </c>
      <c r="L188" s="164">
        <f>L6</f>
        <v>8.0000000000000003E-10</v>
      </c>
      <c r="M188" s="164">
        <f>M6</f>
        <v>8.9999999999999999E-10</v>
      </c>
      <c r="N188" s="159">
        <f>N6</f>
        <v>9.5000000000000003E-10</v>
      </c>
      <c r="O188" s="174"/>
      <c r="T188" s="84"/>
      <c r="U188" s="90"/>
    </row>
    <row r="189" spans="1:34">
      <c r="A189" s="159" t="s">
        <v>101</v>
      </c>
      <c r="B189" s="159" t="s">
        <v>185</v>
      </c>
      <c r="C189" s="163" t="s">
        <v>189</v>
      </c>
      <c r="D189" s="159">
        <f>LARGE(E189:N189, 1)+LARGE(E189:N189, 2)+LARGE(E189:N189, 3)+LARGE(E189:N189, 4)+LARGE(E189:N189, 5)</f>
        <v>3.9500000000000006E-9</v>
      </c>
      <c r="E189" s="159">
        <f t="shared" ref="E189:N189" si="122">IF(E15=FALSE,E6,E6*0.95)</f>
        <v>1E-10</v>
      </c>
      <c r="F189" s="159">
        <f t="shared" si="122"/>
        <v>2.0000000000000001E-10</v>
      </c>
      <c r="G189" s="159">
        <f t="shared" si="122"/>
        <v>3E-10</v>
      </c>
      <c r="H189" s="159">
        <f t="shared" si="122"/>
        <v>4.0000000000000001E-10</v>
      </c>
      <c r="I189" s="159">
        <f t="shared" si="122"/>
        <v>5.0000000000000003E-10</v>
      </c>
      <c r="J189" s="159">
        <f t="shared" si="122"/>
        <v>6E-10</v>
      </c>
      <c r="K189" s="159">
        <f t="shared" si="122"/>
        <v>6.9999999999999996E-10</v>
      </c>
      <c r="L189" s="159">
        <f t="shared" si="122"/>
        <v>8.0000000000000003E-10</v>
      </c>
      <c r="M189" s="159">
        <f t="shared" si="122"/>
        <v>8.9999999999999999E-10</v>
      </c>
      <c r="N189" s="159">
        <f t="shared" si="122"/>
        <v>9.5000000000000003E-10</v>
      </c>
      <c r="O189" s="174" t="s">
        <v>1256</v>
      </c>
      <c r="T189" s="84"/>
      <c r="U189" s="90"/>
    </row>
    <row r="190" spans="1:34">
      <c r="A190" s="159" t="s">
        <v>102</v>
      </c>
      <c r="B190" s="159" t="s">
        <v>103</v>
      </c>
      <c r="C190" s="163" t="s">
        <v>189</v>
      </c>
      <c r="D190" s="159">
        <f>E190+LARGE(F190:N190, 1)+LARGE(F190:N190, 2)+LARGE(F190:N190, 3)+LARGE(F190:N190, 4)</f>
        <v>3.4999999999999999E-9</v>
      </c>
      <c r="E190" s="159">
        <f>IF(E15=FALSE,E6*1.5,E6*1.5*0.95)</f>
        <v>1.5E-10</v>
      </c>
      <c r="F190" s="159">
        <f t="shared" ref="F190:N190" si="123">IF(F15=FALSE,F6,F6*0.95)</f>
        <v>2.0000000000000001E-10</v>
      </c>
      <c r="G190" s="159">
        <f t="shared" si="123"/>
        <v>3E-10</v>
      </c>
      <c r="H190" s="159">
        <f t="shared" si="123"/>
        <v>4.0000000000000001E-10</v>
      </c>
      <c r="I190" s="159">
        <f t="shared" si="123"/>
        <v>5.0000000000000003E-10</v>
      </c>
      <c r="J190" s="159">
        <f t="shared" si="123"/>
        <v>6E-10</v>
      </c>
      <c r="K190" s="159">
        <f t="shared" si="123"/>
        <v>6.9999999999999996E-10</v>
      </c>
      <c r="L190" s="159">
        <f t="shared" si="123"/>
        <v>8.0000000000000003E-10</v>
      </c>
      <c r="M190" s="159">
        <f t="shared" si="123"/>
        <v>8.9999999999999999E-10</v>
      </c>
      <c r="N190" s="159">
        <f t="shared" si="123"/>
        <v>9.5000000000000003E-10</v>
      </c>
      <c r="O190" s="174" t="s">
        <v>1256</v>
      </c>
      <c r="T190" s="84"/>
      <c r="U190" s="90"/>
    </row>
    <row r="191" spans="1:34">
      <c r="A191" s="159" t="s">
        <v>104</v>
      </c>
      <c r="B191" s="159" t="s">
        <v>105</v>
      </c>
      <c r="C191" s="163" t="s">
        <v>189</v>
      </c>
      <c r="D191" s="159">
        <f>F191+LARGE((E191,G191:N191),1)+LARGE((E191,G191:N191),2)+LARGE((E191,G191:N191),3)+LARGE((E191,G191:N191),4)</f>
        <v>3.6500000000000004E-9</v>
      </c>
      <c r="E191" s="159">
        <f>IF(E15=FALSE,E6,E6*0.95)</f>
        <v>1E-10</v>
      </c>
      <c r="F191" s="159">
        <f>IF(F15=FALSE,F6*1.5,F6*1.5*0.95)</f>
        <v>3E-10</v>
      </c>
      <c r="G191" s="159">
        <f t="shared" ref="G191:N191" si="124">IF(G15=FALSE,G6,G6*0.95)</f>
        <v>3E-10</v>
      </c>
      <c r="H191" s="159">
        <f t="shared" si="124"/>
        <v>4.0000000000000001E-10</v>
      </c>
      <c r="I191" s="159">
        <f t="shared" si="124"/>
        <v>5.0000000000000003E-10</v>
      </c>
      <c r="J191" s="159">
        <f t="shared" si="124"/>
        <v>6E-10</v>
      </c>
      <c r="K191" s="159">
        <f t="shared" si="124"/>
        <v>6.9999999999999996E-10</v>
      </c>
      <c r="L191" s="159">
        <f t="shared" si="124"/>
        <v>8.0000000000000003E-10</v>
      </c>
      <c r="M191" s="159">
        <f t="shared" si="124"/>
        <v>8.9999999999999999E-10</v>
      </c>
      <c r="N191" s="159">
        <f t="shared" si="124"/>
        <v>9.5000000000000003E-10</v>
      </c>
      <c r="O191" s="174" t="s">
        <v>1256</v>
      </c>
      <c r="S191" s="83" t="s">
        <v>3</v>
      </c>
      <c r="U191" s="83" t="s">
        <v>63</v>
      </c>
      <c r="V191" s="90"/>
      <c r="W191" s="83" t="s">
        <v>198</v>
      </c>
    </row>
    <row r="192" spans="1:34">
      <c r="A192" s="159" t="s">
        <v>106</v>
      </c>
      <c r="B192" s="159" t="s">
        <v>107</v>
      </c>
      <c r="C192" s="163" t="s">
        <v>189</v>
      </c>
      <c r="D192" s="159">
        <f>G192+I192+LARGE((E192:F192,H192,J192:N192),1)+LARGE((E192:F192,H192,J192:N192),2)+LARGE((E192:F192,H192,J192:N192),3)</f>
        <v>3.8499999999999997E-9</v>
      </c>
      <c r="E192" s="159">
        <f>IF(E15=FALSE,E6*1.5,E6*1.5*0.95)</f>
        <v>1.5E-10</v>
      </c>
      <c r="F192" s="159">
        <f>IF(F15=FALSE,F6*1.5,F6*1.5*0.95)</f>
        <v>3E-10</v>
      </c>
      <c r="G192" s="159">
        <f>IF(G15=FALSE,G6*1.5,G6*1.5*0.95)</f>
        <v>4.5E-10</v>
      </c>
      <c r="H192" s="159">
        <f>IF(H15=FALSE,H6,H6*0.95)</f>
        <v>4.0000000000000001E-10</v>
      </c>
      <c r="I192" s="159">
        <f>IF(I15=FALSE,I6*1.5,I6*1.5*0.95)</f>
        <v>7.500000000000001E-10</v>
      </c>
      <c r="J192" s="159">
        <f>IF(J15=FALSE,J6,J6*0.95)</f>
        <v>6E-10</v>
      </c>
      <c r="K192" s="159">
        <f>IF(K15=FALSE,K6,K6*0.95)</f>
        <v>6.9999999999999996E-10</v>
      </c>
      <c r="L192" s="159">
        <f>IF(L15=FALSE,L6,L6*0.95)</f>
        <v>8.0000000000000003E-10</v>
      </c>
      <c r="M192" s="159">
        <f>IF(M15=FALSE,M6,M6*0.95)</f>
        <v>8.9999999999999999E-10</v>
      </c>
      <c r="N192" s="159">
        <f>IF(N15=FALSE,N6,N6*0.95)</f>
        <v>9.5000000000000003E-10</v>
      </c>
      <c r="O192" s="174" t="s">
        <v>1256</v>
      </c>
      <c r="S192" s="84">
        <f>G6</f>
        <v>3E-10</v>
      </c>
      <c r="U192" s="84">
        <f>I6</f>
        <v>5.0000000000000003E-10</v>
      </c>
      <c r="V192" s="90"/>
      <c r="W192" s="84" t="str">
        <f>INDEX(G$1:I$1,MATCH(LARGE(S192:U192,1),S192:U192,0))</f>
        <v>數學延伸</v>
      </c>
    </row>
    <row r="193" spans="1:29">
      <c r="A193" s="159" t="s">
        <v>186</v>
      </c>
      <c r="B193" s="159" t="s">
        <v>181</v>
      </c>
      <c r="C193" s="163" t="s">
        <v>189</v>
      </c>
      <c r="D193" s="159">
        <f>LARGE(E193:N193, 1)+LARGE(E193:N193, 2)+LARGE(E193:N193, 3)+LARGE(E193:N193, 4)+LARGE(E193:N193, 5)</f>
        <v>3.9500000000000006E-9</v>
      </c>
      <c r="E193" s="159">
        <f t="shared" ref="E193:N193" si="125">E6</f>
        <v>1E-10</v>
      </c>
      <c r="F193" s="159">
        <f t="shared" si="125"/>
        <v>2.0000000000000001E-10</v>
      </c>
      <c r="G193" s="159">
        <f t="shared" si="125"/>
        <v>3E-10</v>
      </c>
      <c r="H193" s="159">
        <f t="shared" si="125"/>
        <v>4.0000000000000001E-10</v>
      </c>
      <c r="I193" s="159">
        <f t="shared" si="125"/>
        <v>5.0000000000000003E-10</v>
      </c>
      <c r="J193" s="159">
        <f t="shared" si="125"/>
        <v>6E-10</v>
      </c>
      <c r="K193" s="159">
        <f t="shared" si="125"/>
        <v>6.9999999999999996E-10</v>
      </c>
      <c r="L193" s="164">
        <f t="shared" si="125"/>
        <v>8.0000000000000003E-10</v>
      </c>
      <c r="M193" s="164">
        <f t="shared" si="125"/>
        <v>8.9999999999999999E-10</v>
      </c>
      <c r="N193" s="159">
        <f t="shared" si="125"/>
        <v>9.5000000000000003E-10</v>
      </c>
      <c r="O193" s="174"/>
      <c r="Q193" s="84" t="s">
        <v>2472</v>
      </c>
      <c r="T193" s="84"/>
    </row>
    <row r="194" spans="1:29">
      <c r="A194" s="159" t="s">
        <v>108</v>
      </c>
      <c r="B194" s="159" t="s">
        <v>191</v>
      </c>
      <c r="C194" s="163" t="s">
        <v>189</v>
      </c>
      <c r="D194" s="159">
        <f>LARGE(E194:N194, 1)+LARGE(E194:N194, 2)+LARGE(E194:N194, 3)+LARGE(E194:N194, 4)+LARGE(E194:N194, 5)</f>
        <v>4.2249999999999998E-9</v>
      </c>
      <c r="E194" s="159">
        <f>E6</f>
        <v>1E-10</v>
      </c>
      <c r="F194" s="159">
        <f>F6</f>
        <v>2.0000000000000001E-10</v>
      </c>
      <c r="G194" s="159">
        <f>G6*1.5</f>
        <v>4.5E-10</v>
      </c>
      <c r="H194" s="159">
        <f>H6*0.5</f>
        <v>2.0000000000000001E-10</v>
      </c>
      <c r="I194" s="159">
        <f>I6*1.75</f>
        <v>8.7500000000000008E-10</v>
      </c>
      <c r="J194" s="159">
        <f>IF(OR(J1="物理",J1="化學",J1="生物",J1="組合科學(物理、化學)",J1="組合科學(生物、化學)",J1="組合科學(物理、生物)",J1="資訊及通訊科技",J1="設計與應用科技"),J6*1.5,J6)</f>
        <v>6E-10</v>
      </c>
      <c r="K194" s="159">
        <f>IF(OR(K1="物理",K1="化學",K1="生物",K1="組合科學(物理、化學)",K1="組合科學(生物、化學)",K1="組合科學(物理、生物)",K1="資訊及通訊科技",K1="設計與應用科技"),K6*1.5,K6)</f>
        <v>6.9999999999999996E-10</v>
      </c>
      <c r="L194" s="164">
        <f>IF(OR(L1="物理",L1="化學",L1="生物",L1="組合科學(物理、化學)",L1="組合科學(生物、化學)",L1="組合科學(物理、生物)",L1="資訊及通訊科技",L1="設計與應用科技"),L6*1.5,L6)</f>
        <v>8.0000000000000003E-10</v>
      </c>
      <c r="M194" s="164">
        <f>IF(OR(M1="物理",M1="化學",M1="生物",M1="組合科學(物理、化學)",M1="組合科學(生物、化學)",M1="組合科學(物理、生物)",M1="資訊及通訊科技",M1="設計與應用科技"),M6*1.5,M6)</f>
        <v>8.9999999999999999E-10</v>
      </c>
      <c r="N194" s="159">
        <f>N6</f>
        <v>9.5000000000000003E-10</v>
      </c>
      <c r="O194" s="174"/>
      <c r="Q194" s="84" t="str">
        <f>E1</f>
        <v>中國語文</v>
      </c>
      <c r="R194" s="198" t="str">
        <f>F1</f>
        <v>英國語文</v>
      </c>
      <c r="S194" s="198" t="str">
        <f>G1</f>
        <v>數學</v>
      </c>
      <c r="T194" s="198" t="str">
        <f>H1</f>
        <v>通識教育</v>
      </c>
      <c r="U194" s="198" t="str">
        <f>J1</f>
        <v>請選擇第一選修科</v>
      </c>
      <c r="V194" s="198" t="str">
        <f>K1</f>
        <v>請選擇第二選修科</v>
      </c>
      <c r="W194" s="198" t="str">
        <f>L1</f>
        <v>請選擇第三選修科</v>
      </c>
      <c r="X194" s="198" t="str">
        <f>M1</f>
        <v>請選擇第四選修科</v>
      </c>
      <c r="Y194" s="198" t="str">
        <f>N1</f>
        <v>請選擇語言科目</v>
      </c>
    </row>
    <row r="195" spans="1:29">
      <c r="A195" s="159" t="s">
        <v>159</v>
      </c>
      <c r="B195" s="159" t="s">
        <v>160</v>
      </c>
      <c r="C195" s="163" t="s">
        <v>189</v>
      </c>
      <c r="D195" s="159">
        <f t="shared" ref="D195:D199" si="126">LARGE(E195:N195, 1)+LARGE(E195:N195, 2)+LARGE(E195:N195, 3)+LARGE(E195:N195, 4)+LARGE(E195:N195, 5)</f>
        <v>4.2249999999999998E-9</v>
      </c>
      <c r="E195" s="159">
        <f>E6*1.25</f>
        <v>1.2500000000000001E-10</v>
      </c>
      <c r="F195" s="159">
        <f>F6*1.25</f>
        <v>2.5000000000000002E-10</v>
      </c>
      <c r="G195" s="159">
        <f>G6*1.75</f>
        <v>5.2499999999999994E-10</v>
      </c>
      <c r="H195" s="159">
        <f>H6</f>
        <v>4.0000000000000001E-10</v>
      </c>
      <c r="I195" s="159">
        <f>I6*1.75</f>
        <v>8.7500000000000008E-10</v>
      </c>
      <c r="J195" s="159">
        <f>IF(OR(J1="物理",J1="化學",J1="生物",J1="組合科學(物理、化學)",J1="組合科學(生物、化學)",J1="組合科學(物理、生物)",J1="資訊及通訊科技",J1="經濟",J1="企業、會計與財務概論"),J6*1.5,J6)</f>
        <v>6E-10</v>
      </c>
      <c r="K195" s="159">
        <f>IF(OR(K1="物理",K1="化學",K1="生物",K1="組合科學(物理、化學)",K1="組合科學(生物、化學)",K1="組合科學(物理、生物)",K1="資訊及通訊科技",K1="經濟",K1="企業、會計與財務概論"),K6*1.5,K6)</f>
        <v>6.9999999999999996E-10</v>
      </c>
      <c r="L195" s="164">
        <f>IF(OR(L1="物理",L1="化學",L1="生物",L1="組合科學(物理、化學)",L1="組合科學(生物、化學)",L1="組合科學(物理、生物)",L1="資訊及通訊科技",L1="經濟",L1="企業、會計與財務概論"),L6*1.5,L6)</f>
        <v>8.0000000000000003E-10</v>
      </c>
      <c r="M195" s="164">
        <f>IF(OR(M1="物理",M1="化學",M1="生物",M1="組合科學(物理、化學)",M1="組合科學(生物、化學)",M1="組合科學(物理、生物)",M1="資訊及通訊科技",M1="經濟",M1="企業、會計與財務概論"),M6*1.5,M6)</f>
        <v>8.9999999999999999E-10</v>
      </c>
      <c r="N195" s="159">
        <f>N6</f>
        <v>9.5000000000000003E-10</v>
      </c>
      <c r="O195" s="174"/>
      <c r="Q195" s="84">
        <f>IF(E15=TRUE,E13*0.9,E13)</f>
        <v>1E-10</v>
      </c>
      <c r="R195" s="198">
        <f t="shared" ref="R195:T195" si="127">IF(F15=TRUE,F13*0.9,F13)</f>
        <v>2.0000000000000001E-10</v>
      </c>
      <c r="S195" s="198">
        <f t="shared" si="127"/>
        <v>3E-10</v>
      </c>
      <c r="T195" s="198">
        <f t="shared" si="127"/>
        <v>4.0000000000000001E-10</v>
      </c>
      <c r="U195" s="198">
        <f>IF(H15=TRUE,J13*0.9,J13)</f>
        <v>6E-10</v>
      </c>
      <c r="V195" s="198">
        <f t="shared" ref="V195:Y195" si="128">IF(I15=TRUE,K13*0.9,K13)</f>
        <v>6.9999999999999996E-10</v>
      </c>
      <c r="W195" s="198">
        <f t="shared" si="128"/>
        <v>8.0000000000000003E-10</v>
      </c>
      <c r="X195" s="198">
        <f t="shared" si="128"/>
        <v>8.9999999999999999E-10</v>
      </c>
      <c r="Y195" s="198">
        <f t="shared" si="128"/>
        <v>9.5000000000000003E-10</v>
      </c>
    </row>
    <row r="196" spans="1:29">
      <c r="A196" s="159" t="s">
        <v>161</v>
      </c>
      <c r="B196" s="159" t="s">
        <v>162</v>
      </c>
      <c r="C196" s="163" t="s">
        <v>189</v>
      </c>
      <c r="D196" s="159">
        <f t="shared" si="126"/>
        <v>4.1000000000000003E-9</v>
      </c>
      <c r="E196" s="159">
        <f>E6</f>
        <v>1E-10</v>
      </c>
      <c r="F196" s="159">
        <f>F6</f>
        <v>2.0000000000000001E-10</v>
      </c>
      <c r="G196" s="159">
        <f>G6*1.5</f>
        <v>4.5E-10</v>
      </c>
      <c r="H196" s="159">
        <f>H6</f>
        <v>4.0000000000000001E-10</v>
      </c>
      <c r="I196" s="159">
        <f>I6*1.5</f>
        <v>7.500000000000001E-10</v>
      </c>
      <c r="J196" s="159">
        <f>IF(OR(J1="物理"),J6*1.5,J6)</f>
        <v>6E-10</v>
      </c>
      <c r="K196" s="159">
        <f>IF(OR(K1="物理"),K6*1.5,K6)</f>
        <v>6.9999999999999996E-10</v>
      </c>
      <c r="L196" s="164">
        <f>IF(OR(L1="物理"),L6*1.5,L6)</f>
        <v>8.0000000000000003E-10</v>
      </c>
      <c r="M196" s="164">
        <f>IF(OR(M1="物理"),M6*1.5,M6)</f>
        <v>8.9999999999999999E-10</v>
      </c>
      <c r="N196" s="159">
        <f>N6</f>
        <v>9.5000000000000003E-10</v>
      </c>
      <c r="O196" s="174"/>
      <c r="U196" s="84">
        <f>RANK(U195,$U$195:$Y$195,0)</f>
        <v>5</v>
      </c>
      <c r="V196" s="198">
        <f>RANK(V195,$U$195:$Y$195,0)</f>
        <v>4</v>
      </c>
      <c r="W196" s="198">
        <f>RANK(W195,$U$195:$Y$195,0)</f>
        <v>3</v>
      </c>
      <c r="X196" s="198">
        <f>RANK(X195,$U$195:$Y$195,0)</f>
        <v>2</v>
      </c>
      <c r="Y196" s="198">
        <f>RANK(Y195,$U$195:$Y$195,0)</f>
        <v>1</v>
      </c>
      <c r="AA196" s="84" t="s">
        <v>2473</v>
      </c>
      <c r="AB196" s="84" t="str">
        <f>INDEX(Q$194:Y$194,MATCH(SMALL(Q197:Y197,1),Q197:Y197,0))</f>
        <v>中國語文</v>
      </c>
      <c r="AC196" s="198" t="str">
        <f>I1</f>
        <v>數學延伸</v>
      </c>
    </row>
    <row r="197" spans="1:29">
      <c r="A197" s="159" t="s">
        <v>163</v>
      </c>
      <c r="B197" s="159" t="s">
        <v>164</v>
      </c>
      <c r="C197" s="163" t="s">
        <v>189</v>
      </c>
      <c r="D197" s="159">
        <f t="shared" si="126"/>
        <v>4.1000000000000003E-9</v>
      </c>
      <c r="E197" s="159">
        <f>E6</f>
        <v>1E-10</v>
      </c>
      <c r="F197" s="159">
        <f>F6*1.5</f>
        <v>3E-10</v>
      </c>
      <c r="G197" s="159">
        <f>IF(G1=W192,G6*1.5,G6)</f>
        <v>3E-10</v>
      </c>
      <c r="H197" s="159">
        <f>H6</f>
        <v>4.0000000000000001E-10</v>
      </c>
      <c r="I197" s="159">
        <f>IF(I1=W192,I6*1.5,I6)</f>
        <v>7.500000000000001E-10</v>
      </c>
      <c r="J197" s="159">
        <f>IF(OR(J1="物理",J1="化學",J1="生物",J1="組合科學(物理、化學)",J1="組合科學(生物、化學)",J1="組合科學(物理、生物)"),J6*1.5,J6)</f>
        <v>6E-10</v>
      </c>
      <c r="K197" s="159">
        <f>IF(OR(K1="物理",K1="化學",K1="生物",K1="組合科學(物理、化學)",K1="組合科學(生物、化學)",K1="組合科學(物理、生物)"),K6*1.5,K6)</f>
        <v>6.9999999999999996E-10</v>
      </c>
      <c r="L197" s="164">
        <f>IF(OR(L1="物理",L1="化學",L1="生物",L1="組合科學(物理、化學)",L1="組合科學(生物、化學)",L1="組合科學(物理、生物)"),L6*1.5,L6)</f>
        <v>8.0000000000000003E-10</v>
      </c>
      <c r="M197" s="164">
        <f>IF(OR(M1="物理",M1="化學",M1="生物",M1="組合科學(物理、化學)",M1="組合科學(生物、化學)",M1="組合科學(物理、生物)"),M6*1.5,M6)</f>
        <v>8.9999999999999999E-10</v>
      </c>
      <c r="N197" s="159">
        <f>N6</f>
        <v>9.5000000000000003E-10</v>
      </c>
      <c r="O197" s="174"/>
      <c r="Q197" s="84">
        <f>Q195</f>
        <v>1E-10</v>
      </c>
      <c r="R197" s="198">
        <f>R195</f>
        <v>2.0000000000000001E-10</v>
      </c>
      <c r="S197" s="198">
        <f>S195</f>
        <v>3E-10</v>
      </c>
      <c r="T197" s="198">
        <f>T195</f>
        <v>4.0000000000000001E-10</v>
      </c>
      <c r="U197" s="198" t="str">
        <f t="shared" ref="U197:W197" si="129">IF(U196&gt;3,"",U195)</f>
        <v/>
      </c>
      <c r="V197" s="198" t="str">
        <f t="shared" si="129"/>
        <v/>
      </c>
      <c r="W197" s="198">
        <f t="shared" si="129"/>
        <v>8.0000000000000003E-10</v>
      </c>
      <c r="X197" s="198">
        <f>IF(X196&gt;3,"",X195)</f>
        <v>8.9999999999999999E-10</v>
      </c>
      <c r="Y197" s="198">
        <f>IF(Y196&gt;3,"",Y195)</f>
        <v>9.5000000000000003E-10</v>
      </c>
      <c r="AB197" s="84">
        <f>SMALL(Q197:Y197,1)</f>
        <v>1E-10</v>
      </c>
      <c r="AC197" s="198">
        <f>I13</f>
        <v>5.0000000000000003E-10</v>
      </c>
    </row>
    <row r="198" spans="1:29">
      <c r="A198" s="159" t="s">
        <v>165</v>
      </c>
      <c r="B198" s="159" t="s">
        <v>166</v>
      </c>
      <c r="C198" s="163" t="s">
        <v>189</v>
      </c>
      <c r="D198" s="159">
        <f t="shared" si="126"/>
        <v>4.1000000000000003E-9</v>
      </c>
      <c r="E198" s="159">
        <f>E6</f>
        <v>1E-10</v>
      </c>
      <c r="F198" s="159">
        <f>F6</f>
        <v>2.0000000000000001E-10</v>
      </c>
      <c r="G198" s="159">
        <f>G6*1.5</f>
        <v>4.5E-10</v>
      </c>
      <c r="H198" s="159">
        <f>H6</f>
        <v>4.0000000000000001E-10</v>
      </c>
      <c r="I198" s="159">
        <f>I6*1.5</f>
        <v>7.500000000000001E-10</v>
      </c>
      <c r="J198" s="159">
        <f>IF(OR(J1="物理",J1="化學",J1="生物",J1="組合科學(物理、化學)",J1="組合科學(生物、化學)",J1="組合科學(物理、生物)",J1="資訊及通訊科技",J1="經濟",J1="企業、會計與財務概論"),J6*1.5,IF(OR(J1="經濟",J1="地理"),J6*1.2,J6))</f>
        <v>6E-10</v>
      </c>
      <c r="K198" s="159">
        <f>IF(OR(K1="物理",K1="化學",K1="生物",K1="組合科學(物理、化學)",K1="組合科學(生物、化學)",K1="組合科學(物理、生物)",K1="資訊及通訊科技",K1="經濟",K1="企業、會計與財務概論"),K6*1.5,IF(OR(K1="經濟",K1="地理"),K6*1.2,K6))</f>
        <v>6.9999999999999996E-10</v>
      </c>
      <c r="L198" s="164">
        <f>IF(OR(L1="物理",L1="化學",L1="生物",L1="組合科學(物理、化學)",L1="組合科學(生物、化學)",L1="組合科學(物理、生物)",L1="資訊及通訊科技",L1="經濟",L1="企業、會計與財務概論"),L6*1.5,IF(OR(L1="經濟",L1="地理"),L6*1.2,L6))</f>
        <v>8.0000000000000003E-10</v>
      </c>
      <c r="M198" s="164">
        <f>IF(OR(M1="物理",M1="化學",M1="生物",M1="組合科學(物理、化學)",M1="組合科學(生物、化學)",M1="組合科學(物理、生物)",M1="資訊及通訊科技",M1="經濟",M1="企業、會計與財務概論"),M6*1.5,IF(OR(M1="經濟",M1="地理"),M6*1.2,M6))</f>
        <v>8.9999999999999999E-10</v>
      </c>
      <c r="N198" s="159">
        <f>N6</f>
        <v>9.5000000000000003E-10</v>
      </c>
      <c r="O198" s="174"/>
      <c r="Q198" s="84">
        <f t="shared" ref="Q198:Y198" si="130">IF(Q194=$AB$196,$AB$198,Q197)</f>
        <v>3E-10</v>
      </c>
      <c r="R198" s="198">
        <f t="shared" si="130"/>
        <v>2.0000000000000001E-10</v>
      </c>
      <c r="S198" s="198">
        <f t="shared" si="130"/>
        <v>3E-10</v>
      </c>
      <c r="T198" s="198">
        <f t="shared" si="130"/>
        <v>4.0000000000000001E-10</v>
      </c>
      <c r="U198" s="198" t="str">
        <f t="shared" si="130"/>
        <v/>
      </c>
      <c r="V198" s="198" t="str">
        <f t="shared" si="130"/>
        <v/>
      </c>
      <c r="W198" s="198">
        <f t="shared" si="130"/>
        <v>8.0000000000000003E-10</v>
      </c>
      <c r="X198" s="198">
        <f t="shared" si="130"/>
        <v>8.9999999999999999E-10</v>
      </c>
      <c r="Y198" s="198">
        <f t="shared" si="130"/>
        <v>9.5000000000000003E-10</v>
      </c>
      <c r="AB198" s="491">
        <f>IF(AC197&gt;AB197,(AB197+AC197)/2,AB197)</f>
        <v>3E-10</v>
      </c>
    </row>
    <row r="199" spans="1:29">
      <c r="A199" s="159" t="s">
        <v>187</v>
      </c>
      <c r="B199" s="159" t="s">
        <v>192</v>
      </c>
      <c r="C199" s="163" t="s">
        <v>189</v>
      </c>
      <c r="D199" s="159">
        <f t="shared" si="126"/>
        <v>4.2249999999999998E-9</v>
      </c>
      <c r="E199" s="159">
        <f>E6*1.25</f>
        <v>1.2500000000000001E-10</v>
      </c>
      <c r="F199" s="159">
        <f>F6*1.25</f>
        <v>2.5000000000000002E-10</v>
      </c>
      <c r="G199" s="159">
        <f>G6*1.75</f>
        <v>5.2499999999999994E-10</v>
      </c>
      <c r="H199" s="159">
        <f>H6</f>
        <v>4.0000000000000001E-10</v>
      </c>
      <c r="I199" s="159">
        <f>I6*1.75</f>
        <v>8.7500000000000008E-10</v>
      </c>
      <c r="J199" s="159">
        <f>IF(OR(J1="物理",J1="化學",J1="生物",J1="組合科學(物理、化學)",J1="組合科學(生物、化學)",J1="組合科學(物理、生物)",J1="資訊及通訊科技"),J6*1.5,J6)</f>
        <v>6E-10</v>
      </c>
      <c r="K199" s="159">
        <f>IF(OR(K1="物理",K1="化學",K1="生物",K1="組合科學(物理、化學)",K1="組合科學(生物、化學)",K1="組合科學(物理、生物)",K1="資訊及通訊科技"),K6*1.5,K6)</f>
        <v>6.9999999999999996E-10</v>
      </c>
      <c r="L199" s="164">
        <f>IF(OR(L1="物理",L1="化學",L1="生物",L1="組合科學(物理、化學)",L1="組合科學(生物、化學)",L1="組合科學(物理、生物)",L1="資訊及通訊科技"),L6*1.5,L6)</f>
        <v>8.0000000000000003E-10</v>
      </c>
      <c r="M199" s="164">
        <f>IF(OR(M1="物理",M1="化學",M1="生物",M1="組合科學(物理、化學)",M1="組合科學(生物、化學)",M1="組合科學(物理、生物)",M1="資訊及通訊科技"),M6*1.5,M6)</f>
        <v>8.9999999999999999E-10</v>
      </c>
      <c r="N199" s="159">
        <f>N6</f>
        <v>9.5000000000000003E-10</v>
      </c>
      <c r="O199" s="174"/>
      <c r="R199" s="198"/>
      <c r="S199" s="198"/>
      <c r="T199" s="198"/>
      <c r="U199" s="198"/>
      <c r="V199" s="198"/>
      <c r="W199" s="198"/>
      <c r="X199" s="198"/>
      <c r="Y199" s="198"/>
    </row>
    <row r="200" spans="1:29">
      <c r="A200" s="159" t="s">
        <v>109</v>
      </c>
      <c r="B200" s="159" t="s">
        <v>167</v>
      </c>
      <c r="C200" s="163" t="s">
        <v>362</v>
      </c>
      <c r="D200" s="159">
        <f>SUM(E200:H200)+LARGE(J200:N200,1)+LARGE(J200:N200,2)+LARGE(J200:N200,3)</f>
        <v>3.8499999999999997E-9</v>
      </c>
      <c r="E200" s="159">
        <f>Q198</f>
        <v>3E-10</v>
      </c>
      <c r="F200" s="159">
        <f t="shared" ref="F200:H200" si="131">R198</f>
        <v>2.0000000000000001E-10</v>
      </c>
      <c r="G200" s="159">
        <f t="shared" si="131"/>
        <v>3E-10</v>
      </c>
      <c r="H200" s="159">
        <f t="shared" si="131"/>
        <v>4.0000000000000001E-10</v>
      </c>
      <c r="I200" s="159" t="s">
        <v>360</v>
      </c>
      <c r="J200" s="159" t="str">
        <f>U198</f>
        <v/>
      </c>
      <c r="K200" s="159" t="str">
        <f>V198</f>
        <v/>
      </c>
      <c r="L200" s="159">
        <f t="shared" ref="L200:N200" si="132">W198</f>
        <v>8.0000000000000003E-10</v>
      </c>
      <c r="M200" s="159">
        <f t="shared" si="132"/>
        <v>8.9999999999999999E-10</v>
      </c>
      <c r="N200" s="159">
        <f t="shared" si="132"/>
        <v>9.5000000000000003E-10</v>
      </c>
      <c r="O200" s="174" t="s">
        <v>1257</v>
      </c>
    </row>
    <row r="201" spans="1:29">
      <c r="A201" s="159" t="s">
        <v>110</v>
      </c>
      <c r="B201" s="159" t="s">
        <v>168</v>
      </c>
      <c r="C201" s="163" t="s">
        <v>362</v>
      </c>
      <c r="D201" s="159">
        <f>SUM(E201:H201)+LARGE(J201:N201,1)+LARGE(J201:N201,2)+LARGE(J201:N201,3)</f>
        <v>3.8499999999999997E-9</v>
      </c>
      <c r="E201" s="159">
        <f>Q198</f>
        <v>3E-10</v>
      </c>
      <c r="F201" s="159">
        <f t="shared" ref="F201:H201" si="133">R198</f>
        <v>2.0000000000000001E-10</v>
      </c>
      <c r="G201" s="159">
        <f t="shared" si="133"/>
        <v>3E-10</v>
      </c>
      <c r="H201" s="159">
        <f t="shared" si="133"/>
        <v>4.0000000000000001E-10</v>
      </c>
      <c r="I201" s="159" t="s">
        <v>360</v>
      </c>
      <c r="J201" s="159" t="str">
        <f>U198</f>
        <v/>
      </c>
      <c r="K201" s="159" t="str">
        <f t="shared" ref="K201:N201" si="134">V198</f>
        <v/>
      </c>
      <c r="L201" s="159">
        <f t="shared" si="134"/>
        <v>8.0000000000000003E-10</v>
      </c>
      <c r="M201" s="159">
        <f t="shared" si="134"/>
        <v>8.9999999999999999E-10</v>
      </c>
      <c r="N201" s="159">
        <f t="shared" si="134"/>
        <v>9.5000000000000003E-10</v>
      </c>
      <c r="O201" s="174" t="s">
        <v>1257</v>
      </c>
      <c r="S201" s="91"/>
    </row>
    <row r="202" spans="1:29">
      <c r="A202" s="159" t="s">
        <v>111</v>
      </c>
      <c r="B202" s="159" t="s">
        <v>112</v>
      </c>
      <c r="C202" s="163" t="s">
        <v>195</v>
      </c>
      <c r="D202" s="159">
        <f>SUM(E202:H202)+LARGE(I202:N202,1)+LARGE(I202:N202,2)</f>
        <v>2.8499999999999999E-9</v>
      </c>
      <c r="E202" s="159">
        <f>E6</f>
        <v>1E-10</v>
      </c>
      <c r="F202" s="159">
        <f>F6</f>
        <v>2.0000000000000001E-10</v>
      </c>
      <c r="G202" s="159">
        <f>G6</f>
        <v>3E-10</v>
      </c>
      <c r="H202" s="159">
        <f>H6</f>
        <v>4.0000000000000001E-10</v>
      </c>
      <c r="I202" s="159">
        <f>I6</f>
        <v>5.0000000000000003E-10</v>
      </c>
      <c r="J202" s="159">
        <f>IF(OR(J1="物理",J1="化學",J1="生物",J1="組合科學(物理、化學)",J1="組合科學(生物、化學)",J1="組合科學(物理、生物)",J1="綜合科學"),J6*1.5,J6)</f>
        <v>6E-10</v>
      </c>
      <c r="K202" s="159">
        <f>IF(OR(K1="物理",K1="化學",K1="生物",K1="組合科學(物理、化學)",K1="組合科學(生物、化學)",K1="組合科學(物理、生物)",K1="綜合科學"),K6*1.5,K6)</f>
        <v>6.9999999999999996E-10</v>
      </c>
      <c r="L202" s="164">
        <f>IF(OR(L1="物理",L1="化學",L1="生物",L1="組合科學(物理、化學)",L1="組合科學(生物、化學)",L1="組合科學(物理、生物)",L1="綜合科學"),L6*1.5,L6)</f>
        <v>8.0000000000000003E-10</v>
      </c>
      <c r="M202" s="164">
        <f>IF(OR(M1="物理",M1="化學",M1="生物",M1="組合科學(物理、化學)",M1="組合科學(生物、化學)",M1="組合科學(物理、生物)",M1="綜合科學"),M6*1.5,M6)</f>
        <v>8.9999999999999999E-10</v>
      </c>
      <c r="N202" s="159">
        <f>N6</f>
        <v>9.5000000000000003E-10</v>
      </c>
      <c r="O202" s="174"/>
    </row>
    <row r="203" spans="1:29">
      <c r="A203" s="159" t="s">
        <v>113</v>
      </c>
      <c r="B203" s="159" t="s">
        <v>114</v>
      </c>
      <c r="C203" s="163" t="s">
        <v>190</v>
      </c>
      <c r="D203" s="159">
        <f>SUM(E203:H203)+LARGE(I203:N203,1)+LARGE(I203:N203,2)</f>
        <v>2.8499999999999999E-9</v>
      </c>
      <c r="E203" s="159">
        <f t="shared" ref="E203:N203" si="135">IF(E15=FALSE,E6,E6*0.95)</f>
        <v>1E-10</v>
      </c>
      <c r="F203" s="159">
        <f t="shared" si="135"/>
        <v>2.0000000000000001E-10</v>
      </c>
      <c r="G203" s="159">
        <f t="shared" si="135"/>
        <v>3E-10</v>
      </c>
      <c r="H203" s="159">
        <f t="shared" si="135"/>
        <v>4.0000000000000001E-10</v>
      </c>
      <c r="I203" s="159">
        <f t="shared" si="135"/>
        <v>5.0000000000000003E-10</v>
      </c>
      <c r="J203" s="159">
        <f t="shared" si="135"/>
        <v>6E-10</v>
      </c>
      <c r="K203" s="159">
        <f t="shared" si="135"/>
        <v>6.9999999999999996E-10</v>
      </c>
      <c r="L203" s="159">
        <f t="shared" si="135"/>
        <v>8.0000000000000003E-10</v>
      </c>
      <c r="M203" s="159">
        <f t="shared" si="135"/>
        <v>8.9999999999999999E-10</v>
      </c>
      <c r="N203" s="159">
        <f t="shared" si="135"/>
        <v>9.5000000000000003E-10</v>
      </c>
      <c r="O203" s="174" t="s">
        <v>1256</v>
      </c>
      <c r="Q203" s="84" t="s">
        <v>1312</v>
      </c>
    </row>
    <row r="204" spans="1:29">
      <c r="A204" s="159" t="s">
        <v>115</v>
      </c>
      <c r="B204" s="159" t="s">
        <v>116</v>
      </c>
      <c r="C204" s="163" t="s">
        <v>189</v>
      </c>
      <c r="D204" s="159">
        <f>LARGE(E204:N204, 1)+LARGE(E204:N204, 2)+LARGE(E204:N204, 3)+LARGE(E204:N204, 4)+LARGE(E204:N204, 5)</f>
        <v>3.9500000000000006E-9</v>
      </c>
      <c r="E204" s="159">
        <f t="shared" ref="E204:N204" si="136">E6</f>
        <v>1E-10</v>
      </c>
      <c r="F204" s="159">
        <f t="shared" si="136"/>
        <v>2.0000000000000001E-10</v>
      </c>
      <c r="G204" s="159">
        <f t="shared" si="136"/>
        <v>3E-10</v>
      </c>
      <c r="H204" s="159">
        <f t="shared" si="136"/>
        <v>4.0000000000000001E-10</v>
      </c>
      <c r="I204" s="159">
        <f t="shared" si="136"/>
        <v>5.0000000000000003E-10</v>
      </c>
      <c r="J204" s="159">
        <f t="shared" si="136"/>
        <v>6E-10</v>
      </c>
      <c r="K204" s="159">
        <f t="shared" si="136"/>
        <v>6.9999999999999996E-10</v>
      </c>
      <c r="L204" s="164">
        <f t="shared" si="136"/>
        <v>8.0000000000000003E-10</v>
      </c>
      <c r="M204" s="164">
        <f t="shared" si="136"/>
        <v>8.9999999999999999E-10</v>
      </c>
      <c r="N204" s="159">
        <f t="shared" si="136"/>
        <v>9.5000000000000003E-10</v>
      </c>
      <c r="O204" s="174"/>
      <c r="Q204" s="130" t="s">
        <v>197</v>
      </c>
      <c r="R204" s="131"/>
      <c r="S204" s="130" t="s">
        <v>199</v>
      </c>
      <c r="T204" s="138" t="s">
        <v>200</v>
      </c>
      <c r="U204" s="130" t="s">
        <v>201</v>
      </c>
      <c r="V204" s="131"/>
      <c r="W204" s="131"/>
      <c r="X204" s="131"/>
      <c r="Y204" s="131"/>
      <c r="Z204" s="131"/>
      <c r="AA204" s="131"/>
    </row>
    <row r="205" spans="1:29">
      <c r="A205" s="159" t="s">
        <v>117</v>
      </c>
      <c r="B205" s="159" t="s">
        <v>118</v>
      </c>
      <c r="C205" s="163" t="s">
        <v>190</v>
      </c>
      <c r="D205" s="159">
        <f>SUM(E205:H205)+LARGE(I205:N205,1)+LARGE(I205:N205,2)</f>
        <v>2.8499999999999999E-9</v>
      </c>
      <c r="E205" s="159">
        <f t="shared" ref="E205:N205" si="137">E6</f>
        <v>1E-10</v>
      </c>
      <c r="F205" s="159">
        <f t="shared" si="137"/>
        <v>2.0000000000000001E-10</v>
      </c>
      <c r="G205" s="159">
        <f t="shared" si="137"/>
        <v>3E-10</v>
      </c>
      <c r="H205" s="159">
        <f t="shared" si="137"/>
        <v>4.0000000000000001E-10</v>
      </c>
      <c r="I205" s="159">
        <f t="shared" si="137"/>
        <v>5.0000000000000003E-10</v>
      </c>
      <c r="J205" s="159">
        <f t="shared" si="137"/>
        <v>6E-10</v>
      </c>
      <c r="K205" s="159">
        <f t="shared" si="137"/>
        <v>6.9999999999999996E-10</v>
      </c>
      <c r="L205" s="164">
        <f t="shared" si="137"/>
        <v>8.0000000000000003E-10</v>
      </c>
      <c r="M205" s="164">
        <f t="shared" si="137"/>
        <v>8.9999999999999999E-10</v>
      </c>
      <c r="N205" s="159">
        <f t="shared" si="137"/>
        <v>9.5000000000000003E-10</v>
      </c>
      <c r="O205" s="174"/>
      <c r="Q205" s="131" t="str">
        <f>IF(E6&gt;F6,E1,F1)</f>
        <v>英國語文</v>
      </c>
      <c r="R205" s="131"/>
      <c r="S205" s="131" t="str">
        <f>INDEX(E1:N1,MATCH(LARGE(Q208:Z208,1),Q208:Z208,0))</f>
        <v>數學延伸</v>
      </c>
      <c r="T205" s="139" t="str">
        <f>INDEX(E1:N1,MATCH(LARGE(Q208:Z208,2),Q208:Z208,0))</f>
        <v>請選擇語言科目</v>
      </c>
      <c r="U205" s="131" t="str">
        <f>INDEX(Q207:Z207,MATCH(LARGE(Q208:Z208,3),Q208:Z208,0))</f>
        <v>數學</v>
      </c>
      <c r="V205" s="131"/>
      <c r="W205" s="131"/>
      <c r="X205" s="131"/>
      <c r="Y205" s="131"/>
      <c r="Z205" s="131"/>
      <c r="AA205" s="131"/>
    </row>
    <row r="206" spans="1:29">
      <c r="A206" s="159" t="s">
        <v>169</v>
      </c>
      <c r="B206" s="159" t="s">
        <v>170</v>
      </c>
      <c r="C206" s="163" t="s">
        <v>190</v>
      </c>
      <c r="D206" s="159">
        <f>SUM(E206:H206)+LARGE(I206:N206,1)+LARGE(I206:N206,2)</f>
        <v>2.8499999999999999E-9</v>
      </c>
      <c r="E206" s="159">
        <f t="shared" ref="E206:N206" si="138">E6</f>
        <v>1E-10</v>
      </c>
      <c r="F206" s="159">
        <f t="shared" si="138"/>
        <v>2.0000000000000001E-10</v>
      </c>
      <c r="G206" s="159">
        <f t="shared" si="138"/>
        <v>3E-10</v>
      </c>
      <c r="H206" s="159">
        <f t="shared" si="138"/>
        <v>4.0000000000000001E-10</v>
      </c>
      <c r="I206" s="159">
        <f t="shared" si="138"/>
        <v>5.0000000000000003E-10</v>
      </c>
      <c r="J206" s="159">
        <f t="shared" si="138"/>
        <v>6E-10</v>
      </c>
      <c r="K206" s="159">
        <f t="shared" si="138"/>
        <v>6.9999999999999996E-10</v>
      </c>
      <c r="L206" s="164">
        <f t="shared" si="138"/>
        <v>8.0000000000000003E-10</v>
      </c>
      <c r="M206" s="164">
        <f t="shared" si="138"/>
        <v>8.9999999999999999E-10</v>
      </c>
      <c r="N206" s="159">
        <f t="shared" si="138"/>
        <v>9.5000000000000003E-10</v>
      </c>
      <c r="O206" s="174"/>
      <c r="Q206" s="131"/>
      <c r="R206" s="131"/>
      <c r="S206" s="131"/>
      <c r="T206" s="139"/>
      <c r="U206" s="131"/>
      <c r="V206" s="131"/>
      <c r="W206" s="131"/>
      <c r="X206" s="131"/>
      <c r="Y206" s="131"/>
      <c r="Z206" s="131"/>
      <c r="AA206" s="131"/>
    </row>
    <row r="207" spans="1:29">
      <c r="A207" s="159" t="s">
        <v>119</v>
      </c>
      <c r="B207" s="159" t="s">
        <v>120</v>
      </c>
      <c r="C207" s="163" t="s">
        <v>189</v>
      </c>
      <c r="D207" s="159">
        <f>LARGE(E207:N207, 1)+LARGE(E207:N207, 2)+LARGE(E207:N207, 3)+LARGE(E207:N207, 4)+LARGE(E207:N207, 5)</f>
        <v>4.3500000000000001E-9</v>
      </c>
      <c r="E207" s="159">
        <f>IF(OR(E1=S205,E1=T205,E1=U205),E6*1.5,E6)</f>
        <v>1E-10</v>
      </c>
      <c r="F207" s="159">
        <f>IF(OR(F1=S205,F1=T205,F1=U205),F6*1.5,F6)</f>
        <v>2.0000000000000001E-10</v>
      </c>
      <c r="G207" s="159">
        <f>IF(OR(G1=S205,G1=T205,G1=U205),G6*2,G6)</f>
        <v>6E-10</v>
      </c>
      <c r="H207" s="159">
        <f>H6</f>
        <v>4.0000000000000001E-10</v>
      </c>
      <c r="I207" s="159">
        <f>IF(OR(I1=S205,I1=T205,I1=U205),I6*2,I6)</f>
        <v>1.0000000000000001E-9</v>
      </c>
      <c r="J207" s="159">
        <f>IF(OR(J1=S205,J1=T205,J1=U205),V208,J6)</f>
        <v>6E-10</v>
      </c>
      <c r="K207" s="159">
        <f>IF(OR(K1=S205,K1=T205,K1=U205),W208,K6)</f>
        <v>6.9999999999999996E-10</v>
      </c>
      <c r="L207" s="164">
        <f>IF(OR(L1=S205,L1=T205,L1=U205),X208,L6)</f>
        <v>8.0000000000000003E-10</v>
      </c>
      <c r="M207" s="164">
        <f>IF(OR(M1=S205,M1=T205,M1=U205),Y208,M6)</f>
        <v>8.9999999999999999E-10</v>
      </c>
      <c r="N207" s="159">
        <f>N6</f>
        <v>9.5000000000000003E-10</v>
      </c>
      <c r="O207" s="174"/>
      <c r="Q207" s="130" t="str">
        <f t="shared" ref="Q207:Z207" si="139">E1</f>
        <v>中國語文</v>
      </c>
      <c r="R207" s="130" t="str">
        <f t="shared" si="139"/>
        <v>英國語文</v>
      </c>
      <c r="S207" s="130" t="str">
        <f t="shared" si="139"/>
        <v>數學</v>
      </c>
      <c r="T207" s="138" t="str">
        <f t="shared" si="139"/>
        <v>通識教育</v>
      </c>
      <c r="U207" s="130" t="str">
        <f t="shared" si="139"/>
        <v>數學延伸</v>
      </c>
      <c r="V207" s="130" t="str">
        <f t="shared" si="139"/>
        <v>請選擇第一選修科</v>
      </c>
      <c r="W207" s="130" t="str">
        <f t="shared" si="139"/>
        <v>請選擇第二選修科</v>
      </c>
      <c r="X207" s="130" t="str">
        <f t="shared" si="139"/>
        <v>請選擇第三選修科</v>
      </c>
      <c r="Y207" s="130" t="str">
        <f t="shared" si="139"/>
        <v>請選擇第四選修科</v>
      </c>
      <c r="Z207" s="130" t="str">
        <f t="shared" si="139"/>
        <v>請選擇語言科目</v>
      </c>
      <c r="AA207" s="131"/>
    </row>
    <row r="208" spans="1:29">
      <c r="A208" s="159" t="s">
        <v>171</v>
      </c>
      <c r="B208" s="159" t="s">
        <v>172</v>
      </c>
      <c r="C208" s="167" t="s">
        <v>189</v>
      </c>
      <c r="D208" s="159">
        <f>LARGE(E208:N208, 1)+LARGE(E208:N208, 2)+LARGE(E208:N208, 3)+LARGE(E208:N208, 4)+LARGE(E208:N208, 5)</f>
        <v>4.1000000000000003E-9</v>
      </c>
      <c r="E208" s="159">
        <f>E6</f>
        <v>1E-10</v>
      </c>
      <c r="F208" s="159">
        <f>F6*1.5</f>
        <v>3E-10</v>
      </c>
      <c r="G208" s="159">
        <f>G6*1.5</f>
        <v>4.5E-10</v>
      </c>
      <c r="H208" s="159">
        <f>H6</f>
        <v>4.0000000000000001E-10</v>
      </c>
      <c r="I208" s="159">
        <f>I6*1.5</f>
        <v>7.500000000000001E-10</v>
      </c>
      <c r="J208" s="159">
        <f>IF(OR(J1="物理",J1="化學",J1="生物",J1="組合科學(物理、化學)",J1="組合科學(生物、化學)",J1="組合科學(物理、生物)",J1="地理",J1="綜合科學"),J6*1.5,J6)</f>
        <v>6E-10</v>
      </c>
      <c r="K208" s="159">
        <f>IF(OR(K1="物理",K1="化學",K1="生物",K1="組合科學(物理、化學)",K1="組合科學(生物、化學)",K1="組合科學(物理、生物)",K1="地理",K1="綜合科學"),K6*1.5,K6)</f>
        <v>6.9999999999999996E-10</v>
      </c>
      <c r="L208" s="164">
        <f>IF(OR(L1="物理",L1="化學",L1="生物",L1="組合科學(物理、化學)",L1="組合科學(生物、化學)",L1="組合科學(物理、生物)",L1="地理",L1="綜合科學"),L6*1.5,L6)</f>
        <v>8.0000000000000003E-10</v>
      </c>
      <c r="M208" s="164">
        <f>IF(OR(M1="物理",M1="化學",M1="生物",M1="組合科學(物理、化學)",M1="組合科學(生物、化學)",M1="組合科學(物理、生物)",M1="地理",M1="綜合科學"),M6*1.5,M6)</f>
        <v>8.9999999999999999E-10</v>
      </c>
      <c r="N208" s="159">
        <f>N6</f>
        <v>9.5000000000000003E-10</v>
      </c>
      <c r="O208" s="174"/>
      <c r="Q208" s="131">
        <f>IF(Q207=Q205,E6*1.5,E6)</f>
        <v>1E-10</v>
      </c>
      <c r="R208" s="131">
        <f>IF(R207=Q205,F6*1.5,F6)</f>
        <v>3E-10</v>
      </c>
      <c r="S208" s="131">
        <f>G6*2</f>
        <v>6E-10</v>
      </c>
      <c r="T208" s="139">
        <f>H6</f>
        <v>4.0000000000000001E-10</v>
      </c>
      <c r="U208" s="131">
        <f>I6*2</f>
        <v>1.0000000000000001E-9</v>
      </c>
      <c r="V208" s="131">
        <f>IF(OR(J1="物理",J1="化學",J1="生物",J1="組合科學(物理、化學)",J1="組合科學(生物、化學)",J1="組合科學(物理、生物)",J1="綜合科學"),J6*2,IF(OR(J1="經濟",J1="地理",J1="科技與生活",J1="資訊及通訊科技"),J6*1.5,0))</f>
        <v>0</v>
      </c>
      <c r="W208" s="131">
        <f>IF(OR(K1="物理",K1="化學",K1="生物",K1="組合科學(物理、化學)",K1="組合科學(生物、化學)",K1="組合科學(物理、生物)",K1="綜合科學"),K6*2,IF(OR(K1="經濟",K1="地理",K1="科技與生活",K1="資訊及通訊科技"),K6*1.5,0))</f>
        <v>0</v>
      </c>
      <c r="X208" s="131">
        <f>IF(OR(L1="物理",L1="化學",L1="生物",L1="組合科學(物理、化學)",L1="組合科學(生物、化學)",L1="組合科學(物理、生物)",L1="綜合科學"),L6*2,IF(OR(L1="經濟",L1="地理",L1="科技與生活",L1="資訊及通訊科技"),L6*1.5,0))</f>
        <v>0</v>
      </c>
      <c r="Y208" s="131">
        <f>IF(OR(M1="物理",M1="化學",M1="生物",M1="組合科學(物理、化學)",M1="組合科學(生物、化學)",M1="組合科學(物理、生物)",M1="綜合科學"),M6*2,IF(OR(M1="經濟",M1="地理",M1="科技與生活",M1="資訊及通訊科技"),M6*1.5,0))</f>
        <v>0</v>
      </c>
      <c r="Z208" s="131">
        <f>N6</f>
        <v>9.5000000000000003E-10</v>
      </c>
      <c r="AA208" s="131"/>
    </row>
    <row r="209" spans="1:27">
      <c r="A209" s="159" t="s">
        <v>121</v>
      </c>
      <c r="B209" s="159" t="s">
        <v>173</v>
      </c>
      <c r="C209" s="163" t="s">
        <v>189</v>
      </c>
      <c r="D209" s="159">
        <f>LARGE(E209:N209, 1)+LARGE(E209:N209, 2)+LARGE(E209:N209, 3)+LARGE(E209:N209, 4)+LARGE(E209:N209, 5)</f>
        <v>4.3500000000000001E-9</v>
      </c>
      <c r="E209" s="159">
        <f>E6</f>
        <v>1E-10</v>
      </c>
      <c r="F209" s="159">
        <f>F6</f>
        <v>2.0000000000000001E-10</v>
      </c>
      <c r="G209" s="159">
        <f>G6</f>
        <v>3E-10</v>
      </c>
      <c r="H209" s="159">
        <f>H6</f>
        <v>4.0000000000000001E-10</v>
      </c>
      <c r="I209" s="159">
        <f>I6*2</f>
        <v>1.0000000000000001E-9</v>
      </c>
      <c r="J209" s="159">
        <f>J6</f>
        <v>6E-10</v>
      </c>
      <c r="K209" s="159">
        <f>K6</f>
        <v>6.9999999999999996E-10</v>
      </c>
      <c r="L209" s="164">
        <f>L6</f>
        <v>8.0000000000000003E-10</v>
      </c>
      <c r="M209" s="164">
        <f>M6</f>
        <v>8.9999999999999999E-10</v>
      </c>
      <c r="N209" s="159">
        <f>N6</f>
        <v>9.5000000000000003E-10</v>
      </c>
      <c r="O209" s="174"/>
    </row>
    <row r="210" spans="1:27">
      <c r="A210" s="159" t="s">
        <v>122</v>
      </c>
      <c r="B210" s="159" t="s">
        <v>174</v>
      </c>
      <c r="C210" s="163" t="s">
        <v>59</v>
      </c>
      <c r="D210" s="159">
        <f>LARGE(E210:N210, 1)+LARGE(E210:N210, 2)+LARGE(E210:N210, 3)+LARGE(E210:N210, 4)+LARGE(E210:N210, 5)</f>
        <v>4.1000000000000003E-9</v>
      </c>
      <c r="E210" s="159">
        <f>E6</f>
        <v>1E-10</v>
      </c>
      <c r="F210" s="159">
        <f>F6</f>
        <v>2.0000000000000001E-10</v>
      </c>
      <c r="G210" s="159">
        <f>G6*1.5</f>
        <v>4.5E-10</v>
      </c>
      <c r="H210" s="159">
        <f>H6</f>
        <v>4.0000000000000001E-10</v>
      </c>
      <c r="I210" s="159">
        <f>I6*1.5</f>
        <v>7.500000000000001E-10</v>
      </c>
      <c r="J210" s="159">
        <f>IF(OR(J1="物理"),J6*1.5,J6)</f>
        <v>6E-10</v>
      </c>
      <c r="K210" s="159">
        <f>IF(OR(K1="物理"),K6*1.5,K6)</f>
        <v>6.9999999999999996E-10</v>
      </c>
      <c r="L210" s="164">
        <f>IF(OR(L1="物理"),L6*1.5,L6)</f>
        <v>8.0000000000000003E-10</v>
      </c>
      <c r="M210" s="164">
        <f>IF(OR(M1="物理"),M6*1.5,M6)</f>
        <v>8.9999999999999999E-10</v>
      </c>
      <c r="N210" s="159">
        <f>N6</f>
        <v>9.5000000000000003E-10</v>
      </c>
      <c r="O210" s="174"/>
      <c r="Q210" s="83" t="str">
        <f>I1</f>
        <v>數學延伸</v>
      </c>
      <c r="R210" s="83" t="str">
        <f>J1</f>
        <v>請選擇第一選修科</v>
      </c>
      <c r="S210" s="83" t="str">
        <f>K1</f>
        <v>請選擇第二選修科</v>
      </c>
      <c r="T210" s="87" t="str">
        <f>L1</f>
        <v>請選擇第三選修科</v>
      </c>
      <c r="U210" s="83" t="str">
        <f>M1</f>
        <v>請選擇第四選修科</v>
      </c>
      <c r="X210" s="83" t="s">
        <v>199</v>
      </c>
      <c r="Y210" s="83"/>
      <c r="Z210" s="83"/>
      <c r="AA210" s="83"/>
    </row>
    <row r="211" spans="1:27">
      <c r="A211" s="159" t="s">
        <v>123</v>
      </c>
      <c r="B211" s="159" t="s">
        <v>124</v>
      </c>
      <c r="C211" s="163" t="s">
        <v>189</v>
      </c>
      <c r="D211" s="159">
        <f>LARGE(E211:N211, 1)+LARGE(E211:N211, 2)+LARGE(E211:N211, 3)+LARGE(E211:N211, 4)+LARGE(E211:N211, 5)</f>
        <v>4.3500000000000001E-9</v>
      </c>
      <c r="E211" s="159">
        <f>E6</f>
        <v>1E-10</v>
      </c>
      <c r="F211" s="159">
        <f>F6</f>
        <v>2.0000000000000001E-10</v>
      </c>
      <c r="G211" s="159">
        <f>G6*2</f>
        <v>6E-10</v>
      </c>
      <c r="H211" s="159">
        <f>H6</f>
        <v>4.0000000000000001E-10</v>
      </c>
      <c r="I211" s="159">
        <f>I6*2</f>
        <v>1.0000000000000001E-9</v>
      </c>
      <c r="J211" s="159">
        <f>J6</f>
        <v>6E-10</v>
      </c>
      <c r="K211" s="159">
        <f>K6</f>
        <v>6.9999999999999996E-10</v>
      </c>
      <c r="L211" s="164">
        <f>L6</f>
        <v>8.0000000000000003E-10</v>
      </c>
      <c r="M211" s="164">
        <f>M6</f>
        <v>8.9999999999999999E-10</v>
      </c>
      <c r="N211" s="159">
        <f>N6</f>
        <v>9.5000000000000003E-10</v>
      </c>
      <c r="O211" s="174"/>
      <c r="Q211" s="84">
        <f>I13</f>
        <v>5.0000000000000003E-10</v>
      </c>
      <c r="R211" s="84">
        <f>IF(OR(J1="物理",J1="化學",J1="地理",J1="組合科學(物理、化學)",J1="組合科學(生物、化學)",J1="組合科學(物理、生物)"),J13,0)</f>
        <v>0</v>
      </c>
      <c r="S211" s="84">
        <f>IF(OR(K1="物理",K1="化學",K1="地理",K1="組合科學(物理、化學)",K1="組合科學(生物、化學)",K1="組合科學(物理、生物)"),K13,0)</f>
        <v>0</v>
      </c>
      <c r="T211" s="90">
        <f>IF(OR(L1="物理",L1="化學",L1="地理",L1="組合科學(物理、化學)",L1="組合科學(生物、化學)",L1="組合科學(物理、生物)"),L13,0)</f>
        <v>0</v>
      </c>
      <c r="U211" s="84">
        <f>IF(OR(M1="物理",M1="化學",M1="地理",M1="組合科學(物理、化學)",M1="組合科學(生物、化學)",M1="組合科學(物理、生物)"),M13,0)</f>
        <v>0</v>
      </c>
      <c r="X211" s="84" t="str">
        <f>INDEX(Q210:U210,MATCH(LARGE(Q211:U211,1),Q211:U211,0))</f>
        <v>數學延伸</v>
      </c>
    </row>
    <row r="212" spans="1:27">
      <c r="A212" s="159" t="s">
        <v>125</v>
      </c>
      <c r="B212" s="159" t="s">
        <v>126</v>
      </c>
      <c r="C212" s="163" t="s">
        <v>189</v>
      </c>
      <c r="D212" s="159">
        <f t="shared" ref="D212:D224" si="140">LARGE(E212:N212, 1)+LARGE(E212:N212, 2)+LARGE(E212:N212, 3)+LARGE(E212:N212, 4)+LARGE(E212:N212, 5)</f>
        <v>3.9500000000000006E-9</v>
      </c>
      <c r="E212" s="159">
        <f>E6</f>
        <v>1E-10</v>
      </c>
      <c r="F212" s="159">
        <f>F6*1.3</f>
        <v>2.6000000000000003E-10</v>
      </c>
      <c r="G212" s="159">
        <f t="shared" ref="G212:N212" si="141">G6</f>
        <v>3E-10</v>
      </c>
      <c r="H212" s="159">
        <f t="shared" si="141"/>
        <v>4.0000000000000001E-10</v>
      </c>
      <c r="I212" s="159">
        <f t="shared" si="141"/>
        <v>5.0000000000000003E-10</v>
      </c>
      <c r="J212" s="159">
        <f t="shared" si="141"/>
        <v>6E-10</v>
      </c>
      <c r="K212" s="159">
        <f t="shared" si="141"/>
        <v>6.9999999999999996E-10</v>
      </c>
      <c r="L212" s="164">
        <f t="shared" si="141"/>
        <v>8.0000000000000003E-10</v>
      </c>
      <c r="M212" s="164">
        <f t="shared" si="141"/>
        <v>8.9999999999999999E-10</v>
      </c>
      <c r="N212" s="159">
        <f t="shared" si="141"/>
        <v>9.5000000000000003E-10</v>
      </c>
      <c r="O212" s="174"/>
      <c r="X212" s="84">
        <f>LARGE(Q211:U211,1)</f>
        <v>5.0000000000000003E-10</v>
      </c>
    </row>
    <row r="213" spans="1:27">
      <c r="A213" s="159" t="s">
        <v>127</v>
      </c>
      <c r="B213" s="159" t="s">
        <v>128</v>
      </c>
      <c r="C213" s="165" t="s">
        <v>189</v>
      </c>
      <c r="D213" s="159">
        <f t="shared" si="140"/>
        <v>3.9500000000000006E-9</v>
      </c>
      <c r="E213" s="159">
        <f>E6</f>
        <v>1E-10</v>
      </c>
      <c r="F213" s="159">
        <f>F6*1.5</f>
        <v>3E-10</v>
      </c>
      <c r="G213" s="159">
        <f>G6*1.5</f>
        <v>4.5E-10</v>
      </c>
      <c r="H213" s="159">
        <f t="shared" ref="H213:N213" si="142">H6</f>
        <v>4.0000000000000001E-10</v>
      </c>
      <c r="I213" s="159">
        <f t="shared" si="142"/>
        <v>5.0000000000000003E-10</v>
      </c>
      <c r="J213" s="159">
        <f t="shared" si="142"/>
        <v>6E-10</v>
      </c>
      <c r="K213" s="159">
        <f t="shared" si="142"/>
        <v>6.9999999999999996E-10</v>
      </c>
      <c r="L213" s="164">
        <f t="shared" si="142"/>
        <v>8.0000000000000003E-10</v>
      </c>
      <c r="M213" s="164">
        <f t="shared" si="142"/>
        <v>8.9999999999999999E-10</v>
      </c>
      <c r="N213" s="159">
        <f t="shared" si="142"/>
        <v>9.5000000000000003E-10</v>
      </c>
      <c r="O213" s="174"/>
      <c r="Q213" s="83" t="str">
        <f>I1</f>
        <v>數學延伸</v>
      </c>
      <c r="R213" s="83" t="str">
        <f>J1</f>
        <v>請選擇第一選修科</v>
      </c>
      <c r="S213" s="83" t="str">
        <f>K1</f>
        <v>請選擇第二選修科</v>
      </c>
      <c r="T213" s="87" t="str">
        <f>L1</f>
        <v>請選擇第三選修科</v>
      </c>
      <c r="U213" s="83" t="str">
        <f>M1</f>
        <v>請選擇第四選修科</v>
      </c>
      <c r="X213" s="83" t="s">
        <v>199</v>
      </c>
      <c r="Y213" s="83"/>
      <c r="Z213" s="83"/>
    </row>
    <row r="214" spans="1:27">
      <c r="A214" s="163" t="s">
        <v>129</v>
      </c>
      <c r="B214" s="163" t="s">
        <v>175</v>
      </c>
      <c r="C214" s="163" t="s">
        <v>189</v>
      </c>
      <c r="D214" s="163">
        <f t="shared" si="140"/>
        <v>4.1000000000000003E-9</v>
      </c>
      <c r="E214" s="163">
        <f>E6</f>
        <v>1E-10</v>
      </c>
      <c r="F214" s="163">
        <f>F6</f>
        <v>2.0000000000000001E-10</v>
      </c>
      <c r="G214" s="163">
        <f>G6*1.5</f>
        <v>4.5E-10</v>
      </c>
      <c r="H214" s="163">
        <f>H6</f>
        <v>4.0000000000000001E-10</v>
      </c>
      <c r="I214" s="163">
        <f>IF(I164=V218,I6*1.5,I6)</f>
        <v>7.500000000000001E-10</v>
      </c>
      <c r="J214" s="163">
        <f>IF(J164=V218,J6*1.5,J6)</f>
        <v>6E-10</v>
      </c>
      <c r="K214" s="163">
        <f>IF(K164=V218,K6*1.5,K6)</f>
        <v>6.9999999999999996E-10</v>
      </c>
      <c r="L214" s="168">
        <f>IF(L164=V218,L6*1.5,L6)</f>
        <v>8.0000000000000003E-10</v>
      </c>
      <c r="M214" s="168">
        <f>IF(M164=V218,M6*1.5,M6)</f>
        <v>8.9999999999999999E-10</v>
      </c>
      <c r="N214" s="163">
        <f>N6</f>
        <v>9.5000000000000003E-10</v>
      </c>
      <c r="O214" s="174"/>
      <c r="Q214" s="84">
        <f>I13</f>
        <v>5.0000000000000003E-10</v>
      </c>
      <c r="R214" s="84">
        <f>IF(OR(J1="物理",J1="化學",J1="地理",J1="生物",J1="綜合科學",J1="組合科學(物理、化學)",J1="組合科學(生物、化學)",J1="組合科學(物理、生物)"),J13,0)</f>
        <v>0</v>
      </c>
      <c r="S214" s="84">
        <f>IF(OR(K1="物理",K1="化學",K1="地理",K1="生物",K1="綜合科學",K1="組合科學(物理、化學)",K1="組合科學(生物、化學)",K1="組合科學(物理、生物)"),K13,0)</f>
        <v>0</v>
      </c>
      <c r="T214" s="90">
        <f>IF(OR(L1="物理",L1="化學",L1="地理",L1="生物",L1="綜合科學",L1="組合科學(物理、化學)",L1="組合科學(生物、化學)",L1="組合科學(物理、生物)"),L13,0)</f>
        <v>0</v>
      </c>
      <c r="U214" s="84">
        <f>IF(OR(M1="物理",M1="化學",M1="地理",M1="生物",M1="綜合科學",M1="組合科學(物理、化學)",M1="組合科學(生物、化學)",M1="組合科學(物理、生物)"),M13,0)</f>
        <v>0</v>
      </c>
      <c r="X214" s="84" t="str">
        <f>INDEX(Q213:U213,MATCH(LARGE(Q215:U215,1),Q215:U215,0))</f>
        <v>數學延伸</v>
      </c>
    </row>
    <row r="215" spans="1:27">
      <c r="A215" s="159" t="s">
        <v>130</v>
      </c>
      <c r="B215" s="159" t="s">
        <v>176</v>
      </c>
      <c r="C215" s="163" t="s">
        <v>189</v>
      </c>
      <c r="D215" s="159">
        <f t="shared" si="140"/>
        <v>3.9500000000000006E-9</v>
      </c>
      <c r="E215" s="159">
        <f>E6</f>
        <v>1E-10</v>
      </c>
      <c r="F215" s="159">
        <f>F6*1.5</f>
        <v>3E-10</v>
      </c>
      <c r="G215" s="159">
        <f t="shared" ref="G215:N215" si="143">G6</f>
        <v>3E-10</v>
      </c>
      <c r="H215" s="159">
        <f t="shared" si="143"/>
        <v>4.0000000000000001E-10</v>
      </c>
      <c r="I215" s="159">
        <f t="shared" si="143"/>
        <v>5.0000000000000003E-10</v>
      </c>
      <c r="J215" s="159">
        <f t="shared" si="143"/>
        <v>6E-10</v>
      </c>
      <c r="K215" s="159">
        <f t="shared" si="143"/>
        <v>6.9999999999999996E-10</v>
      </c>
      <c r="L215" s="164">
        <f t="shared" si="143"/>
        <v>8.0000000000000003E-10</v>
      </c>
      <c r="M215" s="164">
        <f t="shared" si="143"/>
        <v>8.9999999999999999E-10</v>
      </c>
      <c r="N215" s="159">
        <f t="shared" si="143"/>
        <v>9.5000000000000003E-10</v>
      </c>
      <c r="O215" s="174"/>
      <c r="Q215" s="84">
        <f>IF(Q213=X211,0,Q214)</f>
        <v>0</v>
      </c>
      <c r="R215" s="84">
        <f>IF(R213=X211,0,R214)</f>
        <v>0</v>
      </c>
      <c r="S215" s="84">
        <f>IF(S213=X211,0,S214)</f>
        <v>0</v>
      </c>
      <c r="T215" s="90">
        <f>IF(T213=X211,0,T214)</f>
        <v>0</v>
      </c>
      <c r="U215" s="84">
        <f t="shared" ref="U215" si="144">IF(U213=AA211,0,U214)</f>
        <v>0</v>
      </c>
      <c r="X215" s="84">
        <f>LARGE(Q215:U215,1)</f>
        <v>0</v>
      </c>
    </row>
    <row r="216" spans="1:27">
      <c r="A216" s="159" t="s">
        <v>131</v>
      </c>
      <c r="B216" s="159" t="s">
        <v>132</v>
      </c>
      <c r="C216" s="163" t="s">
        <v>189</v>
      </c>
      <c r="D216" s="159">
        <f t="shared" si="140"/>
        <v>3.9500000000000006E-9</v>
      </c>
      <c r="E216" s="159">
        <f t="shared" ref="E216:N216" si="145">E6</f>
        <v>1E-10</v>
      </c>
      <c r="F216" s="159">
        <f t="shared" si="145"/>
        <v>2.0000000000000001E-10</v>
      </c>
      <c r="G216" s="159">
        <f t="shared" si="145"/>
        <v>3E-10</v>
      </c>
      <c r="H216" s="159">
        <f t="shared" si="145"/>
        <v>4.0000000000000001E-10</v>
      </c>
      <c r="I216" s="159">
        <f t="shared" si="145"/>
        <v>5.0000000000000003E-10</v>
      </c>
      <c r="J216" s="159">
        <f t="shared" si="145"/>
        <v>6E-10</v>
      </c>
      <c r="K216" s="159">
        <f t="shared" si="145"/>
        <v>6.9999999999999996E-10</v>
      </c>
      <c r="L216" s="164">
        <f t="shared" si="145"/>
        <v>8.0000000000000003E-10</v>
      </c>
      <c r="M216" s="164">
        <f t="shared" si="145"/>
        <v>8.9999999999999999E-10</v>
      </c>
      <c r="N216" s="159">
        <f t="shared" si="145"/>
        <v>9.5000000000000003E-10</v>
      </c>
      <c r="O216" s="174"/>
      <c r="Q216" s="84" t="s">
        <v>1258</v>
      </c>
      <c r="X216" s="95"/>
    </row>
    <row r="217" spans="1:27">
      <c r="A217" s="159" t="s">
        <v>133</v>
      </c>
      <c r="B217" s="159" t="s">
        <v>134</v>
      </c>
      <c r="C217" s="163" t="s">
        <v>190</v>
      </c>
      <c r="D217" s="159">
        <f>SUM(E217:H217)+LARGE(I217:N217,1)+LARGE(I217:N217,2)</f>
        <v>3.0750000000000002E-9</v>
      </c>
      <c r="E217" s="159">
        <f>IF(E15=FALSE,E6*1.25,E6*1.25*0.9)</f>
        <v>1.2500000000000001E-10</v>
      </c>
      <c r="F217" s="159">
        <f>IF(F15=FALSE,F6*1.5,F6*1.5*0.9)</f>
        <v>3E-10</v>
      </c>
      <c r="G217" s="159">
        <f>IF(G15=FALSE,G6,G6*0.9)</f>
        <v>3E-10</v>
      </c>
      <c r="H217" s="159">
        <f>IF(H15=FALSE,H6*1.25,H6*1.25*0.9)</f>
        <v>5.0000000000000003E-10</v>
      </c>
      <c r="I217" s="159">
        <f t="shared" ref="I217:N217" si="146">IF(I15=FALSE,I6,I6*0.9)</f>
        <v>5.0000000000000003E-10</v>
      </c>
      <c r="J217" s="159">
        <f t="shared" si="146"/>
        <v>6E-10</v>
      </c>
      <c r="K217" s="159">
        <f t="shared" si="146"/>
        <v>6.9999999999999996E-10</v>
      </c>
      <c r="L217" s="159">
        <f t="shared" si="146"/>
        <v>8.0000000000000003E-10</v>
      </c>
      <c r="M217" s="159">
        <f t="shared" si="146"/>
        <v>8.9999999999999999E-10</v>
      </c>
      <c r="N217" s="159">
        <f t="shared" si="146"/>
        <v>9.5000000000000003E-10</v>
      </c>
      <c r="O217" s="174" t="s">
        <v>1257</v>
      </c>
      <c r="Q217" s="86" t="str">
        <f>I1</f>
        <v>數學延伸</v>
      </c>
      <c r="R217" s="86" t="str">
        <f>J1</f>
        <v>請選擇第一選修科</v>
      </c>
      <c r="S217" s="86" t="str">
        <f>K1</f>
        <v>請選擇第二選修科</v>
      </c>
      <c r="T217" s="140" t="str">
        <f>L1</f>
        <v>請選擇第三選修科</v>
      </c>
      <c r="U217" s="86" t="str">
        <f>M1</f>
        <v>請選擇第四選修科</v>
      </c>
      <c r="V217" s="86" t="s">
        <v>202</v>
      </c>
      <c r="X217" s="95"/>
    </row>
    <row r="218" spans="1:27">
      <c r="A218" s="159" t="s">
        <v>135</v>
      </c>
      <c r="B218" s="159" t="s">
        <v>136</v>
      </c>
      <c r="C218" s="163" t="s">
        <v>189</v>
      </c>
      <c r="D218" s="159">
        <f t="shared" si="140"/>
        <v>3.9500000000000006E-9</v>
      </c>
      <c r="E218" s="159">
        <f>E6*1.3</f>
        <v>1.3000000000000002E-10</v>
      </c>
      <c r="F218" s="159">
        <f>F6*1.3</f>
        <v>2.6000000000000003E-10</v>
      </c>
      <c r="G218" s="159">
        <f t="shared" ref="G218:N218" si="147">G6</f>
        <v>3E-10</v>
      </c>
      <c r="H218" s="159">
        <f t="shared" si="147"/>
        <v>4.0000000000000001E-10</v>
      </c>
      <c r="I218" s="159">
        <f t="shared" si="147"/>
        <v>5.0000000000000003E-10</v>
      </c>
      <c r="J218" s="159">
        <f t="shared" si="147"/>
        <v>6E-10</v>
      </c>
      <c r="K218" s="159">
        <f t="shared" si="147"/>
        <v>6.9999999999999996E-10</v>
      </c>
      <c r="L218" s="164">
        <f t="shared" si="147"/>
        <v>8.0000000000000003E-10</v>
      </c>
      <c r="M218" s="164">
        <f t="shared" si="147"/>
        <v>8.9999999999999999E-10</v>
      </c>
      <c r="N218" s="159">
        <f t="shared" si="147"/>
        <v>9.5000000000000003E-10</v>
      </c>
      <c r="O218" s="174"/>
      <c r="Q218" s="96">
        <f>I6</f>
        <v>5.0000000000000003E-10</v>
      </c>
      <c r="R218" s="96">
        <f>IF(OR(J1="物理",J1="化學",J1="經濟"),J6,0)</f>
        <v>0</v>
      </c>
      <c r="S218" s="96">
        <f>IF(OR(K1="物理",K1="化學",K1="經濟"),K6,0)</f>
        <v>0</v>
      </c>
      <c r="T218" s="141">
        <f>IF(OR(L1="物理",L1="化學",L1="經濟"),L6,0)</f>
        <v>0</v>
      </c>
      <c r="U218" s="96">
        <f>IF(OR(M1="物理",M1="化學",M1="經濟"),M6,0)</f>
        <v>0</v>
      </c>
      <c r="V218" s="96" t="str">
        <f>INDEX(I$1:M$1,MATCH(LARGE(Q218:U218,1),Q218:U218,0))</f>
        <v>數學延伸</v>
      </c>
      <c r="X218" s="95"/>
    </row>
    <row r="219" spans="1:27">
      <c r="A219" s="159" t="s">
        <v>177</v>
      </c>
      <c r="B219" s="159" t="s">
        <v>178</v>
      </c>
      <c r="C219" s="163" t="s">
        <v>189</v>
      </c>
      <c r="D219" s="159">
        <f t="shared" si="140"/>
        <v>3.9500000000000006E-9</v>
      </c>
      <c r="E219" s="159">
        <f>E6</f>
        <v>1E-10</v>
      </c>
      <c r="F219" s="159">
        <f>F6*1.3</f>
        <v>2.6000000000000003E-10</v>
      </c>
      <c r="G219" s="159">
        <f t="shared" ref="G219:N219" si="148">G6</f>
        <v>3E-10</v>
      </c>
      <c r="H219" s="159">
        <f t="shared" si="148"/>
        <v>4.0000000000000001E-10</v>
      </c>
      <c r="I219" s="159">
        <f t="shared" si="148"/>
        <v>5.0000000000000003E-10</v>
      </c>
      <c r="J219" s="159">
        <f t="shared" si="148"/>
        <v>6E-10</v>
      </c>
      <c r="K219" s="159">
        <f t="shared" si="148"/>
        <v>6.9999999999999996E-10</v>
      </c>
      <c r="L219" s="164">
        <f t="shared" si="148"/>
        <v>8.0000000000000003E-10</v>
      </c>
      <c r="M219" s="164">
        <f t="shared" si="148"/>
        <v>8.9999999999999999E-10</v>
      </c>
      <c r="N219" s="159">
        <f t="shared" si="148"/>
        <v>9.5000000000000003E-10</v>
      </c>
      <c r="O219" s="174"/>
      <c r="X219" s="95"/>
    </row>
    <row r="220" spans="1:27">
      <c r="A220" s="159" t="s">
        <v>137</v>
      </c>
      <c r="B220" s="159" t="s">
        <v>138</v>
      </c>
      <c r="C220" s="163" t="s">
        <v>189</v>
      </c>
      <c r="D220" s="159">
        <f t="shared" si="140"/>
        <v>3.9500000000000006E-9</v>
      </c>
      <c r="E220" s="159">
        <f>E6</f>
        <v>1E-10</v>
      </c>
      <c r="F220" s="159">
        <f>F6*1.5</f>
        <v>3E-10</v>
      </c>
      <c r="G220" s="159">
        <f>G6*1.5</f>
        <v>4.5E-10</v>
      </c>
      <c r="H220" s="159">
        <f t="shared" ref="H220:N220" si="149">H6</f>
        <v>4.0000000000000001E-10</v>
      </c>
      <c r="I220" s="159">
        <f t="shared" si="149"/>
        <v>5.0000000000000003E-10</v>
      </c>
      <c r="J220" s="159">
        <f t="shared" si="149"/>
        <v>6E-10</v>
      </c>
      <c r="K220" s="159">
        <f t="shared" si="149"/>
        <v>6.9999999999999996E-10</v>
      </c>
      <c r="L220" s="164">
        <f t="shared" si="149"/>
        <v>8.0000000000000003E-10</v>
      </c>
      <c r="M220" s="164">
        <f t="shared" si="149"/>
        <v>8.9999999999999999E-10</v>
      </c>
      <c r="N220" s="159">
        <f t="shared" si="149"/>
        <v>9.5000000000000003E-10</v>
      </c>
      <c r="O220" s="174"/>
      <c r="V220" s="95"/>
    </row>
    <row r="221" spans="1:27">
      <c r="A221" s="159" t="s">
        <v>139</v>
      </c>
      <c r="B221" s="159" t="s">
        <v>140</v>
      </c>
      <c r="C221" s="163" t="s">
        <v>189</v>
      </c>
      <c r="D221" s="159">
        <f t="shared" si="140"/>
        <v>3.9500000000000006E-9</v>
      </c>
      <c r="E221" s="159">
        <f t="shared" ref="E221:N221" si="150">E6</f>
        <v>1E-10</v>
      </c>
      <c r="F221" s="159">
        <f t="shared" si="150"/>
        <v>2.0000000000000001E-10</v>
      </c>
      <c r="G221" s="159">
        <f t="shared" si="150"/>
        <v>3E-10</v>
      </c>
      <c r="H221" s="159">
        <f t="shared" si="150"/>
        <v>4.0000000000000001E-10</v>
      </c>
      <c r="I221" s="159">
        <f t="shared" si="150"/>
        <v>5.0000000000000003E-10</v>
      </c>
      <c r="J221" s="159">
        <f t="shared" si="150"/>
        <v>6E-10</v>
      </c>
      <c r="K221" s="159">
        <f t="shared" si="150"/>
        <v>6.9999999999999996E-10</v>
      </c>
      <c r="L221" s="164">
        <f t="shared" si="150"/>
        <v>8.0000000000000003E-10</v>
      </c>
      <c r="M221" s="164">
        <f t="shared" si="150"/>
        <v>8.9999999999999999E-10</v>
      </c>
      <c r="N221" s="159">
        <f t="shared" si="150"/>
        <v>9.5000000000000003E-10</v>
      </c>
      <c r="O221" s="174"/>
      <c r="V221" s="95"/>
    </row>
    <row r="222" spans="1:27">
      <c r="A222" s="159" t="s">
        <v>141</v>
      </c>
      <c r="B222" s="159" t="s">
        <v>142</v>
      </c>
      <c r="C222" s="163" t="s">
        <v>189</v>
      </c>
      <c r="D222" s="159">
        <f t="shared" si="140"/>
        <v>3.9500000000000006E-9</v>
      </c>
      <c r="E222" s="159">
        <f>E6</f>
        <v>1E-10</v>
      </c>
      <c r="F222" s="159">
        <f>F6*1.5</f>
        <v>3E-10</v>
      </c>
      <c r="G222" s="159">
        <f>G6</f>
        <v>3E-10</v>
      </c>
      <c r="H222" s="159">
        <f>H6*1.5</f>
        <v>6E-10</v>
      </c>
      <c r="I222" s="159">
        <f t="shared" ref="I222:N222" si="151">I6</f>
        <v>5.0000000000000003E-10</v>
      </c>
      <c r="J222" s="159">
        <f t="shared" si="151"/>
        <v>6E-10</v>
      </c>
      <c r="K222" s="159">
        <f t="shared" si="151"/>
        <v>6.9999999999999996E-10</v>
      </c>
      <c r="L222" s="164">
        <f t="shared" si="151"/>
        <v>8.0000000000000003E-10</v>
      </c>
      <c r="M222" s="164">
        <f t="shared" si="151"/>
        <v>8.9999999999999999E-10</v>
      </c>
      <c r="N222" s="159">
        <f t="shared" si="151"/>
        <v>9.5000000000000003E-10</v>
      </c>
      <c r="O222" s="174"/>
    </row>
    <row r="223" spans="1:27">
      <c r="A223" s="159" t="s">
        <v>179</v>
      </c>
      <c r="B223" s="159" t="s">
        <v>180</v>
      </c>
      <c r="C223" s="163" t="s">
        <v>189</v>
      </c>
      <c r="D223" s="159">
        <f t="shared" si="140"/>
        <v>3.9500000000000006E-9</v>
      </c>
      <c r="E223" s="159">
        <f>E6</f>
        <v>1E-10</v>
      </c>
      <c r="F223" s="159">
        <f>F6*1.5</f>
        <v>3E-10</v>
      </c>
      <c r="G223" s="159">
        <f t="shared" ref="G223:N223" si="152">G6</f>
        <v>3E-10</v>
      </c>
      <c r="H223" s="159">
        <f t="shared" si="152"/>
        <v>4.0000000000000001E-10</v>
      </c>
      <c r="I223" s="159">
        <f t="shared" si="152"/>
        <v>5.0000000000000003E-10</v>
      </c>
      <c r="J223" s="159">
        <f t="shared" si="152"/>
        <v>6E-10</v>
      </c>
      <c r="K223" s="159">
        <f t="shared" si="152"/>
        <v>6.9999999999999996E-10</v>
      </c>
      <c r="L223" s="164">
        <f t="shared" si="152"/>
        <v>8.0000000000000003E-10</v>
      </c>
      <c r="M223" s="164">
        <f t="shared" si="152"/>
        <v>8.9999999999999999E-10</v>
      </c>
      <c r="N223" s="159">
        <f t="shared" si="152"/>
        <v>9.5000000000000003E-10</v>
      </c>
      <c r="O223" s="174"/>
    </row>
    <row r="224" spans="1:27">
      <c r="A224" s="159" t="s">
        <v>188</v>
      </c>
      <c r="B224" s="159" t="s">
        <v>182</v>
      </c>
      <c r="C224" s="163" t="s">
        <v>189</v>
      </c>
      <c r="D224" s="159">
        <f t="shared" si="140"/>
        <v>3.9500000000000006E-9</v>
      </c>
      <c r="E224" s="159">
        <f t="shared" ref="E224:N224" si="153">E6</f>
        <v>1E-10</v>
      </c>
      <c r="F224" s="159">
        <f t="shared" si="153"/>
        <v>2.0000000000000001E-10</v>
      </c>
      <c r="G224" s="159">
        <f t="shared" si="153"/>
        <v>3E-10</v>
      </c>
      <c r="H224" s="159">
        <f t="shared" si="153"/>
        <v>4.0000000000000001E-10</v>
      </c>
      <c r="I224" s="159">
        <f t="shared" si="153"/>
        <v>5.0000000000000003E-10</v>
      </c>
      <c r="J224" s="159">
        <f t="shared" si="153"/>
        <v>6E-10</v>
      </c>
      <c r="K224" s="159">
        <f t="shared" si="153"/>
        <v>6.9999999999999996E-10</v>
      </c>
      <c r="L224" s="164">
        <f t="shared" si="153"/>
        <v>8.0000000000000003E-10</v>
      </c>
      <c r="M224" s="164">
        <f t="shared" si="153"/>
        <v>8.9999999999999999E-10</v>
      </c>
      <c r="N224" s="159">
        <f t="shared" si="153"/>
        <v>9.5000000000000003E-10</v>
      </c>
      <c r="O224" s="174"/>
    </row>
    <row r="225" spans="1:35">
      <c r="A225" s="159" t="s">
        <v>143</v>
      </c>
      <c r="B225" s="159" t="s">
        <v>144</v>
      </c>
      <c r="C225" s="163" t="s">
        <v>190</v>
      </c>
      <c r="D225" s="159">
        <f>SUM(E225:H225)+LARGE(I225:N225,1)+LARGE(I225:N225,2)</f>
        <v>3.4999999999999999E-9</v>
      </c>
      <c r="E225" s="159">
        <f>IF(E15=FALSE,E6*1.5,E6*1.5*0.95)</f>
        <v>1.5E-10</v>
      </c>
      <c r="F225" s="159">
        <f>IF(F15=FALSE,F6*2,F6*2*0.95)</f>
        <v>4.0000000000000001E-10</v>
      </c>
      <c r="G225" s="159">
        <f>IF(G15=FALSE,G6,G6*0.95)</f>
        <v>3E-10</v>
      </c>
      <c r="H225" s="159">
        <f>IF(H15=FALSE,H6*2,H6*2*0.95)</f>
        <v>8.0000000000000003E-10</v>
      </c>
      <c r="I225" s="159">
        <f t="shared" ref="I225:N225" si="154">IF(I15=FALSE,I6,I6*0.95)</f>
        <v>5.0000000000000003E-10</v>
      </c>
      <c r="J225" s="159">
        <f t="shared" si="154"/>
        <v>6E-10</v>
      </c>
      <c r="K225" s="159">
        <f t="shared" si="154"/>
        <v>6.9999999999999996E-10</v>
      </c>
      <c r="L225" s="159">
        <f t="shared" si="154"/>
        <v>8.0000000000000003E-10</v>
      </c>
      <c r="M225" s="159">
        <f t="shared" si="154"/>
        <v>8.9999999999999999E-10</v>
      </c>
      <c r="N225" s="159">
        <f t="shared" si="154"/>
        <v>9.5000000000000003E-10</v>
      </c>
      <c r="O225" s="174" t="s">
        <v>1256</v>
      </c>
      <c r="S225" s="90"/>
      <c r="T225" s="84"/>
    </row>
    <row r="226" spans="1:35">
      <c r="A226" s="5"/>
      <c r="B226" s="5"/>
      <c r="C226" s="5"/>
    </row>
    <row r="227" spans="1:35">
      <c r="A227" s="111" t="s">
        <v>624</v>
      </c>
      <c r="B227" s="86"/>
      <c r="C227" s="97"/>
      <c r="D227" s="84" t="str">
        <f t="shared" ref="D227:N227" si="155">D1</f>
        <v>總分</v>
      </c>
      <c r="E227" s="84" t="str">
        <f t="shared" si="155"/>
        <v>中國語文</v>
      </c>
      <c r="F227" s="84" t="str">
        <f t="shared" si="155"/>
        <v>英國語文</v>
      </c>
      <c r="G227" s="84" t="str">
        <f t="shared" si="155"/>
        <v>數學</v>
      </c>
      <c r="H227" s="84" t="str">
        <f t="shared" si="155"/>
        <v>通識教育</v>
      </c>
      <c r="I227" s="84" t="str">
        <f t="shared" si="155"/>
        <v>數學延伸</v>
      </c>
      <c r="J227" s="84" t="str">
        <f t="shared" si="155"/>
        <v>請選擇第一選修科</v>
      </c>
      <c r="K227" s="84" t="str">
        <f t="shared" si="155"/>
        <v>請選擇第二選修科</v>
      </c>
      <c r="L227" s="84" t="str">
        <f t="shared" si="155"/>
        <v>請選擇第三選修科</v>
      </c>
      <c r="M227" s="84" t="str">
        <f t="shared" si="155"/>
        <v>請選擇第四選修科</v>
      </c>
      <c r="N227" s="84" t="str">
        <f t="shared" si="155"/>
        <v>請選擇語言科目</v>
      </c>
    </row>
    <row r="228" spans="1:35">
      <c r="A228" s="84" t="s">
        <v>561</v>
      </c>
      <c r="B228" s="84" t="s">
        <v>563</v>
      </c>
      <c r="C228" s="89" t="s">
        <v>625</v>
      </c>
      <c r="D228" s="84">
        <f>F228+G228+Q230+T230+LARGE((H228:N228,E228),1)</f>
        <v>1.9500000000000001E-9</v>
      </c>
      <c r="E228" s="84">
        <f>E$7</f>
        <v>1E-10</v>
      </c>
      <c r="F228" s="84">
        <f>F$7</f>
        <v>2.0000000000000001E-10</v>
      </c>
      <c r="G228" s="84">
        <f>G$7</f>
        <v>3E-10</v>
      </c>
      <c r="H228" s="84">
        <f>H$7</f>
        <v>4.0000000000000001E-10</v>
      </c>
      <c r="I228" s="84">
        <f>IF(OR(I227=$T$229,I227=$Q$229),0,I$7)</f>
        <v>0</v>
      </c>
      <c r="J228" s="84">
        <f>IF(OR(J227=$U$229,J227=$R$229),0,J$7)</f>
        <v>6E-10</v>
      </c>
      <c r="K228" s="84">
        <f>IF(OR(K227=$U$229,K227=$R$229),0,K$7)</f>
        <v>6.9999999999999996E-10</v>
      </c>
      <c r="L228" s="84">
        <f>IF(OR(L227=$U$229,L227=$R$229),0,L$7)</f>
        <v>8.0000000000000003E-10</v>
      </c>
      <c r="M228" s="84">
        <f>IF(OR(M227=$U$229,M227=$R$229),0,M$7)</f>
        <v>8.9999999999999999E-10</v>
      </c>
      <c r="N228" s="84">
        <f t="shared" ref="N228:N252" si="156">N$7</f>
        <v>9.5000000000000003E-10</v>
      </c>
      <c r="P228" s="131" t="s">
        <v>1319</v>
      </c>
      <c r="Q228" s="143" t="s">
        <v>202</v>
      </c>
      <c r="R228" s="131" t="s">
        <v>390</v>
      </c>
      <c r="S228" s="131"/>
      <c r="T228" s="144" t="s">
        <v>1320</v>
      </c>
      <c r="U228" s="131" t="s">
        <v>783</v>
      </c>
      <c r="V228" s="131" t="s">
        <v>782</v>
      </c>
    </row>
    <row r="229" spans="1:35">
      <c r="A229" s="84" t="s">
        <v>1317</v>
      </c>
      <c r="B229" s="84" t="s">
        <v>565</v>
      </c>
      <c r="C229" s="89" t="s">
        <v>789</v>
      </c>
      <c r="D229" s="84">
        <f>F229+G229+R234+T234+V234</f>
        <v>3.3000000000000002E-9</v>
      </c>
      <c r="E229" s="84">
        <f>E$7</f>
        <v>1E-10</v>
      </c>
      <c r="F229" s="84">
        <f>F7*1.5</f>
        <v>3E-10</v>
      </c>
      <c r="G229" s="84">
        <f>G7</f>
        <v>3E-10</v>
      </c>
      <c r="H229" s="84">
        <f t="shared" ref="H229:M231" si="157">H$7</f>
        <v>4.0000000000000001E-10</v>
      </c>
      <c r="I229" s="206">
        <f t="shared" si="157"/>
        <v>5.0000000000000003E-10</v>
      </c>
      <c r="J229" s="206">
        <f t="shared" si="157"/>
        <v>6E-10</v>
      </c>
      <c r="K229" s="206">
        <f t="shared" si="157"/>
        <v>6.9999999999999996E-10</v>
      </c>
      <c r="L229" s="206">
        <f t="shared" si="157"/>
        <v>8.0000000000000003E-10</v>
      </c>
      <c r="M229" s="206">
        <f t="shared" si="157"/>
        <v>8.9999999999999999E-10</v>
      </c>
      <c r="N229" s="206">
        <f t="shared" si="156"/>
        <v>9.5000000000000003E-10</v>
      </c>
      <c r="P229" s="131"/>
      <c r="Q229" s="145" t="str">
        <f>INDEX(I$1:M$1,MATCH(LARGE(R141:V141,1),R141:V141,0))</f>
        <v>數學延伸</v>
      </c>
      <c r="R229" s="145" t="str">
        <f>IF(OR(Q229="物理",Q229="化學",Q229="生物",Q229="數學延伸",Q229="組合科學(物理、化學)",Q229="組合科學(生物、化學)",Q229="組合科學(物理、生物)"),Q229,0)</f>
        <v>數學延伸</v>
      </c>
      <c r="S229" s="131"/>
      <c r="T229" s="150" t="str">
        <f>INDEX(I$1:M$1,MATCH(LARGE(R141:V141,2),R141:V141,0))</f>
        <v>請選擇第一選修科</v>
      </c>
      <c r="U229" s="131">
        <f>IF(OR(T229="物理",T229="化學",T229="生物",T229="組合科學(物理、化學)",T229="組合科學(生物、化學)",T229="組合科學(物理、生物)"),T229,0)</f>
        <v>0</v>
      </c>
      <c r="V229" s="131">
        <f>IF(OR(R230=0,U230=0),0,1)</f>
        <v>0</v>
      </c>
    </row>
    <row r="230" spans="1:35">
      <c r="A230" s="84" t="s">
        <v>566</v>
      </c>
      <c r="B230" s="84" t="s">
        <v>567</v>
      </c>
      <c r="C230" s="89" t="s">
        <v>626</v>
      </c>
      <c r="D230" s="84">
        <f>F230+G230+R238+T238+V238</f>
        <v>3.05E-9</v>
      </c>
      <c r="E230" s="84">
        <f>E$7</f>
        <v>1E-10</v>
      </c>
      <c r="F230" s="84">
        <f>F7*1.5</f>
        <v>3E-10</v>
      </c>
      <c r="G230" s="84">
        <f>G7</f>
        <v>3E-10</v>
      </c>
      <c r="H230" s="84">
        <f t="shared" si="157"/>
        <v>4.0000000000000001E-10</v>
      </c>
      <c r="I230" s="206">
        <f t="shared" si="157"/>
        <v>5.0000000000000003E-10</v>
      </c>
      <c r="J230" s="206">
        <f t="shared" si="157"/>
        <v>6E-10</v>
      </c>
      <c r="K230" s="206">
        <f t="shared" si="157"/>
        <v>6.9999999999999996E-10</v>
      </c>
      <c r="L230" s="206">
        <f t="shared" si="157"/>
        <v>8.0000000000000003E-10</v>
      </c>
      <c r="M230" s="206">
        <f t="shared" si="157"/>
        <v>8.9999999999999999E-10</v>
      </c>
      <c r="N230" s="206">
        <f t="shared" si="156"/>
        <v>9.5000000000000003E-10</v>
      </c>
      <c r="P230" s="131"/>
      <c r="Q230" s="131">
        <f>LARGE((R141:V141),1)</f>
        <v>5.0000000000000003E-10</v>
      </c>
      <c r="R230" s="131">
        <f>IF(Q230&lt;3,0,Q230)</f>
        <v>0</v>
      </c>
      <c r="S230" s="131"/>
      <c r="T230" s="139">
        <f>LARGE((R141:V141),2)</f>
        <v>0</v>
      </c>
      <c r="U230" s="131">
        <f>IF(T230&lt;3,0,T230)</f>
        <v>0</v>
      </c>
      <c r="V230" s="131"/>
    </row>
    <row r="231" spans="1:35">
      <c r="A231" s="84" t="s">
        <v>1326</v>
      </c>
      <c r="B231" s="84" t="s">
        <v>1324</v>
      </c>
      <c r="C231" s="89" t="s">
        <v>789</v>
      </c>
      <c r="D231" s="84">
        <f>F229+G229+R234+T234+V234</f>
        <v>3.3000000000000002E-9</v>
      </c>
      <c r="E231" s="84">
        <f>E$7</f>
        <v>1E-10</v>
      </c>
      <c r="F231" s="84">
        <f>F7*1.5</f>
        <v>3E-10</v>
      </c>
      <c r="G231" s="84">
        <f>G7</f>
        <v>3E-10</v>
      </c>
      <c r="H231" s="84">
        <f t="shared" si="157"/>
        <v>4.0000000000000001E-10</v>
      </c>
      <c r="I231" s="206">
        <f t="shared" si="157"/>
        <v>5.0000000000000003E-10</v>
      </c>
      <c r="J231" s="206">
        <f t="shared" si="157"/>
        <v>6E-10</v>
      </c>
      <c r="K231" s="206">
        <f t="shared" si="157"/>
        <v>6.9999999999999996E-10</v>
      </c>
      <c r="L231" s="206">
        <f t="shared" si="157"/>
        <v>8.0000000000000003E-10</v>
      </c>
      <c r="M231" s="206">
        <f t="shared" si="157"/>
        <v>8.9999999999999999E-10</v>
      </c>
      <c r="N231" s="206">
        <f t="shared" si="156"/>
        <v>9.5000000000000003E-10</v>
      </c>
      <c r="P231" s="88"/>
      <c r="Q231" s="88"/>
      <c r="R231" s="88"/>
      <c r="S231" s="88"/>
      <c r="T231" s="99"/>
      <c r="U231" s="88"/>
      <c r="V231" s="88"/>
    </row>
    <row r="232" spans="1:35">
      <c r="A232" s="84" t="s">
        <v>568</v>
      </c>
      <c r="B232" s="147" t="s">
        <v>569</v>
      </c>
      <c r="C232" s="146" t="s">
        <v>626</v>
      </c>
      <c r="D232" s="147">
        <f>IF(R244*2&gt;T244,R244*2+LARGE((E232,H232:N232),1)+LARGE((E232,H232:N232),2)+F232+G232,T244+LARGE((E232,H232:N232),1)+LARGE((E232,H232:N232),2)+F232+G232)</f>
        <v>2.8499999999999999E-9</v>
      </c>
      <c r="E232" s="147">
        <f>E7</f>
        <v>1E-10</v>
      </c>
      <c r="F232" s="147">
        <f>F7*2</f>
        <v>4.0000000000000001E-10</v>
      </c>
      <c r="G232" s="147">
        <f>G7*2</f>
        <v>6E-10</v>
      </c>
      <c r="H232" s="147">
        <f>H7</f>
        <v>4.0000000000000001E-10</v>
      </c>
      <c r="I232" s="147">
        <f>I7*1.5</f>
        <v>7.500000000000001E-10</v>
      </c>
      <c r="J232" s="147">
        <f>IF(AND(J227=$Q$244,$R$244*2&gt;$T$244),0,IF(AND(J227=$S$244,$R$244*2&lt;$T$244),0,J7))</f>
        <v>6E-10</v>
      </c>
      <c r="K232" s="147">
        <f>IF(AND(K227=$Q$244,$R$244*2&gt;$T$244),0,IF(AND(K227=$S$244,$R$244*2&lt;$T$244),0,K7))</f>
        <v>6.9999999999999996E-10</v>
      </c>
      <c r="L232" s="147">
        <f>IF(AND(L227=$Q$244,$R$244*2&gt;$T$244),0,IF(AND(L227=$S$244,$R$244*2&lt;$T$244),0,L7))</f>
        <v>8.0000000000000003E-10</v>
      </c>
      <c r="M232" s="147">
        <f>IF(AND(M227=$Q$244,$R$244*2&gt;$T$244),0,IF(AND(M227=$S$244,$R$244*2&lt;$T$244),0,M7))</f>
        <v>8.9999999999999999E-10</v>
      </c>
      <c r="N232" s="147">
        <f t="shared" si="156"/>
        <v>9.5000000000000003E-10</v>
      </c>
      <c r="P232" s="131"/>
      <c r="Q232" s="143" t="s">
        <v>202</v>
      </c>
      <c r="R232" s="131"/>
      <c r="S232" s="131" t="s">
        <v>1322</v>
      </c>
      <c r="T232" s="139"/>
      <c r="U232" s="131" t="s">
        <v>1323</v>
      </c>
      <c r="V232" s="139"/>
      <c r="W232" s="143" t="s">
        <v>1321</v>
      </c>
      <c r="X232" s="131"/>
      <c r="Y232" s="131"/>
      <c r="Z232" s="131"/>
      <c r="AA232" s="131"/>
      <c r="AB232" s="131"/>
      <c r="AC232" s="131"/>
    </row>
    <row r="233" spans="1:35">
      <c r="A233" s="84" t="s">
        <v>570</v>
      </c>
      <c r="B233" s="147" t="s">
        <v>571</v>
      </c>
      <c r="C233" s="146" t="s">
        <v>626</v>
      </c>
      <c r="D233" s="147">
        <f>IF(R246*2&gt;T244,R246*2+LARGE((E233,H233:M233),1)+LARGE((E233,H233:M233),2)+F233+G233,T244+LARGE((E233,H233:M233),1)+LARGE((E233,H233:M233),2)+F233+G233)</f>
        <v>2.6999999999999998E-9</v>
      </c>
      <c r="E233" s="147">
        <f>E7</f>
        <v>1E-10</v>
      </c>
      <c r="F233" s="147">
        <f>F7*2</f>
        <v>4.0000000000000001E-10</v>
      </c>
      <c r="G233" s="147">
        <f>G7*2</f>
        <v>6E-10</v>
      </c>
      <c r="H233" s="147">
        <f>H7</f>
        <v>4.0000000000000001E-10</v>
      </c>
      <c r="I233" s="147">
        <f>I7*1.5</f>
        <v>7.500000000000001E-10</v>
      </c>
      <c r="J233" s="147">
        <f>IF(AND(J227=$Q$246,$R$246*2&gt;$T$244),0,IF(AND(J227=$S$244,$R$246*2&lt;$T$244),0,J7))</f>
        <v>6E-10</v>
      </c>
      <c r="K233" s="147">
        <f>IF(AND(K227=$Q$246,$R$246*2&gt;$T$244),0,IF(AND(K227=$S$244,$R$246*2&lt;$T$244),0,K7))</f>
        <v>6.9999999999999996E-10</v>
      </c>
      <c r="L233" s="147">
        <f>IF(AND(L227=$Q$246,$R$246*2&gt;$T$244),0,IF(AND(L227=$S$244,$R$246*2&lt;$T$244),0,L7))</f>
        <v>8.0000000000000003E-10</v>
      </c>
      <c r="M233" s="147">
        <f>IF(AND(M227=$Q$246,$R$246*2&gt;$T$244),0,IF(AND(M227=$S$244,$R$246*2&lt;$T$244),0,M7))</f>
        <v>8.9999999999999999E-10</v>
      </c>
      <c r="N233" s="147">
        <f t="shared" si="156"/>
        <v>9.5000000000000003E-10</v>
      </c>
      <c r="P233" s="131"/>
      <c r="Q233" s="131" t="s">
        <v>1352</v>
      </c>
      <c r="R233" s="131"/>
      <c r="S233" s="131"/>
      <c r="T233" s="139"/>
      <c r="U233" s="131"/>
      <c r="V233" s="139"/>
      <c r="W233" s="131" t="str">
        <f>E1</f>
        <v>中國語文</v>
      </c>
      <c r="X233" s="131" t="str">
        <f t="shared" ref="X233:AC233" si="158">H1</f>
        <v>通識教育</v>
      </c>
      <c r="Y233" s="131" t="str">
        <f t="shared" si="158"/>
        <v>數學延伸</v>
      </c>
      <c r="Z233" s="131" t="str">
        <f t="shared" si="158"/>
        <v>請選擇第一選修科</v>
      </c>
      <c r="AA233" s="131" t="str">
        <f t="shared" si="158"/>
        <v>請選擇第二選修科</v>
      </c>
      <c r="AB233" s="131" t="str">
        <f t="shared" si="158"/>
        <v>請選擇第三選修科</v>
      </c>
      <c r="AC233" s="131" t="str">
        <f t="shared" si="158"/>
        <v>請選擇第四選修科</v>
      </c>
    </row>
    <row r="234" spans="1:35">
      <c r="A234" s="84" t="s">
        <v>1327</v>
      </c>
      <c r="B234" s="147" t="s">
        <v>1328</v>
      </c>
      <c r="C234" s="146" t="s">
        <v>626</v>
      </c>
      <c r="D234" s="147">
        <f>IF(R244*2&gt;T244,R244*2+LARGE((E234,H234:N234),1)+LARGE((E234,H234:N234),2)+F234+G234,T244+LARGE((E234,H234:N234),1)+LARGE((E234,H234:N234),2)+F234+G234)</f>
        <v>2.8499999999999999E-9</v>
      </c>
      <c r="E234" s="147">
        <f>E7</f>
        <v>1E-10</v>
      </c>
      <c r="F234" s="147">
        <f>F7*2</f>
        <v>4.0000000000000001E-10</v>
      </c>
      <c r="G234" s="147">
        <f>G7*2</f>
        <v>6E-10</v>
      </c>
      <c r="H234" s="147">
        <f>H7</f>
        <v>4.0000000000000001E-10</v>
      </c>
      <c r="I234" s="147">
        <f>I7*1.5</f>
        <v>7.500000000000001E-10</v>
      </c>
      <c r="J234" s="147">
        <f>IF(AND(J227=$Q$244,$R$244*2&gt;$T$244),0,IF(AND(J227=$S$244,$R$244*2&lt;$T$244),0,J7))</f>
        <v>6E-10</v>
      </c>
      <c r="K234" s="147">
        <f>IF(AND(K227=$Q$244,$R$244*2&gt;$T$244),0,IF(AND(K227=$S$244,$R$244*2&lt;$T$244),0,K7))</f>
        <v>6.9999999999999996E-10</v>
      </c>
      <c r="L234" s="147">
        <f>IF(AND(L227=$Q$244,$R$244*2&gt;$T$244),0,IF(AND(L227=$S$244,$R$244*2&lt;$T$244),0,L7))</f>
        <v>8.0000000000000003E-10</v>
      </c>
      <c r="M234" s="147">
        <f>IF(AND(M227=$Q$244,$R$244*2&gt;$T$244),0,IF(AND(M227=$S$244,$R$244*2&lt;$T$244),0,M7))</f>
        <v>8.9999999999999999E-10</v>
      </c>
      <c r="N234" s="147">
        <f t="shared" si="156"/>
        <v>9.5000000000000003E-10</v>
      </c>
      <c r="P234" s="131" t="s">
        <v>1317</v>
      </c>
      <c r="Q234" s="145" t="str">
        <f>INDEX(I$1:M$1,MATCH(LARGE(Y234:AC234,1),Y234:AC234,0))</f>
        <v>數學延伸</v>
      </c>
      <c r="R234" s="88">
        <f>LARGE(Y234:AC234,1)</f>
        <v>1.0000000000000001E-9</v>
      </c>
      <c r="S234" s="145" t="str">
        <f>INDEX(W233:AC233,MATCH(LARGE(W235:AC235,1),W235:AC235,0))</f>
        <v>請選擇第四選修科</v>
      </c>
      <c r="T234" s="99">
        <f>LARGE(W235:AC235,1)</f>
        <v>8.9999999999999999E-10</v>
      </c>
      <c r="U234" s="145" t="str">
        <f>IF(R235+T235=2,INDEX(W233:AC233,MATCH(LARGE(W236:AC236,1),W236:AC236,0)),INDEX(W233:AC233,MATCH(LARGE(W235:AC235,2),W235:AC235,0)))</f>
        <v>請選擇第三選修科</v>
      </c>
      <c r="V234" s="99">
        <f>IF(R235+T235=2,LARGE(W236:AC236,1),LARGE(W235:AC235,2))</f>
        <v>8.0000000000000003E-10</v>
      </c>
      <c r="W234" s="131">
        <f>E7</f>
        <v>1E-10</v>
      </c>
      <c r="X234" s="131">
        <f>H7</f>
        <v>4.0000000000000001E-10</v>
      </c>
      <c r="Y234" s="131">
        <f>I7*2</f>
        <v>1.0000000000000001E-9</v>
      </c>
      <c r="Z234" s="131">
        <f>IF(OR(Z233="物理"),J7*2,IF(OR(Z233="生物",Z233="化學",Z233="組合科學(物理、化學)",Z233="組合科學(生物、化學)",Z233="組合科學(物理、生物)"),J7*1.5,J7))</f>
        <v>6E-10</v>
      </c>
      <c r="AA234" s="131">
        <f>IF(OR(AA233="物理"),K7*2,IF(OR(AA233="生物",AA233="化學",AA233="組合科學(物理、化學)",AA233="組合科學(生物、化學)",AA233="組合科學(物理、生物)"),K7*1.5,K7))</f>
        <v>6.9999999999999996E-10</v>
      </c>
      <c r="AB234" s="131">
        <f>IF(OR(AB233="物理"),L7*2,IF(OR(AB233="生物",AB233="化學",AB233="組合科學(物理、化學)",AB233="組合科學(生物、化學)",AB233="組合科學(物理、生物)"),L7*1.5,L7))</f>
        <v>8.0000000000000003E-10</v>
      </c>
      <c r="AC234" s="131">
        <f>IF(OR(AC233="物理"),M7*2,IF(OR(AC233="生物",AC233="化學",AC233="組合科學(物理、化學)",AC233="組合科學(生物、化學)",AC233="組合科學(物理、生物)"),M7*1.5,M7))</f>
        <v>8.9999999999999999E-10</v>
      </c>
      <c r="AD234" s="84" t="s">
        <v>1353</v>
      </c>
    </row>
    <row r="235" spans="1:35">
      <c r="A235" s="84" t="s">
        <v>572</v>
      </c>
      <c r="B235" s="84" t="s">
        <v>574</v>
      </c>
      <c r="C235" s="89" t="s">
        <v>627</v>
      </c>
      <c r="D235" s="84">
        <f>F235+G235+LARGE((E235,H235:M235),1)+LARGE((E235,H235:M235),2)+LARGE((E235,H235:M235),3)+LARGE((E235,H235:M235),4)</f>
        <v>4.0000000000000002E-9</v>
      </c>
      <c r="E235" s="84">
        <f>E7</f>
        <v>1E-10</v>
      </c>
      <c r="F235" s="84">
        <f>F7*2</f>
        <v>4.0000000000000001E-10</v>
      </c>
      <c r="G235" s="84">
        <f>G7*2</f>
        <v>6E-10</v>
      </c>
      <c r="H235" s="84">
        <f t="shared" ref="H235:M235" si="159">H7</f>
        <v>4.0000000000000001E-10</v>
      </c>
      <c r="I235" s="84">
        <f t="shared" si="159"/>
        <v>5.0000000000000003E-10</v>
      </c>
      <c r="J235" s="84">
        <f t="shared" si="159"/>
        <v>6E-10</v>
      </c>
      <c r="K235" s="84">
        <f t="shared" si="159"/>
        <v>6.9999999999999996E-10</v>
      </c>
      <c r="L235" s="84">
        <f t="shared" si="159"/>
        <v>8.0000000000000003E-10</v>
      </c>
      <c r="M235" s="84">
        <f t="shared" si="159"/>
        <v>8.9999999999999999E-10</v>
      </c>
      <c r="N235" s="84">
        <f t="shared" si="156"/>
        <v>9.5000000000000003E-10</v>
      </c>
      <c r="P235" s="131"/>
      <c r="Q235" s="131" t="s">
        <v>1356</v>
      </c>
      <c r="R235" s="131">
        <f>IF(OR(Q234="物理",Q234="化學",Q234="生物",Q234="數學延伸",Q234="組合科學(物理、化學)",Q234="組合科學(生物、化學)",Q234="組合科學(物理、生物)"),1,0)</f>
        <v>1</v>
      </c>
      <c r="S235" s="131"/>
      <c r="T235" s="204">
        <f>IF(OR(S234="物理",S234="化學",S234="生物",S234="數學延伸",S234="組合科學(物理、化學)",S234="組合科學(生物、化學)",S234="組合科學(物理、生物)"),1,0)</f>
        <v>0</v>
      </c>
      <c r="U235" s="131"/>
      <c r="V235" s="139" t="str">
        <f>IF(R235+T235=2,"無比重","有比重")</f>
        <v>有比重</v>
      </c>
      <c r="W235" s="131">
        <f t="shared" ref="W235:AC235" si="160">IF(W233=$Q$234,0,W234)</f>
        <v>1E-10</v>
      </c>
      <c r="X235" s="131">
        <f t="shared" si="160"/>
        <v>4.0000000000000001E-10</v>
      </c>
      <c r="Y235" s="131">
        <f t="shared" si="160"/>
        <v>0</v>
      </c>
      <c r="Z235" s="131">
        <f t="shared" si="160"/>
        <v>6E-10</v>
      </c>
      <c r="AA235" s="131">
        <f t="shared" si="160"/>
        <v>6.9999999999999996E-10</v>
      </c>
      <c r="AB235" s="131">
        <f>IF(AB233=$Q$234,0,AB234)</f>
        <v>8.0000000000000003E-10</v>
      </c>
      <c r="AC235" s="131">
        <f t="shared" si="160"/>
        <v>8.9999999999999999E-10</v>
      </c>
      <c r="AD235" s="84" t="s">
        <v>1354</v>
      </c>
    </row>
    <row r="236" spans="1:35">
      <c r="A236" s="84" t="s">
        <v>575</v>
      </c>
      <c r="B236" s="84" t="s">
        <v>577</v>
      </c>
      <c r="C236" s="89" t="s">
        <v>627</v>
      </c>
      <c r="D236" s="84">
        <f>F236+G236+LARGE((E236,H236:M236),1)+LARGE((E236,H236:M236),2)+LARGE((E236,H236:M236),3)+LARGE((E236,H236:M236),4)</f>
        <v>4.0000000000000002E-9</v>
      </c>
      <c r="E236" s="84">
        <f>E7</f>
        <v>1E-10</v>
      </c>
      <c r="F236" s="84">
        <f>F7*2</f>
        <v>4.0000000000000001E-10</v>
      </c>
      <c r="G236" s="84">
        <f>G7*2</f>
        <v>6E-10</v>
      </c>
      <c r="H236" s="84">
        <f t="shared" ref="H236:M236" si="161">H7</f>
        <v>4.0000000000000001E-10</v>
      </c>
      <c r="I236" s="84">
        <f t="shared" si="161"/>
        <v>5.0000000000000003E-10</v>
      </c>
      <c r="J236" s="84">
        <f t="shared" si="161"/>
        <v>6E-10</v>
      </c>
      <c r="K236" s="84">
        <f t="shared" si="161"/>
        <v>6.9999999999999996E-10</v>
      </c>
      <c r="L236" s="84">
        <f t="shared" si="161"/>
        <v>8.0000000000000003E-10</v>
      </c>
      <c r="M236" s="84">
        <f t="shared" si="161"/>
        <v>8.9999999999999999E-10</v>
      </c>
      <c r="N236" s="84">
        <f t="shared" si="156"/>
        <v>9.5000000000000003E-10</v>
      </c>
      <c r="P236" s="204"/>
      <c r="Q236" s="204"/>
      <c r="R236" s="204"/>
      <c r="S236" s="204"/>
      <c r="T236" s="205"/>
      <c r="U236" s="204"/>
      <c r="V236" s="204"/>
      <c r="W236" s="204">
        <f>IF(OR(W233=$Q$234,W233=$S$234),0,E7)</f>
        <v>1E-10</v>
      </c>
      <c r="X236" s="204">
        <f t="shared" ref="X236:AC236" si="162">IF(OR(X233=$Q$234,X233=$S$234),0,H7)</f>
        <v>4.0000000000000001E-10</v>
      </c>
      <c r="Y236" s="204">
        <f t="shared" si="162"/>
        <v>0</v>
      </c>
      <c r="Z236" s="204">
        <f t="shared" si="162"/>
        <v>6E-10</v>
      </c>
      <c r="AA236" s="204">
        <f t="shared" si="162"/>
        <v>6.9999999999999996E-10</v>
      </c>
      <c r="AB236" s="204">
        <f t="shared" si="162"/>
        <v>8.0000000000000003E-10</v>
      </c>
      <c r="AC236" s="204">
        <f t="shared" si="162"/>
        <v>0</v>
      </c>
      <c r="AD236" s="84" t="s">
        <v>1355</v>
      </c>
    </row>
    <row r="237" spans="1:35">
      <c r="A237" s="84" t="s">
        <v>578</v>
      </c>
      <c r="B237" s="84" t="s">
        <v>580</v>
      </c>
      <c r="C237" s="89" t="s">
        <v>781</v>
      </c>
      <c r="D237" s="84">
        <f>F237+G237+LARGE((E237,H237:M237),1)+LARGE((E237,H237:M237),2)+LARGE((E237,H237:M237),3)+LARGE((E237,H237:M237),4)</f>
        <v>4.1499999999999999E-9</v>
      </c>
      <c r="E237" s="84">
        <f>E7</f>
        <v>1E-10</v>
      </c>
      <c r="F237" s="84">
        <f>F7*2</f>
        <v>4.0000000000000001E-10</v>
      </c>
      <c r="G237" s="84">
        <f>G7*2</f>
        <v>6E-10</v>
      </c>
      <c r="H237" s="84">
        <f>H7</f>
        <v>4.0000000000000001E-10</v>
      </c>
      <c r="I237" s="84">
        <f>IF(I227=$Q$248,I7*1.5,I7)</f>
        <v>7.500000000000001E-10</v>
      </c>
      <c r="J237" s="84">
        <f>IF(J227=$Q$248,J7*1.5,J7)</f>
        <v>6E-10</v>
      </c>
      <c r="K237" s="84">
        <f>IF(K227=$Q$248,K7*1.5,K7)</f>
        <v>6.9999999999999996E-10</v>
      </c>
      <c r="L237" s="84">
        <f>IF(L227=$Q$248,L7*1.5,L7)</f>
        <v>8.0000000000000003E-10</v>
      </c>
      <c r="M237" s="84">
        <f>IF(M227=$Q$248,M7*1.5,M7)</f>
        <v>8.9999999999999999E-10</v>
      </c>
      <c r="N237" s="84">
        <f t="shared" si="156"/>
        <v>9.5000000000000003E-10</v>
      </c>
      <c r="P237" s="204"/>
      <c r="Q237" s="204"/>
      <c r="R237" s="204"/>
      <c r="S237" s="204"/>
      <c r="T237" s="205"/>
      <c r="U237" s="204"/>
      <c r="V237" s="204"/>
      <c r="W237" s="204"/>
      <c r="X237" s="204"/>
      <c r="Y237" s="204"/>
      <c r="Z237" s="204"/>
      <c r="AA237" s="204"/>
      <c r="AB237" s="204"/>
      <c r="AC237" s="204"/>
    </row>
    <row r="238" spans="1:35">
      <c r="A238" s="84" t="s">
        <v>581</v>
      </c>
      <c r="B238" s="84" t="s">
        <v>583</v>
      </c>
      <c r="C238" s="89" t="s">
        <v>627</v>
      </c>
      <c r="D238" s="84">
        <f>F238+G238+LARGE((E238,H238:M238),1)+LARGE((E238,H238:M238),2)+LARGE((E238,H238:M238),3)+LARGE((E238,H238:M238),4)</f>
        <v>4.0000000000000002E-9</v>
      </c>
      <c r="E238" s="84">
        <f>E7</f>
        <v>1E-10</v>
      </c>
      <c r="F238" s="84">
        <f>F7*2</f>
        <v>4.0000000000000001E-10</v>
      </c>
      <c r="G238" s="84">
        <f>G7*2</f>
        <v>6E-10</v>
      </c>
      <c r="H238" s="84">
        <f t="shared" ref="H238:M238" si="163">H7</f>
        <v>4.0000000000000001E-10</v>
      </c>
      <c r="I238" s="84">
        <f t="shared" si="163"/>
        <v>5.0000000000000003E-10</v>
      </c>
      <c r="J238" s="84">
        <f t="shared" si="163"/>
        <v>6E-10</v>
      </c>
      <c r="K238" s="84">
        <f t="shared" si="163"/>
        <v>6.9999999999999996E-10</v>
      </c>
      <c r="L238" s="84">
        <f t="shared" si="163"/>
        <v>8.0000000000000003E-10</v>
      </c>
      <c r="M238" s="84">
        <f t="shared" si="163"/>
        <v>8.9999999999999999E-10</v>
      </c>
      <c r="N238" s="84">
        <f t="shared" si="156"/>
        <v>9.5000000000000003E-10</v>
      </c>
      <c r="P238" s="131" t="s">
        <v>1318</v>
      </c>
      <c r="Q238" s="145" t="str">
        <f>INDEX(I$1:M$1,MATCH(LARGE(Y238:AC238,1),Y238:AC238,0))</f>
        <v>請選擇第四選修科</v>
      </c>
      <c r="R238" s="88">
        <f>LARGE(Y238:AC238,1)</f>
        <v>8.9999999999999999E-10</v>
      </c>
      <c r="S238" s="145" t="str">
        <f>INDEX(W233:AC233,MATCH(LARGE(W239:AC239,1),W239:AC239,0))</f>
        <v>請選擇第三選修科</v>
      </c>
      <c r="T238" s="99">
        <f>LARGE(W239:AC239,1)</f>
        <v>8.0000000000000003E-10</v>
      </c>
      <c r="U238" s="145" t="str">
        <f>IF(R239+T239=2,INDEX(W233:AC233,MATCH(LARGE(W240:AC240,1),W240:AC240,0)),INDEX(W233:AC233,MATCH(LARGE(W239:AC239,2),W239:AC239,0)))</f>
        <v>數學延伸</v>
      </c>
      <c r="V238" s="201">
        <f>IF(R239+T239=2,LARGE(W240:AC240,1),LARGE(W239:AC239,2))</f>
        <v>7.500000000000001E-10</v>
      </c>
      <c r="W238" s="131">
        <f>E7</f>
        <v>1E-10</v>
      </c>
      <c r="X238" s="131">
        <f>H7</f>
        <v>4.0000000000000001E-10</v>
      </c>
      <c r="Y238" s="131">
        <f>I7*1.5</f>
        <v>7.500000000000001E-10</v>
      </c>
      <c r="Z238" s="131">
        <f>IF(OR(Z233="生物",Z233="化學"),J7*2,IF(OR(Z233="物理",Z233="組合科學(物理、化學)",Z233="組合科學(生物、化學)",Z233="組合科學(物理、生物)"),J7*1.5,J7))</f>
        <v>6E-10</v>
      </c>
      <c r="AA238" s="131">
        <f>IF(OR(AA233="生物",AA233="化學"),K7*2,IF(OR(AA233="物理",AA233="組合科學(物理、化學)",AA233="組合科學(生物、化學)",AA233="組合科學(物理、生物)"),K7*1.5,K7))</f>
        <v>6.9999999999999996E-10</v>
      </c>
      <c r="AB238" s="131">
        <f>IF(OR(AB233="生物",AB233="化學"),L7*2,IF(OR(AB233="物理",AB233="組合科學(物理、化學)",AB233="組合科學(生物、化學)",AB233="組合科學(物理、生物)"),L7*1.5,L7))</f>
        <v>8.0000000000000003E-10</v>
      </c>
      <c r="AC238" s="131">
        <f>IF(OR(AC233="生物",AC233="化學"),M7*2,IF(OR(AC233="物理",AC233="組合科學(物理、化學)",AC233="組合科學(生物、化學)",AC233="組合科學(物理、生物)"),M7*1.5,M7))</f>
        <v>8.9999999999999999E-10</v>
      </c>
      <c r="AD238" s="198" t="s">
        <v>1353</v>
      </c>
      <c r="AE238" s="198"/>
      <c r="AF238" s="198"/>
      <c r="AG238" s="198"/>
      <c r="AH238" s="198"/>
      <c r="AI238" s="198"/>
    </row>
    <row r="239" spans="1:35">
      <c r="A239" s="84" t="s">
        <v>584</v>
      </c>
      <c r="B239" s="84" t="s">
        <v>586</v>
      </c>
      <c r="C239" s="89" t="s">
        <v>627</v>
      </c>
      <c r="D239" s="84">
        <f>F239+G239+LARGE((E239,H239:M239),1)+LARGE((E239,H239:M239),2)+LARGE((E239,H239:M239),3)+LARGE((E239,H239:M239),4)</f>
        <v>4.0000000000000002E-9</v>
      </c>
      <c r="E239" s="84">
        <f>E7</f>
        <v>1E-10</v>
      </c>
      <c r="F239" s="84">
        <f>F7*2</f>
        <v>4.0000000000000001E-10</v>
      </c>
      <c r="G239" s="84">
        <f>G7*2</f>
        <v>6E-10</v>
      </c>
      <c r="H239" s="84">
        <f t="shared" ref="H239:M239" si="164">H7</f>
        <v>4.0000000000000001E-10</v>
      </c>
      <c r="I239" s="84">
        <f t="shared" si="164"/>
        <v>5.0000000000000003E-10</v>
      </c>
      <c r="J239" s="84">
        <f t="shared" si="164"/>
        <v>6E-10</v>
      </c>
      <c r="K239" s="84">
        <f t="shared" si="164"/>
        <v>6.9999999999999996E-10</v>
      </c>
      <c r="L239" s="84">
        <f t="shared" si="164"/>
        <v>8.0000000000000003E-10</v>
      </c>
      <c r="M239" s="84">
        <f t="shared" si="164"/>
        <v>8.9999999999999999E-10</v>
      </c>
      <c r="N239" s="84">
        <f t="shared" si="156"/>
        <v>9.5000000000000003E-10</v>
      </c>
      <c r="P239" s="131"/>
      <c r="Q239" s="204" t="s">
        <v>1356</v>
      </c>
      <c r="R239" s="204">
        <f>IF(OR(Q238="物理",Q238="化學",Q238="生物",Q238="數學延伸",Q238="組合科學(物理、化學)",Q238="組合科學(生物、化學)",Q238="組合科學(物理、生物)"),1,0)</f>
        <v>0</v>
      </c>
      <c r="S239" s="131"/>
      <c r="T239" s="204">
        <f>IF(OR(S238="物理",S238="化學",S238="生物",S238="數學延伸",S238="組合科學(物理、化學)",S238="組合科學(生物、化學)",S238="組合科學(物理、生物)"),1,0)</f>
        <v>0</v>
      </c>
      <c r="U239" s="131"/>
      <c r="V239" s="131" t="str">
        <f>IF(R239+T239=2,"無比重","有比重")</f>
        <v>有比重</v>
      </c>
      <c r="W239" s="131">
        <f t="shared" ref="W239:AC239" si="165">IF(W233=$Q$238,0,W238)</f>
        <v>1E-10</v>
      </c>
      <c r="X239" s="131">
        <f t="shared" si="165"/>
        <v>4.0000000000000001E-10</v>
      </c>
      <c r="Y239" s="131">
        <f t="shared" si="165"/>
        <v>7.500000000000001E-10</v>
      </c>
      <c r="Z239" s="131">
        <f t="shared" si="165"/>
        <v>6E-10</v>
      </c>
      <c r="AA239" s="131">
        <f t="shared" si="165"/>
        <v>6.9999999999999996E-10</v>
      </c>
      <c r="AB239" s="131">
        <f t="shared" si="165"/>
        <v>8.0000000000000003E-10</v>
      </c>
      <c r="AC239" s="131">
        <f t="shared" si="165"/>
        <v>0</v>
      </c>
      <c r="AD239" s="198" t="s">
        <v>1354</v>
      </c>
    </row>
    <row r="240" spans="1:35">
      <c r="A240" s="84" t="s">
        <v>587</v>
      </c>
      <c r="B240" s="84" t="s">
        <v>589</v>
      </c>
      <c r="C240" s="89" t="s">
        <v>627</v>
      </c>
      <c r="D240" s="84">
        <f>F240+G240+LARGE((E240,H240:M240),1)+LARGE((E240,H240:M240),2)+LARGE((E240,H240:M240),3)+LARGE((E240,H240:M240),4)</f>
        <v>4.0000000000000002E-9</v>
      </c>
      <c r="E240" s="84">
        <f>E7</f>
        <v>1E-10</v>
      </c>
      <c r="F240" s="84">
        <f>F7*2</f>
        <v>4.0000000000000001E-10</v>
      </c>
      <c r="G240" s="84">
        <f>G7*2</f>
        <v>6E-10</v>
      </c>
      <c r="H240" s="84">
        <f t="shared" ref="H240:M240" si="166">H7</f>
        <v>4.0000000000000001E-10</v>
      </c>
      <c r="I240" s="84">
        <f t="shared" si="166"/>
        <v>5.0000000000000003E-10</v>
      </c>
      <c r="J240" s="84">
        <f t="shared" si="166"/>
        <v>6E-10</v>
      </c>
      <c r="K240" s="84">
        <f t="shared" si="166"/>
        <v>6.9999999999999996E-10</v>
      </c>
      <c r="L240" s="84">
        <f t="shared" si="166"/>
        <v>8.0000000000000003E-10</v>
      </c>
      <c r="M240" s="84">
        <f t="shared" si="166"/>
        <v>8.9999999999999999E-10</v>
      </c>
      <c r="N240" s="84">
        <f t="shared" si="156"/>
        <v>9.5000000000000003E-10</v>
      </c>
      <c r="P240" s="204"/>
      <c r="Q240" s="204"/>
      <c r="R240" s="204"/>
      <c r="S240" s="204"/>
      <c r="T240" s="205"/>
      <c r="U240" s="204"/>
      <c r="V240" s="204"/>
      <c r="W240" s="204">
        <f>IF(OR(W$233=$Q$238,W$233=$S$238),0,E$7)</f>
        <v>1E-10</v>
      </c>
      <c r="X240" s="204">
        <f t="shared" ref="X240:AC240" si="167">IF(OR(X$233=$Q$238,X$233=$S$238),0,H$7)</f>
        <v>4.0000000000000001E-10</v>
      </c>
      <c r="Y240" s="204">
        <f t="shared" si="167"/>
        <v>5.0000000000000003E-10</v>
      </c>
      <c r="Z240" s="204">
        <f t="shared" si="167"/>
        <v>6E-10</v>
      </c>
      <c r="AA240" s="204">
        <f t="shared" si="167"/>
        <v>6.9999999999999996E-10</v>
      </c>
      <c r="AB240" s="204">
        <f t="shared" si="167"/>
        <v>0</v>
      </c>
      <c r="AC240" s="204">
        <f t="shared" si="167"/>
        <v>0</v>
      </c>
      <c r="AD240" s="198" t="s">
        <v>1355</v>
      </c>
    </row>
    <row r="241" spans="1:36">
      <c r="A241" s="84" t="s">
        <v>590</v>
      </c>
      <c r="B241" s="84" t="s">
        <v>592</v>
      </c>
      <c r="C241" s="89" t="s">
        <v>627</v>
      </c>
      <c r="D241" s="84">
        <f>F241+G241+LARGE((E241,H241:M241),1)+LARGE((E241,H241:M241),2)+LARGE((E241,H241:M241),3)+LARGE((E241,H241:M241),4)</f>
        <v>4.0000000000000002E-9</v>
      </c>
      <c r="E241" s="84">
        <f>E7</f>
        <v>1E-10</v>
      </c>
      <c r="F241" s="84">
        <f>F7*2</f>
        <v>4.0000000000000001E-10</v>
      </c>
      <c r="G241" s="84">
        <f>G7*2</f>
        <v>6E-10</v>
      </c>
      <c r="H241" s="84">
        <f t="shared" ref="H241:M241" si="168">H7</f>
        <v>4.0000000000000001E-10</v>
      </c>
      <c r="I241" s="84">
        <f t="shared" si="168"/>
        <v>5.0000000000000003E-10</v>
      </c>
      <c r="J241" s="84">
        <f t="shared" si="168"/>
        <v>6E-10</v>
      </c>
      <c r="K241" s="84">
        <f t="shared" si="168"/>
        <v>6.9999999999999996E-10</v>
      </c>
      <c r="L241" s="84">
        <f t="shared" si="168"/>
        <v>8.0000000000000003E-10</v>
      </c>
      <c r="M241" s="84">
        <f t="shared" si="168"/>
        <v>8.9999999999999999E-10</v>
      </c>
      <c r="N241" s="84">
        <f t="shared" si="156"/>
        <v>9.5000000000000003E-10</v>
      </c>
      <c r="P241" s="204"/>
      <c r="Q241" s="204"/>
      <c r="R241" s="204"/>
      <c r="S241" s="204"/>
      <c r="T241" s="205"/>
      <c r="U241" s="204"/>
      <c r="V241" s="204"/>
      <c r="W241" s="204"/>
      <c r="X241" s="204"/>
      <c r="Y241" s="204"/>
      <c r="Z241" s="204"/>
      <c r="AA241" s="204"/>
      <c r="AB241" s="204"/>
      <c r="AC241" s="204"/>
    </row>
    <row r="242" spans="1:36">
      <c r="A242" s="84" t="s">
        <v>593</v>
      </c>
      <c r="B242" s="84" t="s">
        <v>595</v>
      </c>
      <c r="C242" s="89" t="s">
        <v>627</v>
      </c>
      <c r="D242" s="84">
        <f>F242+G242+LARGE((E242,H242:M242),1)+LARGE((E242,H242:M242),2)+LARGE((E242,H242:M242),3)+LARGE((E242,H242:M242),4)</f>
        <v>4.0000000000000002E-9</v>
      </c>
      <c r="E242" s="84">
        <f>E7</f>
        <v>1E-10</v>
      </c>
      <c r="F242" s="84">
        <f>F7*2</f>
        <v>4.0000000000000001E-10</v>
      </c>
      <c r="G242" s="84">
        <f>G7*2</f>
        <v>6E-10</v>
      </c>
      <c r="H242" s="84">
        <f t="shared" ref="H242:M242" si="169">H7</f>
        <v>4.0000000000000001E-10</v>
      </c>
      <c r="I242" s="84">
        <f t="shared" si="169"/>
        <v>5.0000000000000003E-10</v>
      </c>
      <c r="J242" s="84">
        <f t="shared" si="169"/>
        <v>6E-10</v>
      </c>
      <c r="K242" s="84">
        <f t="shared" si="169"/>
        <v>6.9999999999999996E-10</v>
      </c>
      <c r="L242" s="84">
        <f t="shared" si="169"/>
        <v>8.0000000000000003E-10</v>
      </c>
      <c r="M242" s="84">
        <f t="shared" si="169"/>
        <v>8.9999999999999999E-10</v>
      </c>
      <c r="N242" s="84">
        <f t="shared" si="156"/>
        <v>9.5000000000000003E-10</v>
      </c>
    </row>
    <row r="243" spans="1:36">
      <c r="A243" s="84" t="s">
        <v>596</v>
      </c>
      <c r="B243" s="84" t="s">
        <v>598</v>
      </c>
      <c r="C243" s="89" t="s">
        <v>627</v>
      </c>
      <c r="D243" s="84">
        <f>F243+G243+LARGE((E243,H243:M243),1)+LARGE((E243,H243:M243),2)+LARGE((E243,H243:M243),3)+LARGE((E243,H243:M243),4)</f>
        <v>4.0000000000000002E-9</v>
      </c>
      <c r="E243" s="84">
        <f>E7</f>
        <v>1E-10</v>
      </c>
      <c r="F243" s="84">
        <f>F7*2</f>
        <v>4.0000000000000001E-10</v>
      </c>
      <c r="G243" s="84">
        <f>G7*2</f>
        <v>6E-10</v>
      </c>
      <c r="H243" s="84">
        <f t="shared" ref="H243:M243" si="170">H7</f>
        <v>4.0000000000000001E-10</v>
      </c>
      <c r="I243" s="84">
        <f t="shared" si="170"/>
        <v>5.0000000000000003E-10</v>
      </c>
      <c r="J243" s="84">
        <f t="shared" si="170"/>
        <v>6E-10</v>
      </c>
      <c r="K243" s="84">
        <f t="shared" si="170"/>
        <v>6.9999999999999996E-10</v>
      </c>
      <c r="L243" s="84">
        <f t="shared" si="170"/>
        <v>8.0000000000000003E-10</v>
      </c>
      <c r="M243" s="84">
        <f t="shared" si="170"/>
        <v>8.9999999999999999E-10</v>
      </c>
      <c r="N243" s="84">
        <f t="shared" si="156"/>
        <v>9.5000000000000003E-10</v>
      </c>
      <c r="P243" s="131"/>
      <c r="Q243" s="143" t="s">
        <v>1331</v>
      </c>
      <c r="R243" s="131"/>
      <c r="S243" s="131"/>
      <c r="T243" s="139"/>
      <c r="U243" s="131"/>
    </row>
    <row r="244" spans="1:36">
      <c r="A244" s="84" t="s">
        <v>599</v>
      </c>
      <c r="B244" s="84" t="s">
        <v>601</v>
      </c>
      <c r="C244" s="89" t="s">
        <v>781</v>
      </c>
      <c r="D244" s="84">
        <f>F244+G244+LARGE((E244,H244:M244),1)+LARGE((E244,H244:M244),2)+LARGE((E244,H244:M244),3)+LARGE((E244,H244:M244),4)</f>
        <v>4.1499999999999999E-9</v>
      </c>
      <c r="E244" s="84">
        <f>E7</f>
        <v>1E-10</v>
      </c>
      <c r="F244" s="84">
        <f>F7*2</f>
        <v>4.0000000000000001E-10</v>
      </c>
      <c r="G244" s="84">
        <f>G7*2</f>
        <v>6E-10</v>
      </c>
      <c r="H244" s="84">
        <f>H7</f>
        <v>4.0000000000000001E-10</v>
      </c>
      <c r="I244" s="84">
        <f>IF(I227=$Q$248,I7*1.5,I7)</f>
        <v>7.500000000000001E-10</v>
      </c>
      <c r="J244" s="84">
        <f>IF(J227=$Q$248,J7*1.5,J7)</f>
        <v>6E-10</v>
      </c>
      <c r="K244" s="84">
        <f>IF(K227=$Q$248,K7*1.5,K7)</f>
        <v>6.9999999999999996E-10</v>
      </c>
      <c r="L244" s="84">
        <f>IF(L227=$Q$248,L7*1.5,L7)</f>
        <v>8.0000000000000003E-10</v>
      </c>
      <c r="M244" s="84">
        <f>IF(M227=$Q$248,M7*1.5,M7)</f>
        <v>8.9999999999999999E-10</v>
      </c>
      <c r="N244" s="84">
        <f t="shared" si="156"/>
        <v>9.5000000000000003E-10</v>
      </c>
      <c r="P244" s="131" t="s">
        <v>1340</v>
      </c>
      <c r="Q244" s="145" t="str">
        <f>INDEX(J$1:M$1,MATCH(LARGE(S141:V141,1),S141:V141,0))</f>
        <v>請選擇第一選修科</v>
      </c>
      <c r="R244" s="148">
        <f>LARGE((S141:V141),1)</f>
        <v>0</v>
      </c>
      <c r="S244" s="145" t="str">
        <f>INDEX(J$1:M$1,MATCH(LARGE(S142:V142,1),S142:V142,0))</f>
        <v>請選擇第一選修科</v>
      </c>
      <c r="T244" s="149">
        <f>IF(R244=0,LARGE((S142:V142),1),0)</f>
        <v>0</v>
      </c>
      <c r="U244" s="131"/>
      <c r="AE244" s="198"/>
      <c r="AF244" s="198"/>
      <c r="AG244" s="198"/>
      <c r="AH244" s="198"/>
      <c r="AI244" s="198"/>
    </row>
    <row r="245" spans="1:36">
      <c r="A245" s="84" t="s">
        <v>602</v>
      </c>
      <c r="B245" s="84" t="s">
        <v>604</v>
      </c>
      <c r="C245" s="89" t="s">
        <v>781</v>
      </c>
      <c r="D245" s="84">
        <f>F245+G245+LARGE((E245,H245:M245),1)+LARGE((E245,H245:M245),2)+LARGE((E245,H245:M245),3)+LARGE((E245,H245:M245),4)</f>
        <v>4.1499999999999999E-9</v>
      </c>
      <c r="E245" s="84">
        <f>E7</f>
        <v>1E-10</v>
      </c>
      <c r="F245" s="84">
        <f>F7*2</f>
        <v>4.0000000000000001E-10</v>
      </c>
      <c r="G245" s="84">
        <f>G7*2</f>
        <v>6E-10</v>
      </c>
      <c r="H245" s="84">
        <f>H7</f>
        <v>4.0000000000000001E-10</v>
      </c>
      <c r="I245" s="84">
        <f>IF(I227=$T$248,I7*1.5,I7)</f>
        <v>7.500000000000001E-10</v>
      </c>
      <c r="J245" s="84">
        <f>IF(J227=$Q$248,J7*1.5,J7)</f>
        <v>6E-10</v>
      </c>
      <c r="K245" s="84">
        <f>IF(K227=$Q$248,K7*1.5,K7)</f>
        <v>6.9999999999999996E-10</v>
      </c>
      <c r="L245" s="84">
        <f>IF(L227=$Q$248,L7*1.5,L7)</f>
        <v>8.0000000000000003E-10</v>
      </c>
      <c r="M245" s="84">
        <f>IF(M227=$Q$248,M7*1.5,M7)</f>
        <v>8.9999999999999999E-10</v>
      </c>
      <c r="N245" s="84">
        <f t="shared" si="156"/>
        <v>9.5000000000000003E-10</v>
      </c>
      <c r="P245" s="131"/>
      <c r="Q245" s="143" t="s">
        <v>1332</v>
      </c>
      <c r="R245" s="131"/>
      <c r="S245" s="131"/>
      <c r="T245" s="131"/>
      <c r="U245" s="131"/>
    </row>
    <row r="246" spans="1:36">
      <c r="A246" s="84" t="s">
        <v>605</v>
      </c>
      <c r="B246" s="84" t="s">
        <v>607</v>
      </c>
      <c r="C246" s="89" t="s">
        <v>628</v>
      </c>
      <c r="D246" s="84">
        <f>E246+F246+LARGE((G246:M246),1)+LARGE((G246:M246),2)+LARGE((G246:M246),3)+LARGE((G246:M246),4)</f>
        <v>3.5499999999999999E-9</v>
      </c>
      <c r="E246" s="84">
        <f>E7*1.5</f>
        <v>1.5E-10</v>
      </c>
      <c r="F246" s="84">
        <f>F7*2</f>
        <v>4.0000000000000001E-10</v>
      </c>
      <c r="G246" s="84">
        <f t="shared" ref="G246:M246" si="171">G7</f>
        <v>3E-10</v>
      </c>
      <c r="H246" s="84">
        <f t="shared" si="171"/>
        <v>4.0000000000000001E-10</v>
      </c>
      <c r="I246" s="84">
        <f t="shared" si="171"/>
        <v>5.0000000000000003E-10</v>
      </c>
      <c r="J246" s="84">
        <f t="shared" si="171"/>
        <v>6E-10</v>
      </c>
      <c r="K246" s="84">
        <f t="shared" si="171"/>
        <v>6.9999999999999996E-10</v>
      </c>
      <c r="L246" s="84">
        <f t="shared" si="171"/>
        <v>8.0000000000000003E-10</v>
      </c>
      <c r="M246" s="84">
        <f t="shared" si="171"/>
        <v>8.9999999999999999E-10</v>
      </c>
      <c r="N246" s="84">
        <f t="shared" si="156"/>
        <v>9.5000000000000003E-10</v>
      </c>
      <c r="P246" s="131" t="s">
        <v>1330</v>
      </c>
      <c r="Q246" s="145" t="str">
        <f>INDEX(J$1:M$1,MATCH(LARGE(S143:V143,1),S143:V143,0))</f>
        <v>請選擇第一選修科</v>
      </c>
      <c r="R246" s="148">
        <f>LARGE((S143:V143),1)</f>
        <v>0</v>
      </c>
      <c r="S246" s="131"/>
      <c r="T246" s="131"/>
      <c r="U246" s="131"/>
    </row>
    <row r="247" spans="1:36">
      <c r="A247" s="84" t="s">
        <v>608</v>
      </c>
      <c r="B247" s="84" t="s">
        <v>610</v>
      </c>
      <c r="C247" s="89" t="s">
        <v>627</v>
      </c>
      <c r="D247" s="84">
        <f>F247+G247+LARGE((E247,H247:M247),1)+LARGE((E247,H247:M247),2)+LARGE((E247,H247:M247),3)+LARGE((E247,H247:M247),4)</f>
        <v>4.1499999999999999E-9</v>
      </c>
      <c r="E247" s="84">
        <f>E7</f>
        <v>1E-10</v>
      </c>
      <c r="F247" s="84">
        <f>F7*2</f>
        <v>4.0000000000000001E-10</v>
      </c>
      <c r="G247" s="84">
        <f>G7*2</f>
        <v>6E-10</v>
      </c>
      <c r="H247" s="84">
        <f>H7</f>
        <v>4.0000000000000001E-10</v>
      </c>
      <c r="I247" s="84">
        <f>I7*1.5</f>
        <v>7.500000000000001E-10</v>
      </c>
      <c r="J247" s="84">
        <f>J7</f>
        <v>6E-10</v>
      </c>
      <c r="K247" s="84">
        <f>K7</f>
        <v>6.9999999999999996E-10</v>
      </c>
      <c r="L247" s="84">
        <f>L7</f>
        <v>8.0000000000000003E-10</v>
      </c>
      <c r="M247" s="84">
        <f>M7</f>
        <v>8.9999999999999999E-10</v>
      </c>
      <c r="N247" s="84">
        <f t="shared" si="156"/>
        <v>9.5000000000000003E-10</v>
      </c>
      <c r="P247" s="131"/>
      <c r="Q247" s="131" t="s">
        <v>1333</v>
      </c>
      <c r="R247" s="131"/>
      <c r="S247" s="131"/>
      <c r="T247" s="139"/>
      <c r="U247" s="131"/>
    </row>
    <row r="248" spans="1:36">
      <c r="A248" s="147" t="s">
        <v>611</v>
      </c>
      <c r="B248" s="84" t="s">
        <v>613</v>
      </c>
      <c r="C248" s="89" t="s">
        <v>627</v>
      </c>
      <c r="D248" s="84">
        <f>F248+G248+R250+LARGE((E248,H248:M248),1)+LARGE((E248,H248:M248),2)+LARGE((E248,H248:M248),3)</f>
        <v>3.4000000000000003E-9</v>
      </c>
      <c r="E248" s="84">
        <f>E7</f>
        <v>1E-10</v>
      </c>
      <c r="F248" s="84">
        <f>F7*2</f>
        <v>4.0000000000000001E-10</v>
      </c>
      <c r="G248" s="84">
        <f>G7*2</f>
        <v>6E-10</v>
      </c>
      <c r="H248" s="84">
        <f>H7</f>
        <v>4.0000000000000001E-10</v>
      </c>
      <c r="I248" s="84">
        <f>I7</f>
        <v>5.0000000000000003E-10</v>
      </c>
      <c r="J248" s="84">
        <f>IF(J227=$Q$250,0,J7)</f>
        <v>6E-10</v>
      </c>
      <c r="K248" s="84">
        <f>IF(K227=$Q$250,0,K7)</f>
        <v>6.9999999999999996E-10</v>
      </c>
      <c r="L248" s="84">
        <f>IF(L227=$Q$250,0,L7)</f>
        <v>8.0000000000000003E-10</v>
      </c>
      <c r="M248" s="84">
        <f>IF(M227=$Q$250,0,M7)</f>
        <v>8.9999999999999999E-10</v>
      </c>
      <c r="N248" s="84">
        <f t="shared" si="156"/>
        <v>9.5000000000000003E-10</v>
      </c>
      <c r="P248" s="131" t="s">
        <v>1334</v>
      </c>
      <c r="Q248" s="145" t="str">
        <f>IF(OR(T248="物理",T248="化學",T248="經濟",T248="數學延伸"),T248,0)</f>
        <v>數學延伸</v>
      </c>
      <c r="R248" s="149">
        <f>LARGE((R144:V144),1)</f>
        <v>5.0000000000000003E-10</v>
      </c>
      <c r="S248" s="131"/>
      <c r="T248" s="131" t="str">
        <f>INDEX(I$1:M$1,MATCH(LARGE(R144:V144,1),R144:V144,0))</f>
        <v>數學延伸</v>
      </c>
      <c r="U248" s="131"/>
    </row>
    <row r="249" spans="1:36">
      <c r="A249" s="84" t="s">
        <v>614</v>
      </c>
      <c r="B249" s="84" t="s">
        <v>616</v>
      </c>
      <c r="C249" s="89" t="s">
        <v>627</v>
      </c>
      <c r="D249" s="84">
        <f>F249+G249+LARGE((E249,H249:M249),1)+LARGE((E249,H249:M249),2)+LARGE((E249,H249:M249),3)+LARGE((E249,H249:M249),4)</f>
        <v>4.0000000000000002E-9</v>
      </c>
      <c r="E249" s="84">
        <f>E7</f>
        <v>1E-10</v>
      </c>
      <c r="F249" s="84">
        <f>F7*2</f>
        <v>4.0000000000000001E-10</v>
      </c>
      <c r="G249" s="84">
        <f>G7*2</f>
        <v>6E-10</v>
      </c>
      <c r="H249" s="84">
        <f t="shared" ref="H249:M249" si="172">H7</f>
        <v>4.0000000000000001E-10</v>
      </c>
      <c r="I249" s="84">
        <f t="shared" si="172"/>
        <v>5.0000000000000003E-10</v>
      </c>
      <c r="J249" s="84">
        <f t="shared" si="172"/>
        <v>6E-10</v>
      </c>
      <c r="K249" s="84">
        <f t="shared" si="172"/>
        <v>6.9999999999999996E-10</v>
      </c>
      <c r="L249" s="84">
        <f t="shared" si="172"/>
        <v>8.0000000000000003E-10</v>
      </c>
      <c r="M249" s="84">
        <f t="shared" si="172"/>
        <v>8.9999999999999999E-10</v>
      </c>
      <c r="N249" s="84">
        <f t="shared" si="156"/>
        <v>9.5000000000000003E-10</v>
      </c>
      <c r="P249" s="131"/>
      <c r="Q249" s="131" t="s">
        <v>1336</v>
      </c>
      <c r="R249" s="131"/>
      <c r="S249" s="131"/>
      <c r="T249" s="139"/>
      <c r="U249" s="131"/>
    </row>
    <row r="250" spans="1:36">
      <c r="A250" s="84" t="s">
        <v>617</v>
      </c>
      <c r="B250" s="84" t="s">
        <v>618</v>
      </c>
      <c r="C250" s="89" t="s">
        <v>627</v>
      </c>
      <c r="D250" s="84">
        <f>F250+G250+R252+LARGE((E250,H250:M250),1)+LARGE((E250,H250:M250),2)+LARGE((E250,H250:M250),3)</f>
        <v>4.4000000000000005E-9</v>
      </c>
      <c r="E250" s="84">
        <f>E7</f>
        <v>1E-10</v>
      </c>
      <c r="F250" s="84">
        <f>F7*2</f>
        <v>4.0000000000000001E-10</v>
      </c>
      <c r="G250" s="84">
        <f>G7*2</f>
        <v>6E-10</v>
      </c>
      <c r="H250" s="84">
        <f>H7</f>
        <v>4.0000000000000001E-10</v>
      </c>
      <c r="I250" s="84">
        <f>IF(I227=$Q$252,0,I7)</f>
        <v>0</v>
      </c>
      <c r="J250" s="84">
        <f>IF(J227=$Q$252,0,J7)</f>
        <v>6E-10</v>
      </c>
      <c r="K250" s="84">
        <f>IF(K227=$Q$252,0,K7)</f>
        <v>6.9999999999999996E-10</v>
      </c>
      <c r="L250" s="84">
        <f>IF(L227=$Q$252,0,L7)</f>
        <v>8.0000000000000003E-10</v>
      </c>
      <c r="M250" s="84">
        <f>IF(M227=$Q$252,0,M7)</f>
        <v>8.9999999999999999E-10</v>
      </c>
      <c r="N250" s="84">
        <f t="shared" si="156"/>
        <v>9.5000000000000003E-10</v>
      </c>
      <c r="P250" s="143" t="s">
        <v>1335</v>
      </c>
      <c r="Q250" s="145">
        <f>IF(OR(T250="化學",T250="生物"),T250,0)</f>
        <v>0</v>
      </c>
      <c r="R250" s="149">
        <f>LARGE((R146:V146),1)*1.5</f>
        <v>0</v>
      </c>
      <c r="S250" s="139"/>
      <c r="T250" s="131" t="str">
        <f>INDEX(I$1:M$1,MATCH(LARGE(R146:V146,1),R146:V146,0))</f>
        <v>請選擇第一選修科</v>
      </c>
      <c r="U250" s="131"/>
    </row>
    <row r="251" spans="1:36">
      <c r="A251" s="84" t="s">
        <v>619</v>
      </c>
      <c r="B251" s="84" t="s">
        <v>621</v>
      </c>
      <c r="C251" s="89" t="s">
        <v>627</v>
      </c>
      <c r="D251" s="84">
        <f>F251+G251+LARGE((E251,H251:M251),1)+LARGE((E251,H251:M251),2)+LARGE((E251,H251:M251),3)+LARGE((E251,H251:M251),4)</f>
        <v>4.1499999999999999E-9</v>
      </c>
      <c r="E251" s="84">
        <f>E7</f>
        <v>1E-10</v>
      </c>
      <c r="F251" s="84">
        <f>F7*2</f>
        <v>4.0000000000000001E-10</v>
      </c>
      <c r="G251" s="84">
        <f>G7*2</f>
        <v>6E-10</v>
      </c>
      <c r="H251" s="84">
        <f>H7</f>
        <v>4.0000000000000001E-10</v>
      </c>
      <c r="I251" s="84">
        <f>I7*1.5</f>
        <v>7.500000000000001E-10</v>
      </c>
      <c r="J251" s="84">
        <f>J7</f>
        <v>6E-10</v>
      </c>
      <c r="K251" s="84">
        <f>K7</f>
        <v>6.9999999999999996E-10</v>
      </c>
      <c r="L251" s="84">
        <f>L7</f>
        <v>8.0000000000000003E-10</v>
      </c>
      <c r="M251" s="84">
        <f>M7</f>
        <v>8.9999999999999999E-10</v>
      </c>
      <c r="N251" s="84">
        <f t="shared" si="156"/>
        <v>9.5000000000000003E-10</v>
      </c>
      <c r="P251" s="131"/>
      <c r="Q251" s="131" t="s">
        <v>1339</v>
      </c>
      <c r="R251" s="131"/>
      <c r="S251" s="139"/>
      <c r="T251" s="139"/>
      <c r="U251" s="131"/>
    </row>
    <row r="252" spans="1:36">
      <c r="A252" s="84" t="s">
        <v>622</v>
      </c>
      <c r="B252" s="84" t="s">
        <v>623</v>
      </c>
      <c r="C252" s="89" t="s">
        <v>781</v>
      </c>
      <c r="D252" s="84">
        <f>IF(R244*2&gt;T244,R244*2+LARGE((E252,H252:M252),1)+LARGE((E252,H252:M252),2)+LARGE((E252,H252:M252),3)+F252+G252,T244+LARGE((E252,H252:M252),1)+LARGE((E252,H252:M252),2)+LARGE((G252,H252:M252),3)+F252+G252)</f>
        <v>3.4499999999999999E-9</v>
      </c>
      <c r="E252" s="84">
        <f>E7</f>
        <v>1E-10</v>
      </c>
      <c r="F252" s="84">
        <f>F7*2</f>
        <v>4.0000000000000001E-10</v>
      </c>
      <c r="G252" s="84">
        <f>G7*2</f>
        <v>6E-10</v>
      </c>
      <c r="H252" s="84">
        <f>H7</f>
        <v>4.0000000000000001E-10</v>
      </c>
      <c r="I252" s="84">
        <f>I7*1.5</f>
        <v>7.500000000000001E-10</v>
      </c>
      <c r="J252" s="84">
        <f>IF(J227=$Q$229,0,J7)</f>
        <v>6E-10</v>
      </c>
      <c r="K252" s="84">
        <f>IF(K227=$Q$229,0,K7)</f>
        <v>6.9999999999999996E-10</v>
      </c>
      <c r="L252" s="84">
        <f>IF(L227=$Q$229,0,L7)</f>
        <v>8.0000000000000003E-10</v>
      </c>
      <c r="M252" s="84">
        <f>IF(M227=$Q$229,0,M7)</f>
        <v>8.9999999999999999E-10</v>
      </c>
      <c r="N252" s="84">
        <f t="shared" si="156"/>
        <v>9.5000000000000003E-10</v>
      </c>
      <c r="P252" s="131" t="s">
        <v>1337</v>
      </c>
      <c r="Q252" s="145" t="str">
        <f>IF(OR(T252="數學延伸",T252="物理",T252="化學",T252="生物",T252="經濟",T252="組合科學(物理、化學)",T252="組合科學(生物、化學)",T252="組合科學(物理、生物)"),T252,0)</f>
        <v>數學延伸</v>
      </c>
      <c r="R252" s="149">
        <f>IF(Q252="數學延伸",U252*2,U252*1.5)</f>
        <v>1.0000000000000001E-9</v>
      </c>
      <c r="S252" s="131"/>
      <c r="T252" s="131" t="str">
        <f>INDEX(I$1:M$1,MATCH(LARGE(R147:V147,1),R147:V147,0))</f>
        <v>數學延伸</v>
      </c>
      <c r="U252" s="131">
        <f>LARGE((R147:V147),1)</f>
        <v>5.0000000000000003E-10</v>
      </c>
    </row>
    <row r="253" spans="1:36">
      <c r="C253" s="89"/>
      <c r="L253" s="84"/>
      <c r="M253" s="84"/>
    </row>
    <row r="254" spans="1:36">
      <c r="A254" s="86"/>
      <c r="E254" s="84" t="s">
        <v>551</v>
      </c>
      <c r="F254" s="84" t="s">
        <v>552</v>
      </c>
      <c r="G254" s="84" t="s">
        <v>553</v>
      </c>
      <c r="H254" s="84" t="s">
        <v>554</v>
      </c>
      <c r="I254" s="84" t="s">
        <v>555</v>
      </c>
      <c r="J254" s="84" t="s">
        <v>556</v>
      </c>
      <c r="K254" s="84" t="s">
        <v>557</v>
      </c>
      <c r="L254" s="84" t="s">
        <v>558</v>
      </c>
      <c r="M254" s="84" t="s">
        <v>559</v>
      </c>
      <c r="N254" s="84" t="s">
        <v>560</v>
      </c>
      <c r="P254" s="83" t="s">
        <v>392</v>
      </c>
      <c r="Q254" s="83" t="s">
        <v>390</v>
      </c>
      <c r="R254" s="197" t="s">
        <v>1347</v>
      </c>
      <c r="T254" s="197" t="s">
        <v>1348</v>
      </c>
      <c r="V254" s="197" t="s">
        <v>2459</v>
      </c>
      <c r="AJ254" s="198"/>
    </row>
    <row r="255" spans="1:36">
      <c r="A255" s="202" t="s">
        <v>389</v>
      </c>
      <c r="C255" s="153"/>
      <c r="D255" s="83" t="s">
        <v>194</v>
      </c>
      <c r="E255" s="83" t="s">
        <v>2</v>
      </c>
      <c r="F255" s="83" t="s">
        <v>1</v>
      </c>
      <c r="G255" s="83" t="s">
        <v>3</v>
      </c>
      <c r="H255" s="86" t="s">
        <v>4</v>
      </c>
      <c r="I255" s="83" t="s">
        <v>63</v>
      </c>
      <c r="J255" s="83" t="str">
        <f>J1</f>
        <v>請選擇第一選修科</v>
      </c>
      <c r="K255" s="83" t="str">
        <f>K1</f>
        <v>請選擇第二選修科</v>
      </c>
      <c r="L255" s="87" t="str">
        <f>L1</f>
        <v>請選擇第三選修科</v>
      </c>
      <c r="M255" s="87" t="str">
        <f>M1</f>
        <v>請選擇第四選修科</v>
      </c>
      <c r="N255" s="83" t="str">
        <f>N1</f>
        <v>請選擇語言科目</v>
      </c>
      <c r="Q255" s="197" t="s">
        <v>2167</v>
      </c>
      <c r="V255" s="198" t="s">
        <v>2461</v>
      </c>
      <c r="X255" s="84" t="b">
        <f>IF(V257&gt;W257,TRUE,FALSE)</f>
        <v>0</v>
      </c>
    </row>
    <row r="256" spans="1:36">
      <c r="A256" s="88" t="str">
        <f>HKU!A2</f>
        <v>JS6004</v>
      </c>
      <c r="B256" s="171" t="str">
        <f>HKU!C2</f>
        <v>建築學文學士</v>
      </c>
      <c r="C256" s="359" t="s">
        <v>58</v>
      </c>
      <c r="D256" s="172">
        <f>LARGE(E256:N256,1)+LARGE(E256:N256,2)+LARGE(E256:N256,3)+LARGE(E256:N256,4)+LARGE(E256:N256,5)+LARGE(E256:N256,6)</f>
        <v>4.450000000000001E-9</v>
      </c>
      <c r="E256" s="84">
        <f t="shared" ref="E256:I267" si="173">E$8</f>
        <v>1E-10</v>
      </c>
      <c r="F256" s="198">
        <f t="shared" si="173"/>
        <v>2.0000000000000001E-10</v>
      </c>
      <c r="G256" s="198">
        <f t="shared" si="173"/>
        <v>3E-10</v>
      </c>
      <c r="H256" s="198">
        <f t="shared" si="173"/>
        <v>4.0000000000000001E-10</v>
      </c>
      <c r="I256" s="198">
        <f t="shared" si="173"/>
        <v>5.0000000000000003E-10</v>
      </c>
      <c r="J256" s="84">
        <f>J8</f>
        <v>6E-10</v>
      </c>
      <c r="K256" s="84">
        <f>K8</f>
        <v>6.9999999999999996E-10</v>
      </c>
      <c r="L256" s="90">
        <f>L8</f>
        <v>8.0000000000000003E-10</v>
      </c>
      <c r="M256" s="90">
        <f>M8</f>
        <v>8.9999999999999999E-10</v>
      </c>
      <c r="N256" s="84">
        <f t="shared" ref="N256:N267" si="174">N$8</f>
        <v>9.5000000000000003E-10</v>
      </c>
      <c r="O256" s="471"/>
      <c r="P256" s="84">
        <f>IF(Q256="無",0,1)</f>
        <v>0</v>
      </c>
      <c r="Q256" s="91" t="str">
        <f>IF(R256&gt;0,INDEX(R271:U271,MATCH(LARGE(R273:U273,1),R273:U273,0)),"無")</f>
        <v>無</v>
      </c>
      <c r="R256" s="91">
        <f>LARGE(R273:U273,1)</f>
        <v>0</v>
      </c>
      <c r="S256" s="84" t="str">
        <f>IF(T256&gt;0,INDEX(R271:U271,MATCH(LARGE(R273:U273,2),R273:U273,0)),"無")</f>
        <v>無</v>
      </c>
      <c r="T256" s="84">
        <f>LARGE(R273:U273,2)</f>
        <v>0</v>
      </c>
      <c r="V256" s="197" t="s">
        <v>2460</v>
      </c>
      <c r="W256" s="197" t="s">
        <v>64</v>
      </c>
    </row>
    <row r="257" spans="1:36">
      <c r="A257" s="199" t="str">
        <f>HKU!A3</f>
        <v>JS6016</v>
      </c>
      <c r="B257" s="207" t="str">
        <f>HKU!C3</f>
        <v>理學士(測量學)</v>
      </c>
      <c r="C257" s="359" t="s">
        <v>59</v>
      </c>
      <c r="D257" s="172">
        <f>LARGE((E257:H257,J257:N257),1)+LARGE((E257:H257,J257:N257),2)+LARGE((E257:H257,J257:N257),3)+LARGE((E257:H257,J257:N257),4)+LARGE((E257:H257,J257:N257),5)</f>
        <v>3.9500000000000006E-9</v>
      </c>
      <c r="E257" s="198">
        <f t="shared" si="173"/>
        <v>1E-10</v>
      </c>
      <c r="F257" s="198">
        <f t="shared" si="173"/>
        <v>2.0000000000000001E-10</v>
      </c>
      <c r="G257" s="198">
        <f t="shared" si="173"/>
        <v>3E-10</v>
      </c>
      <c r="H257" s="198">
        <f t="shared" si="173"/>
        <v>4.0000000000000001E-10</v>
      </c>
      <c r="I257" s="198">
        <f t="shared" si="173"/>
        <v>5.0000000000000003E-10</v>
      </c>
      <c r="J257" s="84">
        <f>J8</f>
        <v>6E-10</v>
      </c>
      <c r="K257" s="84">
        <f>K8</f>
        <v>6.9999999999999996E-10</v>
      </c>
      <c r="L257" s="90">
        <f>L8</f>
        <v>8.0000000000000003E-10</v>
      </c>
      <c r="M257" s="90">
        <f>M8</f>
        <v>8.9999999999999999E-10</v>
      </c>
      <c r="N257" s="198">
        <f t="shared" si="174"/>
        <v>9.5000000000000003E-10</v>
      </c>
      <c r="O257" s="471"/>
      <c r="Q257" s="84" t="s">
        <v>1344</v>
      </c>
      <c r="R257" s="84">
        <f>LARGE(R272:U272,1)</f>
        <v>0</v>
      </c>
      <c r="T257" s="198">
        <f>LARGE(R272:U272,2)</f>
        <v>0</v>
      </c>
      <c r="V257" s="85">
        <f>G9</f>
        <v>3E-10</v>
      </c>
      <c r="W257" s="85">
        <f>I9</f>
        <v>5.0000000000000003E-10</v>
      </c>
    </row>
    <row r="258" spans="1:36">
      <c r="A258" s="199" t="str">
        <f>HKU!A4</f>
        <v>JS6028</v>
      </c>
      <c r="B258" s="207" t="str">
        <f>HKU!C4</f>
        <v>園境學文學士</v>
      </c>
      <c r="C258" s="359" t="s">
        <v>189</v>
      </c>
      <c r="D258" s="172">
        <f>LARGE((E258:H258,J258:N258),1)+LARGE((E258:H258,J258:N258),2)+LARGE((E258:H258,J258:N258),3)+LARGE((E258:H258,J258:N258),4)+LARGE((E258:H258,J258:N258),5)</f>
        <v>3.9500000000000006E-9</v>
      </c>
      <c r="E258" s="198">
        <f t="shared" si="173"/>
        <v>1E-10</v>
      </c>
      <c r="F258" s="198">
        <f t="shared" si="173"/>
        <v>2.0000000000000001E-10</v>
      </c>
      <c r="G258" s="198">
        <f t="shared" si="173"/>
        <v>3E-10</v>
      </c>
      <c r="H258" s="198">
        <f t="shared" si="173"/>
        <v>4.0000000000000001E-10</v>
      </c>
      <c r="I258" s="198">
        <f t="shared" si="173"/>
        <v>5.0000000000000003E-10</v>
      </c>
      <c r="J258" s="84">
        <f>J8</f>
        <v>6E-10</v>
      </c>
      <c r="K258" s="84">
        <f>K8</f>
        <v>6.9999999999999996E-10</v>
      </c>
      <c r="L258" s="90">
        <f>L8</f>
        <v>8.0000000000000003E-10</v>
      </c>
      <c r="M258" s="90">
        <f>M8</f>
        <v>8.9999999999999999E-10</v>
      </c>
      <c r="N258" s="198">
        <f t="shared" si="174"/>
        <v>9.5000000000000003E-10</v>
      </c>
      <c r="O258" s="471"/>
      <c r="P258" s="84" t="s">
        <v>2173</v>
      </c>
      <c r="Q258" s="83" t="s">
        <v>2166</v>
      </c>
      <c r="R258" s="91"/>
    </row>
    <row r="259" spans="1:36">
      <c r="A259" s="199" t="str">
        <f>HKU!A5</f>
        <v>JS6042</v>
      </c>
      <c r="B259" s="207" t="str">
        <f>HKU!C5</f>
        <v>文學士(城市研究)</v>
      </c>
      <c r="C259" s="359" t="s">
        <v>189</v>
      </c>
      <c r="D259" s="172">
        <f>LARGE((E259:H259,J259:N259),1)+LARGE((E259:H259,J259:N259),2)+LARGE((E259:H259,J259:N259),3)+LARGE((E259:H259,J259:N259),4)+LARGE((E259:H259,J259:N259),5)</f>
        <v>3.9500000000000006E-9</v>
      </c>
      <c r="E259" s="198">
        <f t="shared" si="173"/>
        <v>1E-10</v>
      </c>
      <c r="F259" s="198">
        <f t="shared" si="173"/>
        <v>2.0000000000000001E-10</v>
      </c>
      <c r="G259" s="198">
        <f t="shared" si="173"/>
        <v>3E-10</v>
      </c>
      <c r="H259" s="198">
        <f t="shared" si="173"/>
        <v>4.0000000000000001E-10</v>
      </c>
      <c r="I259" s="198">
        <f t="shared" si="173"/>
        <v>5.0000000000000003E-10</v>
      </c>
      <c r="J259" s="84">
        <f>J8</f>
        <v>6E-10</v>
      </c>
      <c r="K259" s="84">
        <f>K8</f>
        <v>6.9999999999999996E-10</v>
      </c>
      <c r="L259" s="90">
        <f>L8</f>
        <v>8.0000000000000003E-10</v>
      </c>
      <c r="M259" s="90">
        <f>M8</f>
        <v>8.9999999999999999E-10</v>
      </c>
      <c r="N259" s="198">
        <f t="shared" si="174"/>
        <v>9.5000000000000003E-10</v>
      </c>
      <c r="O259" s="471"/>
      <c r="P259" s="84">
        <f>IF(Q259="無",0,1)</f>
        <v>0</v>
      </c>
      <c r="Q259" s="91" t="str">
        <f>IF(R259&gt;0,INDEX(R271:U271,MATCH(LARGE(R274:U274,1),R274:U274,0)),"無")</f>
        <v>無</v>
      </c>
      <c r="R259" s="91">
        <f>LARGE(R274:U274,1)</f>
        <v>0</v>
      </c>
    </row>
    <row r="260" spans="1:36">
      <c r="A260" s="199" t="str">
        <f>HKU!A6</f>
        <v>JS6054</v>
      </c>
      <c r="B260" s="207" t="str">
        <f>HKU!C6</f>
        <v>文學士</v>
      </c>
      <c r="C260" s="359" t="s">
        <v>189</v>
      </c>
      <c r="D260" s="172">
        <f>F260+LARGE((E260,G260:H260,J260:N260),1)+LARGE((E260,G260:H260,J260:N260),2)+LARGE((E260,G260:H260,J260:N260),3)+LARGE((E260,G260:H260,J260:N260),4)</f>
        <v>3.5500000000000004E-9</v>
      </c>
      <c r="E260" s="198">
        <f t="shared" si="173"/>
        <v>1E-10</v>
      </c>
      <c r="F260" s="198">
        <f t="shared" si="173"/>
        <v>2.0000000000000001E-10</v>
      </c>
      <c r="G260" s="198">
        <f t="shared" si="173"/>
        <v>3E-10</v>
      </c>
      <c r="H260" s="198">
        <f t="shared" si="173"/>
        <v>4.0000000000000001E-10</v>
      </c>
      <c r="I260" s="198">
        <f t="shared" si="173"/>
        <v>5.0000000000000003E-10</v>
      </c>
      <c r="J260" s="84">
        <f>J8</f>
        <v>6E-10</v>
      </c>
      <c r="K260" s="84">
        <f>K8</f>
        <v>6.9999999999999996E-10</v>
      </c>
      <c r="L260" s="90">
        <f>L8</f>
        <v>8.0000000000000003E-10</v>
      </c>
      <c r="M260" s="90">
        <f>M8</f>
        <v>8.9999999999999999E-10</v>
      </c>
      <c r="N260" s="198">
        <f t="shared" si="174"/>
        <v>9.5000000000000003E-10</v>
      </c>
      <c r="O260" s="471"/>
      <c r="P260" s="84" t="s">
        <v>1254</v>
      </c>
      <c r="Q260" s="83" t="s">
        <v>2168</v>
      </c>
      <c r="R260" s="91"/>
      <c r="AJ260" s="198"/>
    </row>
    <row r="261" spans="1:36">
      <c r="A261" s="199" t="str">
        <f>HKU!A7</f>
        <v>JS6767</v>
      </c>
      <c r="B261" s="207" t="str">
        <f>HKU!C7</f>
        <v>經濟學學士 / 經濟金融學學士</v>
      </c>
      <c r="C261" s="486" t="s">
        <v>58</v>
      </c>
      <c r="D261" s="172">
        <f>F261+G261+LARGE((E261,H261:M261),1)+LARGE((E261,H261:M261),2)+LARGE((E261,H261:M261),3)+LARGE((E261,H261:M261),4)</f>
        <v>3.7500000000000005E-9</v>
      </c>
      <c r="E261" s="198">
        <f t="shared" si="173"/>
        <v>1E-10</v>
      </c>
      <c r="F261" s="198">
        <f t="shared" ref="F261:G265" si="175">F$8*1.5</f>
        <v>3E-10</v>
      </c>
      <c r="G261" s="198">
        <f t="shared" si="175"/>
        <v>4.5E-10</v>
      </c>
      <c r="H261" s="198">
        <f t="shared" si="173"/>
        <v>4.0000000000000001E-10</v>
      </c>
      <c r="I261" s="198">
        <f t="shared" si="173"/>
        <v>5.0000000000000003E-10</v>
      </c>
      <c r="J261" s="84">
        <f>J8</f>
        <v>6E-10</v>
      </c>
      <c r="K261" s="84">
        <f>K8</f>
        <v>6.9999999999999996E-10</v>
      </c>
      <c r="L261" s="90">
        <f>L8</f>
        <v>8.0000000000000003E-10</v>
      </c>
      <c r="M261" s="90">
        <f>M8</f>
        <v>8.9999999999999999E-10</v>
      </c>
      <c r="N261" s="198">
        <f t="shared" si="174"/>
        <v>9.5000000000000003E-10</v>
      </c>
      <c r="O261" s="471"/>
      <c r="P261" s="84">
        <f>IF(Q261="無",0,1)</f>
        <v>0</v>
      </c>
      <c r="Q261" s="91" t="str">
        <f>IF(R261&gt;0,INDEX(R271:U271,MATCH(LARGE(R275:U275,1),R275:U275,0)),"無")</f>
        <v>無</v>
      </c>
      <c r="R261" s="91">
        <f>LARGE(R275:U275,1)</f>
        <v>0</v>
      </c>
    </row>
    <row r="262" spans="1:36">
      <c r="A262" s="199" t="str">
        <f>HKU!A8</f>
        <v>JS6781</v>
      </c>
      <c r="B262" s="207" t="str">
        <f>HKU!C8</f>
        <v>工商管理學學士 / 工商管理學學士(會計及財務)</v>
      </c>
      <c r="C262" s="487" t="s">
        <v>58</v>
      </c>
      <c r="D262" s="172">
        <f>IF(X255=TRUE,F262+G262*1.5+LARGE((E262,H262,J262:M262),1)+LARGE((E262,H262,J262:M262),2)+LARGE((E262,H262,J262:M262),3)+LARGE((E262,H262,J262:M262),4),F262+I262*1.5+LARGE((E262,G262,H262,J262:M262),1)+LARGE((E262,G262,H262,J262:M262),2)+LARGE((E262,G262,H262,J262:M262),3)+LARGE((E262,G262,H262,J262:M262),4))</f>
        <v>4.0499999999999999E-9</v>
      </c>
      <c r="E262" s="198">
        <f t="shared" si="173"/>
        <v>1E-10</v>
      </c>
      <c r="F262" s="198">
        <f t="shared" si="175"/>
        <v>3E-10</v>
      </c>
      <c r="G262" s="198">
        <f>G$8</f>
        <v>3E-10</v>
      </c>
      <c r="H262" s="198">
        <f t="shared" si="173"/>
        <v>4.0000000000000001E-10</v>
      </c>
      <c r="I262" s="198">
        <f>I$8</f>
        <v>5.0000000000000003E-10</v>
      </c>
      <c r="J262" s="84">
        <f>J8</f>
        <v>6E-10</v>
      </c>
      <c r="K262" s="84">
        <f>K8</f>
        <v>6.9999999999999996E-10</v>
      </c>
      <c r="L262" s="90">
        <f>L8</f>
        <v>8.0000000000000003E-10</v>
      </c>
      <c r="M262" s="90">
        <f>M8</f>
        <v>8.9999999999999999E-10</v>
      </c>
      <c r="N262" s="198">
        <f t="shared" si="174"/>
        <v>9.5000000000000003E-10</v>
      </c>
      <c r="O262" s="471"/>
      <c r="P262" s="84" t="s">
        <v>2172</v>
      </c>
      <c r="Q262" s="83" t="s">
        <v>393</v>
      </c>
    </row>
    <row r="263" spans="1:36">
      <c r="A263" s="199" t="str">
        <f>HKU!A9</f>
        <v>JS6860</v>
      </c>
      <c r="B263" s="207" t="str">
        <f>HKU!C9</f>
        <v>金融學學士(資產管理及私人銀行)</v>
      </c>
      <c r="C263" s="487" t="s">
        <v>58</v>
      </c>
      <c r="D263" s="208">
        <f>IF(X255=TRUE,F263+G263*1.5+LARGE((E263,H263,J263:M263),1)+LARGE((E263,H263,J263:M263),2)+LARGE((E263,H263,J263:M263),3)+LARGE((E263,H263,J263:M263),4),F263+I263*1.5+LARGE((E263,G263,H263,J263:M263),1)+LARGE((E263,G263,H263,J263:M263),2)+LARGE((E263,G263,H263,J263:M263),3)+LARGE((E263,G263,H263,J263:M263),4))</f>
        <v>4.0499999999999999E-9</v>
      </c>
      <c r="E263" s="198">
        <f t="shared" si="173"/>
        <v>1E-10</v>
      </c>
      <c r="F263" s="198">
        <f>F$8*1.5</f>
        <v>3E-10</v>
      </c>
      <c r="G263" s="198">
        <f>G$8</f>
        <v>3E-10</v>
      </c>
      <c r="H263" s="198">
        <f t="shared" si="173"/>
        <v>4.0000000000000001E-10</v>
      </c>
      <c r="I263" s="198">
        <f>I$8</f>
        <v>5.0000000000000003E-10</v>
      </c>
      <c r="J263" s="84">
        <f>J8</f>
        <v>6E-10</v>
      </c>
      <c r="K263" s="84">
        <f>K8</f>
        <v>6.9999999999999996E-10</v>
      </c>
      <c r="L263" s="90">
        <f>L8</f>
        <v>8.0000000000000003E-10</v>
      </c>
      <c r="M263" s="90">
        <f>M8</f>
        <v>8.9999999999999999E-10</v>
      </c>
      <c r="N263" s="198">
        <f t="shared" si="174"/>
        <v>9.5000000000000003E-10</v>
      </c>
      <c r="O263" s="471"/>
      <c r="P263" s="84">
        <f>IF(Q263="無",0,1)</f>
        <v>0</v>
      </c>
      <c r="Q263" s="84" t="str">
        <f>IF(R263&gt;0,INDEX($R$271:$U$271,MATCH(LARGE(R276:U276,1),R276:U276,0)),"無")</f>
        <v>無</v>
      </c>
      <c r="R263" s="91">
        <f>LARGE(R276:U276,1)</f>
        <v>0</v>
      </c>
    </row>
    <row r="264" spans="1:36">
      <c r="A264" s="199" t="str">
        <f>HKU!A10</f>
        <v>JS6793</v>
      </c>
      <c r="B264" s="207" t="str">
        <f>HKU!C10</f>
        <v>工商管理學學士(資訊系統)</v>
      </c>
      <c r="C264" s="486" t="s">
        <v>58</v>
      </c>
      <c r="D264" s="172">
        <f>F264+G264+LARGE((E264,H264:M264),1)+LARGE((E264,H264:M264),2)+LARGE((E264,H264:M264),3)+LARGE((E264,H264:M264),4)</f>
        <v>3.7500000000000005E-9</v>
      </c>
      <c r="E264" s="198">
        <f t="shared" si="173"/>
        <v>1E-10</v>
      </c>
      <c r="F264" s="198">
        <f t="shared" si="175"/>
        <v>3E-10</v>
      </c>
      <c r="G264" s="198">
        <f t="shared" si="175"/>
        <v>4.5E-10</v>
      </c>
      <c r="H264" s="198">
        <f t="shared" si="173"/>
        <v>4.0000000000000001E-10</v>
      </c>
      <c r="I264" s="198">
        <f t="shared" si="173"/>
        <v>5.0000000000000003E-10</v>
      </c>
      <c r="J264" s="84">
        <f>J8</f>
        <v>6E-10</v>
      </c>
      <c r="K264" s="84">
        <f>K8</f>
        <v>6.9999999999999996E-10</v>
      </c>
      <c r="L264" s="90">
        <f>L8</f>
        <v>8.0000000000000003E-10</v>
      </c>
      <c r="M264" s="90">
        <f>M8</f>
        <v>8.9999999999999999E-10</v>
      </c>
      <c r="N264" s="198">
        <f t="shared" si="174"/>
        <v>9.5000000000000003E-10</v>
      </c>
      <c r="O264" s="471"/>
      <c r="P264" s="84" t="s">
        <v>2169</v>
      </c>
      <c r="Q264" s="83" t="s">
        <v>394</v>
      </c>
      <c r="R264" s="91"/>
    </row>
    <row r="265" spans="1:36">
      <c r="A265" s="199" t="str">
        <f>HKU!A11</f>
        <v>JS6808</v>
      </c>
      <c r="B265" s="207" t="str">
        <f>HKU!C11</f>
        <v>工商管理學學士(法學)及法學士 (雙學位課程)</v>
      </c>
      <c r="C265" s="487" t="s">
        <v>58</v>
      </c>
      <c r="D265" s="208">
        <f>IF(X255=TRUE,F265+G265*1.5+LARGE((E265,H265,J265:M265),1)+LARGE((E265,H265,J265:M265),2)+LARGE((E265,H265,J265:M265),3)+LARGE((E265,H265,J265:M265),4),F265+I265*1.5+LARGE((E265,G265,H265,J265:M265),1)+LARGE((E265,G265,H265,J265:M265),2)+LARGE((E265,G265,H265,J265:M265),3)+LARGE((E265,G265,H265,J265:M265),4))</f>
        <v>4.0499999999999999E-9</v>
      </c>
      <c r="E265" s="198">
        <f t="shared" si="173"/>
        <v>1E-10</v>
      </c>
      <c r="F265" s="198">
        <f t="shared" si="175"/>
        <v>3E-10</v>
      </c>
      <c r="G265" s="198">
        <f>G$8</f>
        <v>3E-10</v>
      </c>
      <c r="H265" s="198">
        <f t="shared" si="173"/>
        <v>4.0000000000000001E-10</v>
      </c>
      <c r="I265" s="198">
        <f>I$8</f>
        <v>5.0000000000000003E-10</v>
      </c>
      <c r="J265" s="84">
        <f>J8</f>
        <v>6E-10</v>
      </c>
      <c r="K265" s="84">
        <f>K8</f>
        <v>6.9999999999999996E-10</v>
      </c>
      <c r="L265" s="90">
        <f>L8</f>
        <v>8.0000000000000003E-10</v>
      </c>
      <c r="M265" s="90">
        <f>M8</f>
        <v>8.9999999999999999E-10</v>
      </c>
      <c r="N265" s="198">
        <f t="shared" si="174"/>
        <v>9.5000000000000003E-10</v>
      </c>
      <c r="O265" s="471"/>
      <c r="P265" s="84">
        <f>IF(Q265="無",0,1)</f>
        <v>0</v>
      </c>
      <c r="Q265" s="84" t="str">
        <f>IF(R265&gt;0,INDEX(R271:U271,MATCH(LARGE(R277:U277,1),R277:U277,0)),"無")</f>
        <v>無</v>
      </c>
      <c r="R265" s="91">
        <f>LARGE(R277:U277,1)</f>
        <v>0</v>
      </c>
    </row>
    <row r="266" spans="1:36">
      <c r="A266" s="199" t="str">
        <f>HKU!A12</f>
        <v>JS6884</v>
      </c>
      <c r="B266" s="207" t="str">
        <f>HKU!C12</f>
        <v>理學士(計量金融)</v>
      </c>
      <c r="C266" s="486" t="s">
        <v>58</v>
      </c>
      <c r="D266" s="172">
        <f>F266+G266+I266+LARGE((E266,H266,J266:M266),1)+LARGE((E266,H266,J266:M266),2)+LARGE((E266,H266,J266:M266),3)</f>
        <v>3.7E-9</v>
      </c>
      <c r="E266" s="198">
        <f t="shared" si="173"/>
        <v>1E-10</v>
      </c>
      <c r="F266" s="198">
        <f>F$8*1.5</f>
        <v>3E-10</v>
      </c>
      <c r="G266" s="198">
        <f>G$8*1.25</f>
        <v>3.75E-10</v>
      </c>
      <c r="H266" s="198">
        <f t="shared" si="173"/>
        <v>4.0000000000000001E-10</v>
      </c>
      <c r="I266" s="198">
        <f>I$8*1.25</f>
        <v>6.2500000000000001E-10</v>
      </c>
      <c r="J266" s="84">
        <f>J8</f>
        <v>6E-10</v>
      </c>
      <c r="K266" s="84">
        <f>K8</f>
        <v>6.9999999999999996E-10</v>
      </c>
      <c r="L266" s="90">
        <f>L8</f>
        <v>8.0000000000000003E-10</v>
      </c>
      <c r="M266" s="90">
        <f>M8</f>
        <v>8.9999999999999999E-10</v>
      </c>
      <c r="N266" s="198">
        <f t="shared" si="174"/>
        <v>9.5000000000000003E-10</v>
      </c>
      <c r="O266" s="471"/>
      <c r="P266" s="84" t="s">
        <v>2171</v>
      </c>
      <c r="Q266" s="197" t="s">
        <v>2170</v>
      </c>
    </row>
    <row r="267" spans="1:36">
      <c r="A267" s="199" t="str">
        <f>HKU!A13</f>
        <v>JS6896</v>
      </c>
      <c r="B267" s="207" t="str">
        <f>HKU!C13</f>
        <v>工商管理學學士(國際商業及環球管理)</v>
      </c>
      <c r="C267" s="487" t="s">
        <v>58</v>
      </c>
      <c r="D267" s="208">
        <f>IF(X255=TRUE,F267+G267*1.5+LARGE((E267,H267,J267:M267),1)+LARGE((E267,H267,J267:M267),2)+LARGE((E267,H267,J267:M267),3)+LARGE((E267,H267,J267:M267),4),F267+I267*1.5+LARGE((E267,G267,H267,J267:M267),1)+LARGE((E267,G267,H267,J267:M267),2)+LARGE((E267,G267,H267,J267:M267),3)+LARGE((E267,G267,H267,J267:M267),4))</f>
        <v>4.0499999999999999E-9</v>
      </c>
      <c r="E267" s="198">
        <f t="shared" si="173"/>
        <v>1E-10</v>
      </c>
      <c r="F267" s="198">
        <f>F$8*1.5</f>
        <v>3E-10</v>
      </c>
      <c r="G267" s="198">
        <f>G$8</f>
        <v>3E-10</v>
      </c>
      <c r="H267" s="198">
        <f t="shared" si="173"/>
        <v>4.0000000000000001E-10</v>
      </c>
      <c r="I267" s="198">
        <f>I$8</f>
        <v>5.0000000000000003E-10</v>
      </c>
      <c r="J267" s="84">
        <f>J8</f>
        <v>6E-10</v>
      </c>
      <c r="K267" s="84">
        <f>K8</f>
        <v>6.9999999999999996E-10</v>
      </c>
      <c r="L267" s="90">
        <f>L8</f>
        <v>8.0000000000000003E-10</v>
      </c>
      <c r="M267" s="90">
        <f>M8</f>
        <v>8.9999999999999999E-10</v>
      </c>
      <c r="N267" s="198">
        <f t="shared" si="174"/>
        <v>9.5000000000000003E-10</v>
      </c>
      <c r="O267" s="471"/>
      <c r="P267" s="198">
        <f>IF(Q267="無",0,1)</f>
        <v>0</v>
      </c>
      <c r="Q267" s="198" t="str">
        <f>IF(R267&gt;0,INDEX($R$271:$U$271,MATCH(LARGE(R278:U278,1),R278:U278,0)),"無")</f>
        <v>無</v>
      </c>
      <c r="R267" s="91">
        <f>LARGE(R278:U278,1)</f>
        <v>0</v>
      </c>
    </row>
    <row r="268" spans="1:36">
      <c r="A268" s="199" t="str">
        <f>HKU!A14</f>
        <v>JS6107</v>
      </c>
      <c r="B268" s="207" t="str">
        <f>HKU!C14</f>
        <v>牙醫學士</v>
      </c>
      <c r="C268" s="359" t="s">
        <v>58</v>
      </c>
      <c r="D268" s="172">
        <f>Z285+LARGE((E268:H268,J268:M268),1)+LARGE((E268:H268,J268:M268),2)+LARGE((E268:H268,J268:M268),3)+LARGE((E268:H268,J268:M268),4)+LARGE((E268:H268,J268:M268),5)</f>
        <v>3.0999999999999996E-9</v>
      </c>
      <c r="E268" s="198">
        <f t="shared" ref="E268:N268" si="176">IF(E15=FALSE,E$8,E$8*0.9)</f>
        <v>1E-10</v>
      </c>
      <c r="F268" s="198">
        <f t="shared" si="176"/>
        <v>2.0000000000000001E-10</v>
      </c>
      <c r="G268" s="198">
        <f t="shared" si="176"/>
        <v>3E-10</v>
      </c>
      <c r="H268" s="198">
        <f t="shared" si="176"/>
        <v>4.0000000000000001E-10</v>
      </c>
      <c r="I268" s="198">
        <f t="shared" si="176"/>
        <v>5.0000000000000003E-10</v>
      </c>
      <c r="J268" s="198">
        <f>IF(J15=FALSE,Q286,Q286*0.9)</f>
        <v>0</v>
      </c>
      <c r="K268" s="198">
        <f>IF(K15=FALSE,R286,R286*0.9)</f>
        <v>6.9999999999999996E-10</v>
      </c>
      <c r="L268" s="198">
        <f>IF(L15=FALSE,S286,S286*0.9)</f>
        <v>8.0000000000000003E-10</v>
      </c>
      <c r="M268" s="198">
        <f>IF(M15=FALSE,T286,T286*0.9)</f>
        <v>8.9999999999999999E-10</v>
      </c>
      <c r="N268" s="198">
        <f t="shared" si="176"/>
        <v>9.5000000000000003E-10</v>
      </c>
      <c r="O268" s="471">
        <v>0.1</v>
      </c>
      <c r="P268" s="84" t="s">
        <v>2175</v>
      </c>
      <c r="Q268" s="197" t="s">
        <v>2174</v>
      </c>
    </row>
    <row r="269" spans="1:36">
      <c r="A269" s="199" t="str">
        <f>HKU!A15</f>
        <v>JS6066</v>
      </c>
      <c r="B269" s="207" t="str">
        <f>HKU!C15</f>
        <v>文學士及教育學士(語文教育) - 英文教育 (雙學位課程)</v>
      </c>
      <c r="C269" s="359" t="s">
        <v>189</v>
      </c>
      <c r="D269" s="172">
        <f>F269+H269+LARGE((E269,G269,J269:M269),1)+LARGE((E269,G269,J269:M269),2)+LARGE((E269,G269,J269:M269),3)</f>
        <v>3.1800000000000002E-9</v>
      </c>
      <c r="E269" s="198">
        <f t="shared" ref="E269:I281" si="177">E$8</f>
        <v>1E-10</v>
      </c>
      <c r="F269" s="198">
        <f>F$8*1.5</f>
        <v>3E-10</v>
      </c>
      <c r="G269" s="198">
        <f>G$8</f>
        <v>3E-10</v>
      </c>
      <c r="H269" s="198">
        <f>H$8*1.2</f>
        <v>4.8E-10</v>
      </c>
      <c r="I269" s="198">
        <f t="shared" si="177"/>
        <v>5.0000000000000003E-10</v>
      </c>
      <c r="J269" s="84">
        <f>J8</f>
        <v>6E-10</v>
      </c>
      <c r="K269" s="84">
        <f>K8</f>
        <v>6.9999999999999996E-10</v>
      </c>
      <c r="L269" s="90">
        <f>L8</f>
        <v>8.0000000000000003E-10</v>
      </c>
      <c r="M269" s="90">
        <f>M8</f>
        <v>8.9999999999999999E-10</v>
      </c>
      <c r="N269" s="198">
        <f t="shared" ref="N269:N281" si="178">N$8</f>
        <v>9.5000000000000003E-10</v>
      </c>
      <c r="O269" s="471"/>
      <c r="P269" s="198">
        <f>IF(Q269="無",0,1)</f>
        <v>0</v>
      </c>
      <c r="Q269" s="84" t="str">
        <f>IF(R269&gt;0,INDEX($R$271:$U$271,MATCH(LARGE(R279:U279,1),R279:U279,0)),"無")</f>
        <v>無</v>
      </c>
      <c r="R269" s="91">
        <f>LARGE(R279:U279,1)</f>
        <v>0</v>
      </c>
    </row>
    <row r="270" spans="1:36">
      <c r="A270" s="199" t="str">
        <f>HKU!A16</f>
        <v>JS6080</v>
      </c>
      <c r="B270" s="207" t="str">
        <f>HKU!C16</f>
        <v>文學士及教育學士(語文教育) - 中文教育 (雙學位課程)</v>
      </c>
      <c r="C270" s="359" t="s">
        <v>189</v>
      </c>
      <c r="D270" s="172">
        <f>E270+H270+LARGE((F270:G270,J270:M270),1)+LARGE((F270:G270,J270:M270),2)+LARGE((F270:G270,J270:M270),3)</f>
        <v>3.0300000000000001E-9</v>
      </c>
      <c r="E270" s="198">
        <f>E$8*1.5</f>
        <v>1.5E-10</v>
      </c>
      <c r="F270" s="198">
        <f t="shared" si="177"/>
        <v>2.0000000000000001E-10</v>
      </c>
      <c r="G270" s="198">
        <f t="shared" si="177"/>
        <v>3E-10</v>
      </c>
      <c r="H270" s="198">
        <f>H$8*1.2</f>
        <v>4.8E-10</v>
      </c>
      <c r="I270" s="198">
        <f t="shared" si="177"/>
        <v>5.0000000000000003E-10</v>
      </c>
      <c r="J270" s="84">
        <f>J8</f>
        <v>6E-10</v>
      </c>
      <c r="K270" s="84">
        <f>K8</f>
        <v>6.9999999999999996E-10</v>
      </c>
      <c r="L270" s="90">
        <f>L8</f>
        <v>8.0000000000000003E-10</v>
      </c>
      <c r="M270" s="90">
        <f>M8</f>
        <v>8.9999999999999999E-10</v>
      </c>
      <c r="N270" s="198">
        <f t="shared" si="178"/>
        <v>9.5000000000000003E-10</v>
      </c>
      <c r="O270" s="471"/>
    </row>
    <row r="271" spans="1:36">
      <c r="A271" s="199" t="str">
        <f>HKU!A17</f>
        <v>JS6092</v>
      </c>
      <c r="B271" s="207" t="str">
        <f>HKU!C17</f>
        <v>教育學士(幼兒教育及特殊教育)</v>
      </c>
      <c r="C271" s="359" t="s">
        <v>189</v>
      </c>
      <c r="D271" s="172">
        <f>E271+F271+LARGE((G271:H271,J271:M271),1)+LARGE((G271:H271,J271:M271),2)+LARGE((G271:H271,J271:M271),3)</f>
        <v>2.8200000000000002E-9</v>
      </c>
      <c r="E271" s="198">
        <f>E$8*1.2</f>
        <v>1.2E-10</v>
      </c>
      <c r="F271" s="198">
        <f>F$8*1.5</f>
        <v>3E-10</v>
      </c>
      <c r="G271" s="198">
        <f t="shared" si="177"/>
        <v>3E-10</v>
      </c>
      <c r="H271" s="198">
        <f t="shared" si="177"/>
        <v>4.0000000000000001E-10</v>
      </c>
      <c r="I271" s="198">
        <f t="shared" si="177"/>
        <v>5.0000000000000003E-10</v>
      </c>
      <c r="J271" s="84">
        <f>J8</f>
        <v>6E-10</v>
      </c>
      <c r="K271" s="84">
        <f>K8</f>
        <v>6.9999999999999996E-10</v>
      </c>
      <c r="L271" s="90">
        <f>L8</f>
        <v>8.0000000000000003E-10</v>
      </c>
      <c r="M271" s="90">
        <f>M8</f>
        <v>8.9999999999999999E-10</v>
      </c>
      <c r="N271" s="198">
        <f t="shared" si="178"/>
        <v>9.5000000000000003E-10</v>
      </c>
      <c r="O271" s="471"/>
      <c r="Q271" s="84" t="str">
        <f>I1</f>
        <v>數學延伸</v>
      </c>
      <c r="R271" s="84" t="str">
        <f>J1</f>
        <v>請選擇第一選修科</v>
      </c>
      <c r="S271" s="84" t="str">
        <f>K1</f>
        <v>請選擇第二選修科</v>
      </c>
      <c r="T271" s="84" t="str">
        <f>L1</f>
        <v>請選擇第三選修科</v>
      </c>
      <c r="U271" s="84" t="str">
        <f>M1</f>
        <v>請選擇第四選修科</v>
      </c>
    </row>
    <row r="272" spans="1:36">
      <c r="A272" s="199" t="str">
        <f>HKU!A18</f>
        <v>JS6119</v>
      </c>
      <c r="B272" s="207" t="str">
        <f>HKU!C18</f>
        <v>教育學士及理學士 (雙學位課程)</v>
      </c>
      <c r="C272" s="359" t="s">
        <v>189</v>
      </c>
      <c r="D272" s="172">
        <f>F272+G272+$R$259*2+LARGE((E272,H272:M272),1)+LARGE((E272,H272:M272),2)</f>
        <v>3.0249999999999998E-9</v>
      </c>
      <c r="E272" s="198">
        <f t="shared" si="177"/>
        <v>1E-10</v>
      </c>
      <c r="F272" s="198">
        <f>F$8*1.5</f>
        <v>3E-10</v>
      </c>
      <c r="G272" s="198">
        <f>G$8*2</f>
        <v>6E-10</v>
      </c>
      <c r="H272" s="198">
        <f t="shared" si="177"/>
        <v>4.0000000000000001E-10</v>
      </c>
      <c r="I272" s="198">
        <f>I$8*2</f>
        <v>1.0000000000000001E-9</v>
      </c>
      <c r="J272" s="84">
        <f>IF(J1=$Q$259,0,Q287)</f>
        <v>7.5E-10</v>
      </c>
      <c r="K272" s="198">
        <f>IF(K1=$Q$259,0,R287)</f>
        <v>8.7499999999999998E-10</v>
      </c>
      <c r="L272" s="198">
        <f>IF(L1=$Q$259,0,S287)</f>
        <v>1.0000000000000001E-9</v>
      </c>
      <c r="M272" s="198">
        <f>IF(M1=$Q$259,0,T287)</f>
        <v>1.1249999999999999E-9</v>
      </c>
      <c r="N272" s="198">
        <f t="shared" si="178"/>
        <v>9.5000000000000003E-10</v>
      </c>
      <c r="O272" s="471"/>
      <c r="P272" s="197" t="s">
        <v>1344</v>
      </c>
      <c r="R272" s="84">
        <f>IF(OR(J1="物理",J1="化學",J1="生物"),J6*2,IF(OR(J1="組合科學(物理、化學)",J1="組合科學(物理、生物)",J1="組合科學(生物、化學)"),J6,0))</f>
        <v>0</v>
      </c>
      <c r="S272" s="198">
        <f t="shared" ref="S272:U272" si="179">IF(OR(K1="物理",K1="化學",K1="生物"),K6*2,IF(OR(K1="組合科學(物理、化學)",K1="組合科學(物理、生物)",K1="組合科學(生物、化學)"),K6,0))</f>
        <v>0</v>
      </c>
      <c r="T272" s="198">
        <f t="shared" si="179"/>
        <v>0</v>
      </c>
      <c r="U272" s="198">
        <f t="shared" si="179"/>
        <v>0</v>
      </c>
    </row>
    <row r="273" spans="1:36">
      <c r="A273" s="199" t="str">
        <f>HKU!A19</f>
        <v>JS6157</v>
      </c>
      <c r="B273" s="207" t="str">
        <f>HKU!C19</f>
        <v>理學士(言語及聽覺科學)</v>
      </c>
      <c r="C273" s="359" t="s">
        <v>58</v>
      </c>
      <c r="D273" s="172">
        <f>LARGE((E273:H273,J273:M273),1)+LARGE((E273:H273,J273:M273),2)+LARGE((E273:H273,J273:M273),3)+LARGE((E273:H273,J273:M273),4)+LARGE((E273:H273,J273:M273),5)+LARGE((E273:H273,J273:M273),6)</f>
        <v>3.7E-9</v>
      </c>
      <c r="E273" s="198">
        <f t="shared" si="177"/>
        <v>1E-10</v>
      </c>
      <c r="F273" s="198">
        <f t="shared" si="177"/>
        <v>2.0000000000000001E-10</v>
      </c>
      <c r="G273" s="198">
        <f t="shared" si="177"/>
        <v>3E-10</v>
      </c>
      <c r="H273" s="198">
        <f t="shared" si="177"/>
        <v>4.0000000000000001E-10</v>
      </c>
      <c r="I273" s="198">
        <f t="shared" si="177"/>
        <v>5.0000000000000003E-10</v>
      </c>
      <c r="J273" s="84">
        <f>J8</f>
        <v>6E-10</v>
      </c>
      <c r="K273" s="84">
        <f>K8</f>
        <v>6.9999999999999996E-10</v>
      </c>
      <c r="L273" s="90">
        <f>L8</f>
        <v>8.0000000000000003E-10</v>
      </c>
      <c r="M273" s="90">
        <f>M8</f>
        <v>8.9999999999999999E-10</v>
      </c>
      <c r="N273" s="198">
        <f t="shared" si="178"/>
        <v>9.5000000000000003E-10</v>
      </c>
      <c r="O273" s="471"/>
      <c r="P273" s="197" t="s">
        <v>2167</v>
      </c>
      <c r="Q273" s="84">
        <f>I$13</f>
        <v>5.0000000000000003E-10</v>
      </c>
      <c r="R273" s="84">
        <f>IF(OR(J1="物理",J1="化學",J1="生物",J1="組合科學(物理、化學)",J1="組合科學(物理、生物)",J1="組合科學(生物、化學)"),J6,0)</f>
        <v>0</v>
      </c>
      <c r="S273" s="84">
        <f>IF(OR(K1="物理",K1="化學",K1="生物",K1="組合科學(物理、化學)",K1="組合科學(物理、生物)",K1="組合科學(生物、化學)"),K6,0)</f>
        <v>0</v>
      </c>
      <c r="T273" s="84">
        <f>IF(OR(L1="物理",L1="化學",L1="生物",L1="組合科學(物理、化學)",L1="組合科學(物理、生物)",L1="組合科學(生物、化學)"),L6,0)</f>
        <v>0</v>
      </c>
      <c r="U273" s="84">
        <f>IF(OR(M1="物理",M1="化學",M1="生物",M1="組合科學(物理、化學)",M1="組合科學(物理、生物)",M1="組合科學(生物、化學)"),M6,0)</f>
        <v>0</v>
      </c>
    </row>
    <row r="274" spans="1:36">
      <c r="A274" s="199" t="str">
        <f>HKU!A20</f>
        <v>JS6195</v>
      </c>
      <c r="B274" s="207" t="str">
        <f>HKU!C20</f>
        <v>教育學士及社會科學學士 (雙學位課程)</v>
      </c>
      <c r="C274" s="359" t="s">
        <v>59</v>
      </c>
      <c r="D274" s="172">
        <f>LARGE((E274:H274,J274:N274),1)+LARGE((E274:H274,J274:N274),2)+LARGE((E274:H274,J274:N274),3)+LARGE((E274:H274,J274:N274),4)+LARGE((E274:H274,J274:N274),5)</f>
        <v>3.9500000000000006E-9</v>
      </c>
      <c r="E274" s="198">
        <f t="shared" si="177"/>
        <v>1E-10</v>
      </c>
      <c r="F274" s="198">
        <f t="shared" si="177"/>
        <v>2.0000000000000001E-10</v>
      </c>
      <c r="G274" s="198">
        <f t="shared" si="177"/>
        <v>3E-10</v>
      </c>
      <c r="H274" s="198">
        <f t="shared" si="177"/>
        <v>4.0000000000000001E-10</v>
      </c>
      <c r="I274" s="198">
        <f t="shared" si="177"/>
        <v>5.0000000000000003E-10</v>
      </c>
      <c r="J274" s="84">
        <f>J8</f>
        <v>6E-10</v>
      </c>
      <c r="K274" s="84">
        <f>K8</f>
        <v>6.9999999999999996E-10</v>
      </c>
      <c r="L274" s="90">
        <f>L8</f>
        <v>8.0000000000000003E-10</v>
      </c>
      <c r="M274" s="90">
        <f>M8</f>
        <v>8.9999999999999999E-10</v>
      </c>
      <c r="N274" s="198">
        <f t="shared" si="178"/>
        <v>9.5000000000000003E-10</v>
      </c>
      <c r="O274" s="471"/>
      <c r="P274" s="197" t="s">
        <v>2166</v>
      </c>
      <c r="Q274" s="198">
        <f t="shared" ref="Q274:Q279" si="180">I$13</f>
        <v>5.0000000000000003E-10</v>
      </c>
      <c r="R274" s="84">
        <f>IF(OR(J1="物理",J1="化學",J1="生物",J1="組合科學(物理、化學)",J1="組合科學(物理、生物)",J1="組合科學(生物、化學)",J1="綜合科學"),J6,0)</f>
        <v>0</v>
      </c>
      <c r="S274" s="84">
        <f>IF(OR(K1="物理",K1="化學",K1="生物",K1="組合科學(物理、化學)",K1="組合科學(物理、生物)",K1="組合科學(生物、化學)",K1="綜合科學"),K6,0)</f>
        <v>0</v>
      </c>
      <c r="T274" s="84">
        <f>IF(OR(L1="物理",L1="化學",L1="生物",L1="組合科學(物理、化學)",L1="組合科學(物理、生物)",L1="組合科學(生物、化學)",L1="綜合科學"),L6,0)</f>
        <v>0</v>
      </c>
      <c r="U274" s="84">
        <f>IF(OR(M1="物理",M1="化學",M1="生物",M1="組合科學(物理、化學)",M1="組合科學(物理、生物)",M1="組合科學(生物、化學)",M1="綜合科學"),M6,0)</f>
        <v>0</v>
      </c>
    </row>
    <row r="275" spans="1:36">
      <c r="A275" s="199" t="str">
        <f>HKU!A21</f>
        <v>JS6925</v>
      </c>
      <c r="B275" s="207" t="str">
        <f>HKU!C21</f>
        <v>工學學士(生物醫學工程)</v>
      </c>
      <c r="C275" s="359" t="s">
        <v>189</v>
      </c>
      <c r="D275" s="172">
        <f>F275+G275+LARGE((E275,H275:N275),1)+LARGE((E275,H275:N275),2)+LARGE((E275,H275:N275),3)</f>
        <v>3.1500000000000005E-9</v>
      </c>
      <c r="E275" s="198">
        <f t="shared" si="177"/>
        <v>1E-10</v>
      </c>
      <c r="F275" s="198">
        <f t="shared" si="177"/>
        <v>2.0000000000000001E-10</v>
      </c>
      <c r="G275" s="198">
        <f t="shared" si="177"/>
        <v>3E-10</v>
      </c>
      <c r="H275" s="198">
        <f t="shared" si="177"/>
        <v>4.0000000000000001E-10</v>
      </c>
      <c r="I275" s="198">
        <f t="shared" si="177"/>
        <v>5.0000000000000003E-10</v>
      </c>
      <c r="J275" s="84">
        <f>J8</f>
        <v>6E-10</v>
      </c>
      <c r="K275" s="84">
        <f>K8</f>
        <v>6.9999999999999996E-10</v>
      </c>
      <c r="L275" s="84">
        <f>L8</f>
        <v>8.0000000000000003E-10</v>
      </c>
      <c r="M275" s="84">
        <f>M8</f>
        <v>8.9999999999999999E-10</v>
      </c>
      <c r="N275" s="198">
        <f t="shared" si="178"/>
        <v>9.5000000000000003E-10</v>
      </c>
      <c r="O275" s="471"/>
      <c r="P275" s="197" t="s">
        <v>2168</v>
      </c>
      <c r="Q275" s="198">
        <f t="shared" si="180"/>
        <v>5.0000000000000003E-10</v>
      </c>
      <c r="R275" s="84">
        <f>IF(OR(J1="物理",J1="化學",J1="生物",J1="組合科學(物理、化學)",J1="組合科學(物理、生物)",J1="組合科學(生物、化學)",J1="綜合科學",J1="資訊及通訊科技"),J6,0)</f>
        <v>0</v>
      </c>
      <c r="S275" s="84">
        <f>IF(OR(K1="物理",K1="化學",K1="生物",K1="組合科學(物理、化學)",K1="組合科學(物理、生物)",K1="組合科學(生物、化學)",K1="綜合科學",K1="資訊及通訊科技"),K6,0)</f>
        <v>0</v>
      </c>
      <c r="T275" s="84">
        <f>IF(OR(L1="物理",L1="化學",L1="生物",L1="組合科學(物理、化學)",L1="組合科學(物理、生物)",L1="組合科學(生物、化學)",L1="綜合科學",L1="資訊及通訊科技"),L6,0)</f>
        <v>0</v>
      </c>
      <c r="U275" s="84">
        <f>IF(OR(M1="物理",M1="化學",M1="生物",M1="組合科學(物理、化學)",M1="組合科學(物理、生物)",M1="組合科學(生物、化學)",M1="綜合科學",M1="資訊及通訊科技"),M6,0)</f>
        <v>0</v>
      </c>
    </row>
    <row r="276" spans="1:36">
      <c r="A276" s="199" t="str">
        <f>HKU!A22</f>
        <v>JS6937</v>
      </c>
      <c r="B276" s="207" t="str">
        <f>HKU!C22</f>
        <v>環球工程與商業課程</v>
      </c>
      <c r="C276" s="359" t="s">
        <v>189</v>
      </c>
      <c r="D276" s="172">
        <f>F276+G276+LARGE((E276,H276:N276),1)+LARGE((E276,H276:N276),2)+LARGE((E276,H276:N276),3)</f>
        <v>3.1500000000000005E-9</v>
      </c>
      <c r="E276" s="198">
        <f t="shared" si="177"/>
        <v>1E-10</v>
      </c>
      <c r="F276" s="198">
        <f t="shared" si="177"/>
        <v>2.0000000000000001E-10</v>
      </c>
      <c r="G276" s="198">
        <f t="shared" si="177"/>
        <v>3E-10</v>
      </c>
      <c r="H276" s="198">
        <f t="shared" si="177"/>
        <v>4.0000000000000001E-10</v>
      </c>
      <c r="I276" s="198">
        <f t="shared" si="177"/>
        <v>5.0000000000000003E-10</v>
      </c>
      <c r="J276" s="84">
        <f>J8</f>
        <v>6E-10</v>
      </c>
      <c r="K276" s="84">
        <f>K8</f>
        <v>6.9999999999999996E-10</v>
      </c>
      <c r="L276" s="90">
        <f>L8</f>
        <v>8.0000000000000003E-10</v>
      </c>
      <c r="M276" s="90">
        <f>M8</f>
        <v>8.9999999999999999E-10</v>
      </c>
      <c r="N276" s="198">
        <f t="shared" si="178"/>
        <v>9.5000000000000003E-10</v>
      </c>
      <c r="O276" s="471"/>
      <c r="P276" s="197" t="s">
        <v>393</v>
      </c>
      <c r="Q276" s="198">
        <f t="shared" si="180"/>
        <v>5.0000000000000003E-10</v>
      </c>
      <c r="R276" s="84">
        <f>IF(OR(J1="物理",J1="組合科學(物理、化學)",J1="組合科學(物理、生物)"),J6,0)</f>
        <v>0</v>
      </c>
      <c r="S276" s="84">
        <f>IF(OR(K1="物理",K1="組合科學(物理、化學)",K1="組合科學(物理、生物)"),K6,0)</f>
        <v>0</v>
      </c>
      <c r="T276" s="84">
        <f>IF(OR(L1="物理",L1="組合科學(物理、化學)",L1="組合科學(物理、生物)"),L6,0)</f>
        <v>0</v>
      </c>
      <c r="U276" s="84">
        <f>IF(OR(M1="物理",M1="組合科學(物理、化學)",M1="組合科學(物理、生物)"),M6,0)</f>
        <v>0</v>
      </c>
    </row>
    <row r="277" spans="1:36">
      <c r="A277" s="199" t="str">
        <f>HKU!A23</f>
        <v>JS6951</v>
      </c>
      <c r="B277" s="207" t="str">
        <f>HKU!C23</f>
        <v>工學學士(工程科學)</v>
      </c>
      <c r="C277" s="359" t="s">
        <v>189</v>
      </c>
      <c r="D277" s="172">
        <f>F277+G277+LARGE((E277,H277:N277),1)+LARGE((E277,H277:N277),2)+LARGE((E277,H277:N277),3)</f>
        <v>3.1500000000000005E-9</v>
      </c>
      <c r="E277" s="198">
        <f t="shared" si="177"/>
        <v>1E-10</v>
      </c>
      <c r="F277" s="198">
        <f t="shared" si="177"/>
        <v>2.0000000000000001E-10</v>
      </c>
      <c r="G277" s="198">
        <f t="shared" si="177"/>
        <v>3E-10</v>
      </c>
      <c r="H277" s="198">
        <f t="shared" si="177"/>
        <v>4.0000000000000001E-10</v>
      </c>
      <c r="I277" s="198">
        <f t="shared" si="177"/>
        <v>5.0000000000000003E-10</v>
      </c>
      <c r="J277" s="84">
        <f>J8</f>
        <v>6E-10</v>
      </c>
      <c r="K277" s="84">
        <f>K8</f>
        <v>6.9999999999999996E-10</v>
      </c>
      <c r="L277" s="90">
        <f>L8</f>
        <v>8.0000000000000003E-10</v>
      </c>
      <c r="M277" s="90">
        <f>M8</f>
        <v>8.9999999999999999E-10</v>
      </c>
      <c r="N277" s="198">
        <f t="shared" si="178"/>
        <v>9.5000000000000003E-10</v>
      </c>
      <c r="O277" s="471"/>
      <c r="P277" s="197" t="s">
        <v>394</v>
      </c>
      <c r="Q277" s="198">
        <f t="shared" si="180"/>
        <v>5.0000000000000003E-10</v>
      </c>
      <c r="R277" s="84">
        <f>IF(OR(J1="化學",J1="組合科學(物理、化學)",J1="組合科學(生物、化學)"),J6,0)</f>
        <v>0</v>
      </c>
      <c r="S277" s="84">
        <f>IF(OR(K1="化學",K1="組合科學(物理、化學)",K1="組合科學(生物、化學)"),K6,0)</f>
        <v>0</v>
      </c>
      <c r="T277" s="84">
        <f>IF(OR(L1="化學",L1="組合科學(物理、化學)",L1="組合科學(生物、化學)"),L6,0)</f>
        <v>0</v>
      </c>
      <c r="U277" s="84">
        <f>IF(OR(M1="化學",M1="組合科學(物理、化學)",M1="組合科學(生物、化學)"),M6,0)</f>
        <v>0</v>
      </c>
    </row>
    <row r="278" spans="1:36">
      <c r="A278" s="199" t="str">
        <f>HKU!A24</f>
        <v>JS6963</v>
      </c>
      <c r="B278" s="207" t="str">
        <f>HKU!C24</f>
        <v>工學學士</v>
      </c>
      <c r="C278" s="359" t="s">
        <v>189</v>
      </c>
      <c r="D278" s="172">
        <f>F278+G278+LARGE((E278,H278:N278),1)+LARGE((E278,H278:N278),2)+LARGE((E278,H278:N278),3)</f>
        <v>3.1500000000000005E-9</v>
      </c>
      <c r="E278" s="198">
        <f t="shared" si="177"/>
        <v>1E-10</v>
      </c>
      <c r="F278" s="198">
        <f t="shared" si="177"/>
        <v>2.0000000000000001E-10</v>
      </c>
      <c r="G278" s="198">
        <f t="shared" si="177"/>
        <v>3E-10</v>
      </c>
      <c r="H278" s="198">
        <f t="shared" si="177"/>
        <v>4.0000000000000001E-10</v>
      </c>
      <c r="I278" s="198">
        <f t="shared" si="177"/>
        <v>5.0000000000000003E-10</v>
      </c>
      <c r="J278" s="84">
        <f>J8</f>
        <v>6E-10</v>
      </c>
      <c r="K278" s="84">
        <f>K8</f>
        <v>6.9999999999999996E-10</v>
      </c>
      <c r="L278" s="90">
        <f>L8</f>
        <v>8.0000000000000003E-10</v>
      </c>
      <c r="M278" s="90">
        <f>M8</f>
        <v>8.9999999999999999E-10</v>
      </c>
      <c r="N278" s="198">
        <f t="shared" si="178"/>
        <v>9.5000000000000003E-10</v>
      </c>
      <c r="O278" s="471"/>
      <c r="P278" s="197" t="s">
        <v>2170</v>
      </c>
      <c r="Q278" s="198">
        <f t="shared" si="180"/>
        <v>5.0000000000000003E-10</v>
      </c>
      <c r="R278" s="84">
        <f>IF(OR(J1="生物",J1="組合科學(物理、生物)",J1="組合科學(生物、化學)"),J6,0)</f>
        <v>0</v>
      </c>
      <c r="S278" s="198">
        <f>IF(OR(K1="生物",K1="組合科學(物理、生物)",K1="組合科學(生物、化學)"),K6,0)</f>
        <v>0</v>
      </c>
      <c r="T278" s="198">
        <f>IF(OR(L1="生物",L1="組合科學(物理、生物)",L1="組合科學(生物、化學)"),L6,0)</f>
        <v>0</v>
      </c>
      <c r="U278" s="198">
        <f>IF(OR(M1="生物",M1="組合科學(物理、生物)",M1="組合科學(生物、化學)"),M6,0)</f>
        <v>0</v>
      </c>
    </row>
    <row r="279" spans="1:36">
      <c r="A279" s="199" t="str">
        <f>HKU!A25</f>
        <v>JS6078</v>
      </c>
      <c r="B279" s="207" t="str">
        <f>HKU!C25</f>
        <v>文學士及法學士 (雙學位課程)</v>
      </c>
      <c r="C279" s="359" t="s">
        <v>58</v>
      </c>
      <c r="D279" s="172">
        <f>F279+LARGE((E279,G279:H279,J279:M279),1)+LARGE((E279,G279:H279,J279:M279),2)+LARGE((E279,G279:H279,J279:M279),3)+LARGE((E279,G279:H279,J279:M279),4)+LARGE((E279,G279:H279,J279:M279),5)</f>
        <v>3.6E-9</v>
      </c>
      <c r="E279" s="198">
        <f t="shared" si="177"/>
        <v>1E-10</v>
      </c>
      <c r="F279" s="198">
        <f t="shared" si="177"/>
        <v>2.0000000000000001E-10</v>
      </c>
      <c r="G279" s="198">
        <f t="shared" si="177"/>
        <v>3E-10</v>
      </c>
      <c r="H279" s="198">
        <f t="shared" si="177"/>
        <v>4.0000000000000001E-10</v>
      </c>
      <c r="I279" s="198">
        <f t="shared" si="177"/>
        <v>5.0000000000000003E-10</v>
      </c>
      <c r="J279" s="84">
        <f>J8</f>
        <v>6E-10</v>
      </c>
      <c r="K279" s="84">
        <f>K8</f>
        <v>6.9999999999999996E-10</v>
      </c>
      <c r="L279" s="90">
        <f>L8</f>
        <v>8.0000000000000003E-10</v>
      </c>
      <c r="M279" s="90">
        <f>M8</f>
        <v>8.9999999999999999E-10</v>
      </c>
      <c r="N279" s="198">
        <f t="shared" si="178"/>
        <v>9.5000000000000003E-10</v>
      </c>
      <c r="O279" s="471"/>
      <c r="P279" s="197" t="s">
        <v>2174</v>
      </c>
      <c r="Q279" s="198">
        <f t="shared" si="180"/>
        <v>5.0000000000000003E-10</v>
      </c>
      <c r="R279" s="84">
        <f>IF(OR(J1="化學",J1="生物",J1="組合科學(物理、化學)",J1="組合科學(物理、生物)",J1="組合科學(生物、化學)"),J6,0)</f>
        <v>0</v>
      </c>
      <c r="S279" s="198">
        <f>IF(OR(K1="化學",K1="生物",K1="組合科學(物理、化學)",K1="組合科學(物理、生物)",K1="組合科學(生物、化學)"),K6,0)</f>
        <v>0</v>
      </c>
      <c r="T279" s="198">
        <f>IF(OR(L1="化學",L1="生物",L1="組合科學(物理、化學)",L1="組合科學(物理、生物)",L1="組合科學(生物、化學)"),L6,0)</f>
        <v>0</v>
      </c>
      <c r="U279" s="198">
        <f>IF(OR(M1="化學",M1="生物",M1="組合科學(物理、化學)",M1="組合科學(物理、生物)",M1="組合科學(生物、化學)"),M6,0)</f>
        <v>0</v>
      </c>
    </row>
    <row r="280" spans="1:36">
      <c r="A280" s="199" t="str">
        <f>HKU!A26</f>
        <v>JS6406</v>
      </c>
      <c r="B280" s="207" t="str">
        <f>HKU!C26</f>
        <v>法學士</v>
      </c>
      <c r="C280" s="359" t="s">
        <v>58</v>
      </c>
      <c r="D280" s="172">
        <f>F280+LARGE((E280,G280:H280,J280:M280),1)+LARGE((E280,G280:H280,J280:M280),2)+LARGE((E280,G280:H280,J280:M280),3)+LARGE((E280,G280:H280,J280:M280),4)+LARGE((E280,G280:H280,J280:M280),5)</f>
        <v>3.6E-9</v>
      </c>
      <c r="E280" s="198">
        <f t="shared" si="177"/>
        <v>1E-10</v>
      </c>
      <c r="F280" s="198">
        <f t="shared" si="177"/>
        <v>2.0000000000000001E-10</v>
      </c>
      <c r="G280" s="198">
        <f t="shared" si="177"/>
        <v>3E-10</v>
      </c>
      <c r="H280" s="198">
        <f t="shared" si="177"/>
        <v>4.0000000000000001E-10</v>
      </c>
      <c r="I280" s="198">
        <f t="shared" si="177"/>
        <v>5.0000000000000003E-10</v>
      </c>
      <c r="J280" s="84">
        <f>J8</f>
        <v>6E-10</v>
      </c>
      <c r="K280" s="84">
        <f>K8</f>
        <v>6.9999999999999996E-10</v>
      </c>
      <c r="L280" s="90">
        <f>L8</f>
        <v>8.0000000000000003E-10</v>
      </c>
      <c r="M280" s="90">
        <f>M8</f>
        <v>8.9999999999999999E-10</v>
      </c>
      <c r="N280" s="198">
        <f t="shared" si="178"/>
        <v>9.5000000000000003E-10</v>
      </c>
      <c r="O280" s="471"/>
    </row>
    <row r="281" spans="1:36" s="198" customFormat="1">
      <c r="A281" s="199" t="str">
        <f>HKU!A27</f>
        <v>JS6418</v>
      </c>
      <c r="B281" s="207" t="str">
        <f>HKU!C27</f>
        <v>護理學學士菁英領袖培育專修組別</v>
      </c>
      <c r="C281" s="440" t="s">
        <v>189</v>
      </c>
      <c r="D281" s="208">
        <f>LARGE((E281:H281,J281:M281),1)+LARGE((E281:H281,J281:M281),2)+LARGE((E281:H281,J281:M281),3)+LARGE((E281:H281,J281:M281),4)+LARGE((E281:H281,J281:M281),5)</f>
        <v>3.3999999999999998E-9</v>
      </c>
      <c r="E281" s="198">
        <f t="shared" si="177"/>
        <v>1E-10</v>
      </c>
      <c r="F281" s="198">
        <f t="shared" si="177"/>
        <v>2.0000000000000001E-10</v>
      </c>
      <c r="G281" s="198">
        <f t="shared" si="177"/>
        <v>3E-10</v>
      </c>
      <c r="H281" s="198">
        <f t="shared" si="177"/>
        <v>4.0000000000000001E-10</v>
      </c>
      <c r="I281" s="198">
        <f t="shared" si="177"/>
        <v>5.0000000000000003E-10</v>
      </c>
      <c r="J281" s="198">
        <f>J$8</f>
        <v>6E-10</v>
      </c>
      <c r="K281" s="198">
        <f>K$8</f>
        <v>6.9999999999999996E-10</v>
      </c>
      <c r="L281" s="198">
        <f>L$8</f>
        <v>8.0000000000000003E-10</v>
      </c>
      <c r="M281" s="198">
        <f>M$8</f>
        <v>8.9999999999999999E-10</v>
      </c>
      <c r="N281" s="198">
        <f t="shared" si="178"/>
        <v>9.5000000000000003E-10</v>
      </c>
      <c r="O281" s="471"/>
      <c r="P281" s="84"/>
      <c r="Q281" s="83" t="s">
        <v>391</v>
      </c>
      <c r="R281" s="84"/>
      <c r="S281" s="84"/>
      <c r="T281" s="90"/>
      <c r="U281" s="84"/>
      <c r="V281" s="84"/>
      <c r="W281" s="84"/>
      <c r="X281" s="84"/>
      <c r="Y281" s="84"/>
      <c r="Z281" s="84"/>
      <c r="AJ281" s="84"/>
    </row>
    <row r="282" spans="1:36">
      <c r="A282" s="199" t="str">
        <f>HKU!A28</f>
        <v>JS6456</v>
      </c>
      <c r="B282" s="207" t="str">
        <f>HKU!C28</f>
        <v>內外全科醫學士</v>
      </c>
      <c r="C282" s="359" t="s">
        <v>58</v>
      </c>
      <c r="D282" s="172">
        <f>IF($G$13&gt;$Q$282,(LARGE((E282:H282,J282:M282),1)+LARGE((E282:H282,J282:M282),2)+LARGE((E282:H282,J282:M282),3)+LARGE((E282:H282,J282:M282),4)+LARGE((E282:H282,J282:M282),5)+LARGE((E282:H282,J282:M282),6)),(LARGE((E282:F282,H282,$Q$282,J282:M282),1)+LARGE((E282:F282,H282,$Q$282,J282:M282),2)+LARGE((E282:F282,H282,$Q$282,J282:M282),3)+LARGE((E282:F282,H282,$Q$282,J282:M282),4)+LARGE((E282:F282,H282,$Q$282,J282:M282),5)+LARGE((E282:F282,H282,$Q$282,J282:M282),6)))</f>
        <v>3.7666666666666665E-9</v>
      </c>
      <c r="E282" s="198">
        <f t="shared" ref="E282:N282" si="181">IF(E15=FALSE,E$8,E$8*0.9)</f>
        <v>1E-10</v>
      </c>
      <c r="F282" s="198">
        <f t="shared" si="181"/>
        <v>2.0000000000000001E-10</v>
      </c>
      <c r="G282" s="198">
        <f t="shared" si="181"/>
        <v>3E-10</v>
      </c>
      <c r="H282" s="198">
        <f t="shared" si="181"/>
        <v>4.0000000000000001E-10</v>
      </c>
      <c r="I282" s="198">
        <f t="shared" si="181"/>
        <v>5.0000000000000003E-10</v>
      </c>
      <c r="J282" s="198">
        <f t="shared" si="181"/>
        <v>6E-10</v>
      </c>
      <c r="K282" s="198">
        <f t="shared" si="181"/>
        <v>6.9999999999999996E-10</v>
      </c>
      <c r="L282" s="198">
        <f t="shared" si="181"/>
        <v>8.0000000000000003E-10</v>
      </c>
      <c r="M282" s="198">
        <f t="shared" si="181"/>
        <v>8.9999999999999999E-10</v>
      </c>
      <c r="N282" s="198">
        <f t="shared" si="181"/>
        <v>9.5000000000000003E-10</v>
      </c>
      <c r="O282" s="471">
        <v>0.1</v>
      </c>
      <c r="Q282" s="84">
        <f>(G8+I8*0.5)/1.5</f>
        <v>3.6666666666666664E-10</v>
      </c>
    </row>
    <row r="283" spans="1:36">
      <c r="A283" s="199" t="str">
        <f>HKU!A29</f>
        <v>JS6468</v>
      </c>
      <c r="B283" s="207" t="str">
        <f>HKU!C29</f>
        <v>護理學學士</v>
      </c>
      <c r="C283" s="359" t="s">
        <v>59</v>
      </c>
      <c r="D283" s="172">
        <f>LARGE((E283:H283,J283:M283),1)+LARGE((E283:H283,J283:M283),2)+LARGE((E283:H283,J283:M283),3)+LARGE((E283:H283,J283:M283),4)+LARGE((E283:H283,J283:M283),5)</f>
        <v>3.3999999999999998E-9</v>
      </c>
      <c r="E283" s="198">
        <f t="shared" ref="E283:I284" si="182">E$8</f>
        <v>1E-10</v>
      </c>
      <c r="F283" s="198">
        <f t="shared" si="182"/>
        <v>2.0000000000000001E-10</v>
      </c>
      <c r="G283" s="198">
        <f t="shared" si="182"/>
        <v>3E-10</v>
      </c>
      <c r="H283" s="198">
        <f t="shared" si="182"/>
        <v>4.0000000000000001E-10</v>
      </c>
      <c r="I283" s="198">
        <f t="shared" si="182"/>
        <v>5.0000000000000003E-10</v>
      </c>
      <c r="J283" s="84">
        <f>J8</f>
        <v>6E-10</v>
      </c>
      <c r="K283" s="84">
        <f>K8</f>
        <v>6.9999999999999996E-10</v>
      </c>
      <c r="L283" s="90">
        <f>L8</f>
        <v>8.0000000000000003E-10</v>
      </c>
      <c r="M283" s="90">
        <f>M8</f>
        <v>8.9999999999999999E-10</v>
      </c>
      <c r="N283" s="198">
        <f>N$8</f>
        <v>9.5000000000000003E-10</v>
      </c>
      <c r="O283" s="471"/>
      <c r="P283" s="198"/>
      <c r="Q283" s="198"/>
      <c r="R283" s="198"/>
      <c r="S283" s="198"/>
      <c r="T283" s="200"/>
      <c r="U283" s="84" t="s">
        <v>2346</v>
      </c>
      <c r="V283" s="198"/>
      <c r="W283" s="198"/>
      <c r="X283" s="198"/>
      <c r="Y283" s="198"/>
      <c r="Z283" s="198"/>
    </row>
    <row r="284" spans="1:36">
      <c r="A284" s="199" t="str">
        <f>HKU!A30</f>
        <v>JS6482</v>
      </c>
      <c r="B284" s="207" t="str">
        <f>HKU!C30</f>
        <v>中醫全科學士</v>
      </c>
      <c r="C284" s="359" t="s">
        <v>59</v>
      </c>
      <c r="D284" s="172">
        <f>LARGE((E284:H284,J284:M284),1)+LARGE((E284:H284,J284:M284),2)+LARGE((E284:H284,J284:M284),3)+LARGE((E284:H284,J284:M284),4)+LARGE((E284:H284,J284:M284),5)</f>
        <v>3.3999999999999998E-9</v>
      </c>
      <c r="E284" s="198">
        <f t="shared" si="182"/>
        <v>1E-10</v>
      </c>
      <c r="F284" s="198">
        <f t="shared" si="182"/>
        <v>2.0000000000000001E-10</v>
      </c>
      <c r="G284" s="198">
        <f t="shared" si="182"/>
        <v>3E-10</v>
      </c>
      <c r="H284" s="198">
        <f t="shared" si="182"/>
        <v>4.0000000000000001E-10</v>
      </c>
      <c r="I284" s="198">
        <f t="shared" si="182"/>
        <v>5.0000000000000003E-10</v>
      </c>
      <c r="J284" s="84">
        <f>J8</f>
        <v>6E-10</v>
      </c>
      <c r="K284" s="84">
        <f>K8</f>
        <v>6.9999999999999996E-10</v>
      </c>
      <c r="L284" s="90">
        <f>L8</f>
        <v>8.0000000000000003E-10</v>
      </c>
      <c r="M284" s="90">
        <f>M8</f>
        <v>8.9999999999999999E-10</v>
      </c>
      <c r="N284" s="198">
        <f>N$8</f>
        <v>9.5000000000000003E-10</v>
      </c>
      <c r="O284" s="471"/>
      <c r="P284" s="197" t="s">
        <v>2344</v>
      </c>
      <c r="Q284" s="84" t="str">
        <f>J1</f>
        <v>請選擇第一選修科</v>
      </c>
      <c r="R284" s="198" t="str">
        <f>K1</f>
        <v>請選擇第二選修科</v>
      </c>
      <c r="S284" s="198" t="str">
        <f>L1</f>
        <v>請選擇第三選修科</v>
      </c>
      <c r="T284" s="198" t="str">
        <f>M1</f>
        <v>請選擇第四選修科</v>
      </c>
      <c r="U284" s="84" t="str">
        <f>INDEX(J$1:M$1,MATCH(LARGE(Q285:T285,1),Q285:T285,0))</f>
        <v>請選擇第一選修科</v>
      </c>
      <c r="V284" s="84" t="s">
        <v>2347</v>
      </c>
      <c r="Z284" s="84" t="s">
        <v>2348</v>
      </c>
    </row>
    <row r="285" spans="1:36">
      <c r="A285" s="199" t="str">
        <f>HKU!A31</f>
        <v>JS6494</v>
      </c>
      <c r="B285" s="207" t="str">
        <f>HKU!C31</f>
        <v>藥劑學學士</v>
      </c>
      <c r="C285" s="359" t="s">
        <v>58</v>
      </c>
      <c r="D285" s="172">
        <f>IF($G$13&gt;$Q$282,(LARGE((E285:H285,J285:M285),1)+LARGE((E285:H285,J285:M285),2)+LARGE((E285:H285,J285:M285),3)+LARGE((E285:H285,J285:M285),4)+LARGE((E285:H285,J285:M285),5)+LARGE((E285:H285,J285:M285),6)),(LARGE((E285:F285,H285,$Q$282,J285:M285),1)+LARGE((E285:F285,H285,$Q$282,J285:M285),2)+LARGE((E285:F285,H285,$Q$282,J285:M285),3)+LARGE((E285:F285,H285,$Q$282,J285:M285),4)+LARGE((E285:F285,H285,$Q$282,J285:M285),5)+LARGE((E285:F285,H285,$Q$282,J285:M285),6)))</f>
        <v>3.7666666666666665E-9</v>
      </c>
      <c r="E285" s="198">
        <f t="shared" ref="E285:N285" si="183">IF(E15=FALSE,E$8,E$8*0.9)</f>
        <v>1E-10</v>
      </c>
      <c r="F285" s="198">
        <f t="shared" si="183"/>
        <v>2.0000000000000001E-10</v>
      </c>
      <c r="G285" s="198">
        <f t="shared" si="183"/>
        <v>3E-10</v>
      </c>
      <c r="H285" s="198">
        <f t="shared" si="183"/>
        <v>4.0000000000000001E-10</v>
      </c>
      <c r="I285" s="198">
        <f t="shared" si="183"/>
        <v>5.0000000000000003E-10</v>
      </c>
      <c r="J285" s="198">
        <f t="shared" si="183"/>
        <v>6E-10</v>
      </c>
      <c r="K285" s="198">
        <f t="shared" si="183"/>
        <v>6.9999999999999996E-10</v>
      </c>
      <c r="L285" s="198">
        <f t="shared" si="183"/>
        <v>8.0000000000000003E-10</v>
      </c>
      <c r="M285" s="198">
        <f t="shared" si="183"/>
        <v>8.9999999999999999E-10</v>
      </c>
      <c r="N285" s="198">
        <f t="shared" si="183"/>
        <v>9.5000000000000003E-10</v>
      </c>
      <c r="O285" s="471">
        <v>0.1</v>
      </c>
      <c r="P285" s="84" t="s">
        <v>2345</v>
      </c>
      <c r="Q285" s="84">
        <f>IF(OR(J1="物理",J1="化學",J1="生物",J1="組合科學(物理、化學)",J1="組合科學(生物、化學)",J1="組合科學(物理、生物)"),J8,0)</f>
        <v>0</v>
      </c>
      <c r="R285" s="198">
        <f>IF(OR(K1="物理",K1="化學",K1="生物",K1="組合科學(物理、化學)",K1="組合科學(生物、化學)",K1="組合科學(物理、生物)"),K8,0)</f>
        <v>0</v>
      </c>
      <c r="S285" s="198">
        <f>IF(OR(L1="物理",L1="化學",L1="生物",L1="組合科學(物理、化學)",L1="組合科學(生物、化學)",L1="組合科學(物理、生物)"),L8,0)</f>
        <v>0</v>
      </c>
      <c r="T285" s="198">
        <f>IF(OR(M1="物理",M1="化學",M1="生物",M1="組合科學(物理、化學)",M1="組合科學(生物、化學)",M1="組合科學(物理、生物)"),M8,0)</f>
        <v>0</v>
      </c>
      <c r="U285" s="84">
        <f>LARGE(Q285:T285,1)*1.3</f>
        <v>0</v>
      </c>
      <c r="V285" s="84">
        <f>IF(AND(J15=TRUE,U284=J1),$U$285*0.9,$U$285)</f>
        <v>0</v>
      </c>
      <c r="W285" s="198">
        <f>IF(AND(K15=TRUE,U284=K1),$U$285*0.9,$U$285)</f>
        <v>0</v>
      </c>
      <c r="X285" s="198">
        <f>IF(AND(L15=TRUE,U284=L1),$U$285*0.9,$U$285)</f>
        <v>0</v>
      </c>
      <c r="Y285" s="198">
        <f>IF(AND(M15=TRUE,U284=M1),$U$285*0.9,$U$285)</f>
        <v>0</v>
      </c>
      <c r="Z285" s="84">
        <f>LARGE(V285:Y285,4)</f>
        <v>0</v>
      </c>
    </row>
    <row r="286" spans="1:36">
      <c r="A286" s="199" t="str">
        <f>HKU!A32</f>
        <v>JS6949</v>
      </c>
      <c r="B286" s="207" t="str">
        <f>HKU!C32</f>
        <v>生物醫學學士</v>
      </c>
      <c r="C286" s="359" t="s">
        <v>58</v>
      </c>
      <c r="D286" s="172">
        <f>IF($G$13&gt;$Q$282,(LARGE((E286:H286,J286:M286),1)+LARGE((E286:H286,J286:M286),2)+LARGE((E286:H286,J286:M286),3)+LARGE((E286:H286,J286:M286),4)+LARGE((E286:H286,J286:M286),5)+LARGE((E286:H286,J286:M286),6)),(LARGE((E286:F286,H286,$Q$282,J286:M286),1)+LARGE((E286:F286,H286,$Q$282,J286:M286),2)+LARGE((E286:F286,H286,$Q$282,J286:M286),3)+LARGE((E286:F286,H286,$Q$282,J286:M286),4)+LARGE((E286:F286,H286,$Q$282,J286:M286),5)+LARGE((E286:F286,H286,$Q$282,J286:M286),6)))</f>
        <v>3.7666666666666665E-9</v>
      </c>
      <c r="E286" s="198">
        <f t="shared" ref="E286:N286" si="184">IF(E15=FALSE,E$8,E$8*0.9)</f>
        <v>1E-10</v>
      </c>
      <c r="F286" s="198">
        <f t="shared" si="184"/>
        <v>2.0000000000000001E-10</v>
      </c>
      <c r="G286" s="198">
        <f t="shared" si="184"/>
        <v>3E-10</v>
      </c>
      <c r="H286" s="198">
        <f t="shared" si="184"/>
        <v>4.0000000000000001E-10</v>
      </c>
      <c r="I286" s="198">
        <f t="shared" si="184"/>
        <v>5.0000000000000003E-10</v>
      </c>
      <c r="J286" s="198">
        <f t="shared" si="184"/>
        <v>6E-10</v>
      </c>
      <c r="K286" s="198">
        <f t="shared" si="184"/>
        <v>6.9999999999999996E-10</v>
      </c>
      <c r="L286" s="198">
        <f t="shared" si="184"/>
        <v>8.0000000000000003E-10</v>
      </c>
      <c r="M286" s="198">
        <f t="shared" si="184"/>
        <v>8.9999999999999999E-10</v>
      </c>
      <c r="N286" s="198">
        <f t="shared" si="184"/>
        <v>9.5000000000000003E-10</v>
      </c>
      <c r="O286" s="471">
        <v>0.1</v>
      </c>
      <c r="Q286" s="84">
        <f>IF(Q284=U284,0,J8)</f>
        <v>0</v>
      </c>
      <c r="R286" s="198">
        <f>IF(R284=U284,0,K8)</f>
        <v>6.9999999999999996E-10</v>
      </c>
      <c r="S286" s="198">
        <f>IF(S284=U284,0,L8)</f>
        <v>8.0000000000000003E-10</v>
      </c>
      <c r="T286" s="198">
        <f>IF(T284=U284,0,M8)</f>
        <v>8.9999999999999999E-10</v>
      </c>
    </row>
    <row r="287" spans="1:36" s="198" customFormat="1">
      <c r="A287" s="199" t="str">
        <f>HKU!A33</f>
        <v>JS6688</v>
      </c>
      <c r="B287" s="207" t="str">
        <f>HKU!C33</f>
        <v>科研專才啟導課程</v>
      </c>
      <c r="C287" s="441" t="s">
        <v>58</v>
      </c>
      <c r="D287" s="208">
        <f>F287+G287+I287+R257+T257+LARGE((J287:M287,H287,E287),1)</f>
        <v>3.1249999999999999E-9</v>
      </c>
      <c r="E287" s="198">
        <f t="shared" ref="E287:I298" si="185">E$8</f>
        <v>1E-10</v>
      </c>
      <c r="F287" s="198">
        <f>F$8*2</f>
        <v>4.0000000000000001E-10</v>
      </c>
      <c r="G287" s="198">
        <f>G$8*2</f>
        <v>6E-10</v>
      </c>
      <c r="H287" s="198">
        <f t="shared" si="185"/>
        <v>4.0000000000000001E-10</v>
      </c>
      <c r="I287" s="198">
        <f>I$8*2</f>
        <v>1.0000000000000001E-9</v>
      </c>
      <c r="J287" s="198">
        <f>IF(OR(J1=$Q$256,J1=$S$256),0,Q288)</f>
        <v>7.5E-10</v>
      </c>
      <c r="K287" s="198">
        <f>IF(OR(K1=$Q$256,K1=$S$256),0,R288)</f>
        <v>8.7499999999999998E-10</v>
      </c>
      <c r="L287" s="198">
        <f>IF(OR(L1=$Q$256,L1=$S$256),0,S288)</f>
        <v>1.0000000000000001E-9</v>
      </c>
      <c r="M287" s="198">
        <f>IF(OR(M1=$Q$256,M1=$S$256),0,T288)</f>
        <v>1.1249999999999999E-9</v>
      </c>
      <c r="N287" s="198">
        <f t="shared" ref="N287:N298" si="186">N$8</f>
        <v>9.5000000000000003E-10</v>
      </c>
      <c r="O287" s="471"/>
      <c r="P287" s="84" t="s">
        <v>2349</v>
      </c>
      <c r="Q287" s="84">
        <f>IF(OR(J1="物理",J1="化學",J1="生物",J1="組合科學(物理、化學)",J1="組合科學(生物、化學)",J1="組合科學(物理、生物)",J1="綜合科學"),J8*2,J8*1.25)</f>
        <v>7.5E-10</v>
      </c>
      <c r="R287" s="198">
        <f>IF(OR(K1="物理",K1="化學",K1="生物",K1="組合科學(物理、化學)",K1="組合科學(生物、化學)",K1="組合科學(物理、生物)",K1="綜合科學"),K8*2,K8*1.25)</f>
        <v>8.7499999999999998E-10</v>
      </c>
      <c r="S287" s="198">
        <f>IF(OR(L1="物理",L1="化學",L1="生物",L1="組合科學(物理、化學)",L1="組合科學(生物、化學)",L1="組合科學(物理、生物)",L1="綜合科學"),L8*2,L8*1.25)</f>
        <v>1.0000000000000001E-9</v>
      </c>
      <c r="T287" s="198">
        <f>IF(OR(M1="物理",M1="化學",M1="生物",M1="組合科學(物理、化學)",M1="組合科學(生物、化學)",M1="組合科學(物理、生物)",M1="綜合科學"),M8*2,M8*1.25)</f>
        <v>1.1249999999999999E-9</v>
      </c>
      <c r="U287" s="84"/>
      <c r="V287" s="84"/>
      <c r="W287" s="84"/>
      <c r="X287" s="84"/>
      <c r="Y287" s="84"/>
      <c r="Z287" s="84"/>
      <c r="AE287" s="84"/>
      <c r="AF287" s="84"/>
      <c r="AG287" s="84"/>
      <c r="AH287" s="84"/>
      <c r="AI287" s="84"/>
      <c r="AJ287" s="84"/>
    </row>
    <row r="288" spans="1:36">
      <c r="A288" s="199" t="str">
        <f>HKU!A34</f>
        <v>JS6729</v>
      </c>
      <c r="B288" s="207" t="str">
        <f>HKU!C34</f>
        <v>理學士(精算學)</v>
      </c>
      <c r="C288" s="359" t="s">
        <v>58</v>
      </c>
      <c r="D288" s="172">
        <f>F288+G288+I288+LARGE((E288,H288,J288:M288),1)+LARGE((E288,H288,J288:M288),2)+LARGE((E288,H288,J288:M288),3)</f>
        <v>4.4000000000000005E-9</v>
      </c>
      <c r="E288" s="198">
        <f>E$8</f>
        <v>1E-10</v>
      </c>
      <c r="F288" s="198">
        <f>F$8*2</f>
        <v>4.0000000000000001E-10</v>
      </c>
      <c r="G288" s="198">
        <f>G$8*2</f>
        <v>6E-10</v>
      </c>
      <c r="H288" s="198">
        <f>H$8</f>
        <v>4.0000000000000001E-10</v>
      </c>
      <c r="I288" s="198">
        <f>I$8*2</f>
        <v>1.0000000000000001E-9</v>
      </c>
      <c r="J288" s="198">
        <f>J$8</f>
        <v>6E-10</v>
      </c>
      <c r="K288" s="198">
        <f t="shared" ref="K288:M288" si="187">K$8</f>
        <v>6.9999999999999996E-10</v>
      </c>
      <c r="L288" s="198">
        <f t="shared" si="187"/>
        <v>8.0000000000000003E-10</v>
      </c>
      <c r="M288" s="198">
        <f t="shared" si="187"/>
        <v>8.9999999999999999E-10</v>
      </c>
      <c r="N288" s="198">
        <f t="shared" si="186"/>
        <v>9.5000000000000003E-10</v>
      </c>
      <c r="O288" s="471"/>
      <c r="P288" s="84" t="s">
        <v>1344</v>
      </c>
      <c r="Q288" s="84">
        <f>IF(OR(J1="物理",J1="化學",J1="生物"),J8*2,J8*1.25)</f>
        <v>7.5E-10</v>
      </c>
      <c r="R288" s="198">
        <f>IF(OR(K1="物理",K1="化學",K1="生物"),K8*2,K8*1.25)</f>
        <v>8.7499999999999998E-10</v>
      </c>
      <c r="S288" s="198">
        <f>IF(OR(L1="物理",L1="化學",L1="生物"),L8*2,L8*1.25)</f>
        <v>1.0000000000000001E-9</v>
      </c>
      <c r="T288" s="198">
        <f>IF(OR(M1="物理",M1="化學",M1="生物"),M8*2,M8*1.25)</f>
        <v>1.1249999999999999E-9</v>
      </c>
    </row>
    <row r="289" spans="1:36">
      <c r="A289" s="199" t="str">
        <f>HKU!A35</f>
        <v>JS6901</v>
      </c>
      <c r="B289" s="207" t="str">
        <f>HKU!C35</f>
        <v>理學士</v>
      </c>
      <c r="C289" s="359" t="s">
        <v>189</v>
      </c>
      <c r="D289" s="172">
        <f>F289+G289+$R$259*2+LARGE((E289,H289:M289),1)+LARGE((E289,H289:M289),2)</f>
        <v>3.0249999999999998E-9</v>
      </c>
      <c r="E289" s="198">
        <f t="shared" si="185"/>
        <v>1E-10</v>
      </c>
      <c r="F289" s="198">
        <f>F$8*1.5</f>
        <v>3E-10</v>
      </c>
      <c r="G289" s="198">
        <f>G$8*2</f>
        <v>6E-10</v>
      </c>
      <c r="H289" s="198">
        <f>H$8</f>
        <v>4.0000000000000001E-10</v>
      </c>
      <c r="I289" s="198">
        <f>I$8*2</f>
        <v>1.0000000000000001E-9</v>
      </c>
      <c r="J289" s="84">
        <f>IF(J1=$Q$259,0,Q287)</f>
        <v>7.5E-10</v>
      </c>
      <c r="K289" s="198">
        <f t="shared" ref="K289:M289" si="188">IF(K1=$Q$259,0,R287)</f>
        <v>8.7499999999999998E-10</v>
      </c>
      <c r="L289" s="198">
        <f t="shared" si="188"/>
        <v>1.0000000000000001E-9</v>
      </c>
      <c r="M289" s="198">
        <f t="shared" si="188"/>
        <v>1.1249999999999999E-9</v>
      </c>
      <c r="N289" s="198">
        <f t="shared" si="186"/>
        <v>9.5000000000000003E-10</v>
      </c>
      <c r="O289" s="471"/>
      <c r="P289" s="84" t="s">
        <v>2350</v>
      </c>
      <c r="Q289" s="84">
        <f>IF(OR(J1="物理",J1="化學",J1="生物",J1="組合科學(物理、化學)",J1="組合科學(生物、化學)",J1="組合科學(物理、生物)",J1="綜合科學",J1="資訊及通訊科技"),J8*1.5,J8)</f>
        <v>6E-10</v>
      </c>
      <c r="R289" s="198">
        <f t="shared" ref="R289:T289" si="189">IF(OR(K1="物理",K1="化學",K1="生物",K1="組合科學(物理、化學)",K1="組合科學(生物、化學)",K1="組合科學(物理、生物)",K1="綜合科學",K1="資訊及通訊科技"),K8*1.5,K8)</f>
        <v>6.9999999999999996E-10</v>
      </c>
      <c r="S289" s="198">
        <f t="shared" si="189"/>
        <v>8.0000000000000003E-10</v>
      </c>
      <c r="T289" s="198">
        <f t="shared" si="189"/>
        <v>8.9999999999999999E-10</v>
      </c>
    </row>
    <row r="290" spans="1:36">
      <c r="A290" s="199" t="str">
        <f>HKU!A36</f>
        <v>JS6717</v>
      </c>
      <c r="B290" s="207" t="str">
        <f>HKU!C36</f>
        <v>社會科學學士</v>
      </c>
      <c r="C290" s="359" t="s">
        <v>59</v>
      </c>
      <c r="D290" s="172">
        <f>LARGE((E290:H290,J290:N290),1)+LARGE((E290:H290,J290:N290),2)+LARGE((E290:H290,J290:N290),3)+LARGE((E290:H290,J290:N290),4)+LARGE((E290:H290,J290:N290),5)</f>
        <v>3.9500000000000006E-9</v>
      </c>
      <c r="E290" s="198">
        <f t="shared" si="185"/>
        <v>1E-10</v>
      </c>
      <c r="F290" s="198">
        <f t="shared" si="185"/>
        <v>2.0000000000000001E-10</v>
      </c>
      <c r="G290" s="198">
        <f t="shared" si="185"/>
        <v>3E-10</v>
      </c>
      <c r="H290" s="198">
        <f t="shared" si="185"/>
        <v>4.0000000000000001E-10</v>
      </c>
      <c r="I290" s="198">
        <f t="shared" si="185"/>
        <v>5.0000000000000003E-10</v>
      </c>
      <c r="J290" s="84">
        <f>J8</f>
        <v>6E-10</v>
      </c>
      <c r="K290" s="84">
        <f>K8</f>
        <v>6.9999999999999996E-10</v>
      </c>
      <c r="L290" s="90">
        <f>L8</f>
        <v>8.0000000000000003E-10</v>
      </c>
      <c r="M290" s="90">
        <f>M8</f>
        <v>8.9999999999999999E-10</v>
      </c>
      <c r="N290" s="198">
        <f t="shared" si="186"/>
        <v>9.5000000000000003E-10</v>
      </c>
      <c r="O290" s="471"/>
    </row>
    <row r="291" spans="1:36">
      <c r="A291" s="199" t="str">
        <f>HKU!A37</f>
        <v>JS6731</v>
      </c>
      <c r="B291" s="207" t="str">
        <f>HKU!C37</f>
        <v>社會工作學學士</v>
      </c>
      <c r="C291" s="359" t="s">
        <v>59</v>
      </c>
      <c r="D291" s="208">
        <f>LARGE((E291:H291,J291:N291),1)+LARGE((E291:H291,J291:N291),2)+LARGE((E291:H291,J291:N291),3)+LARGE((E291:H291,J291:N291),4)+LARGE((E291:H291,J291:N291),5)</f>
        <v>3.9500000000000006E-9</v>
      </c>
      <c r="E291" s="198">
        <f t="shared" si="185"/>
        <v>1E-10</v>
      </c>
      <c r="F291" s="198">
        <f t="shared" si="185"/>
        <v>2.0000000000000001E-10</v>
      </c>
      <c r="G291" s="198">
        <f t="shared" si="185"/>
        <v>3E-10</v>
      </c>
      <c r="H291" s="198">
        <f t="shared" si="185"/>
        <v>4.0000000000000001E-10</v>
      </c>
      <c r="I291" s="198">
        <f t="shared" si="185"/>
        <v>5.0000000000000003E-10</v>
      </c>
      <c r="J291" s="84">
        <f>J8</f>
        <v>6E-10</v>
      </c>
      <c r="K291" s="84">
        <f>K8</f>
        <v>6.9999999999999996E-10</v>
      </c>
      <c r="L291" s="90">
        <f>L8</f>
        <v>8.0000000000000003E-10</v>
      </c>
      <c r="M291" s="90">
        <f>M8</f>
        <v>8.9999999999999999E-10</v>
      </c>
      <c r="N291" s="198">
        <f t="shared" si="186"/>
        <v>9.5000000000000003E-10</v>
      </c>
      <c r="O291" s="471"/>
    </row>
    <row r="292" spans="1:36">
      <c r="A292" s="199" t="str">
        <f>HKU!A38</f>
        <v>JS6810</v>
      </c>
      <c r="B292" s="207" t="str">
        <f>HKU!C38</f>
        <v>社會科學學士(政治學與法學)及法學士 (雙學位課程)</v>
      </c>
      <c r="C292" s="359" t="s">
        <v>58</v>
      </c>
      <c r="D292" s="172">
        <f>LARGE((E292:H292,J292:M292),1)+LARGE((E292:H292,J292:M292),2)+LARGE((E292:H292,J292:M292),3)+LARGE((E292:H292,J292:M292),4)+LARGE((E292:H292,J292:M292),5)+LARGE((E292:H292,J292:M292),6)</f>
        <v>3.7E-9</v>
      </c>
      <c r="E292" s="198">
        <f t="shared" si="185"/>
        <v>1E-10</v>
      </c>
      <c r="F292" s="198">
        <f t="shared" si="185"/>
        <v>2.0000000000000001E-10</v>
      </c>
      <c r="G292" s="198">
        <f t="shared" si="185"/>
        <v>3E-10</v>
      </c>
      <c r="H292" s="198">
        <f t="shared" si="185"/>
        <v>4.0000000000000001E-10</v>
      </c>
      <c r="I292" s="198">
        <f t="shared" si="185"/>
        <v>5.0000000000000003E-10</v>
      </c>
      <c r="J292" s="84">
        <f>J8</f>
        <v>6E-10</v>
      </c>
      <c r="K292" s="84">
        <f>K8</f>
        <v>6.9999999999999996E-10</v>
      </c>
      <c r="L292" s="90">
        <f>L8</f>
        <v>8.0000000000000003E-10</v>
      </c>
      <c r="M292" s="90">
        <f>M8</f>
        <v>8.9999999999999999E-10</v>
      </c>
      <c r="N292" s="198">
        <f t="shared" si="186"/>
        <v>9.5000000000000003E-10</v>
      </c>
      <c r="O292" s="471"/>
    </row>
    <row r="293" spans="1:36">
      <c r="A293" s="199" t="str">
        <f>HKU!A39</f>
        <v>JS6822</v>
      </c>
      <c r="B293" s="207" t="str">
        <f>HKU!C39</f>
        <v>新聞學學士</v>
      </c>
      <c r="C293" s="359" t="s">
        <v>59</v>
      </c>
      <c r="D293" s="208">
        <f>LARGE((E293:H293,J293:N293),1)+LARGE((E293:H293,J293:N293),2)+LARGE((E293:H293,J293:N293),3)+LARGE((E293:H293,J293:N293),4)+LARGE((E293:H293,J293:N293),5)</f>
        <v>3.9500000000000006E-9</v>
      </c>
      <c r="E293" s="198">
        <f t="shared" si="185"/>
        <v>1E-10</v>
      </c>
      <c r="F293" s="198">
        <f t="shared" si="185"/>
        <v>2.0000000000000001E-10</v>
      </c>
      <c r="G293" s="198">
        <f t="shared" si="185"/>
        <v>3E-10</v>
      </c>
      <c r="H293" s="198">
        <f t="shared" si="185"/>
        <v>4.0000000000000001E-10</v>
      </c>
      <c r="I293" s="198">
        <f t="shared" si="185"/>
        <v>5.0000000000000003E-10</v>
      </c>
      <c r="J293" s="84">
        <f>J8</f>
        <v>6E-10</v>
      </c>
      <c r="K293" s="84">
        <f>K8</f>
        <v>6.9999999999999996E-10</v>
      </c>
      <c r="L293" s="90">
        <f>L8</f>
        <v>8.0000000000000003E-10</v>
      </c>
      <c r="M293" s="90">
        <f>M8</f>
        <v>8.9999999999999999E-10</v>
      </c>
      <c r="N293" s="198">
        <f t="shared" si="186"/>
        <v>9.5000000000000003E-10</v>
      </c>
      <c r="O293" s="471"/>
    </row>
    <row r="294" spans="1:36">
      <c r="A294" s="199" t="str">
        <f>HKU!A40</f>
        <v>JS6212</v>
      </c>
      <c r="B294" s="207" t="str">
        <f>HKU!C40</f>
        <v>文理學士</v>
      </c>
      <c r="C294" s="359" t="s">
        <v>59</v>
      </c>
      <c r="D294" s="208">
        <f>LARGE((E294:H294,J294:N294),1)+LARGE((E294:H294,J294:N294),2)+LARGE((E294:H294,J294:N294),3)+LARGE((E294:H294,J294:N294),4)+LARGE((E294:H294,J294:N294),5)</f>
        <v>3.9500000000000006E-9</v>
      </c>
      <c r="E294" s="198">
        <f t="shared" si="185"/>
        <v>1E-10</v>
      </c>
      <c r="F294" s="198">
        <f t="shared" si="185"/>
        <v>2.0000000000000001E-10</v>
      </c>
      <c r="G294" s="198">
        <f t="shared" si="185"/>
        <v>3E-10</v>
      </c>
      <c r="H294" s="198">
        <f t="shared" si="185"/>
        <v>4.0000000000000001E-10</v>
      </c>
      <c r="I294" s="198">
        <f t="shared" si="185"/>
        <v>5.0000000000000003E-10</v>
      </c>
      <c r="J294" s="84">
        <f>J8</f>
        <v>6E-10</v>
      </c>
      <c r="K294" s="84">
        <f>K8</f>
        <v>6.9999999999999996E-10</v>
      </c>
      <c r="L294" s="90">
        <f>L8</f>
        <v>8.0000000000000003E-10</v>
      </c>
      <c r="M294" s="90">
        <f>M8</f>
        <v>8.9999999999999999E-10</v>
      </c>
      <c r="N294" s="198">
        <f t="shared" si="186"/>
        <v>9.5000000000000003E-10</v>
      </c>
      <c r="O294" s="471"/>
    </row>
    <row r="295" spans="1:36">
      <c r="A295" s="199" t="str">
        <f>HKU!A41</f>
        <v>JS6224</v>
      </c>
      <c r="B295" s="207" t="str">
        <f>HKU!C41</f>
        <v>文理學士(應用人工智能)</v>
      </c>
      <c r="C295" s="359" t="s">
        <v>58</v>
      </c>
      <c r="D295" s="172">
        <f>F295+G295+I295+LARGE((E295,H295,J295:M295),1)+LARGE((E295,H295,J295:M295),2)+LARGE((E295,H295,J295:M295),3)</f>
        <v>4.4000000000000005E-9</v>
      </c>
      <c r="E295" s="198">
        <f>E$8</f>
        <v>1E-10</v>
      </c>
      <c r="F295" s="198">
        <f>F$8*2</f>
        <v>4.0000000000000001E-10</v>
      </c>
      <c r="G295" s="198">
        <f>G$8*2</f>
        <v>6E-10</v>
      </c>
      <c r="H295" s="198">
        <f>H$8</f>
        <v>4.0000000000000001E-10</v>
      </c>
      <c r="I295" s="198">
        <f>I$8*2</f>
        <v>1.0000000000000001E-9</v>
      </c>
      <c r="J295" s="84">
        <f>Q289</f>
        <v>6E-10</v>
      </c>
      <c r="K295" s="198">
        <f>R289</f>
        <v>6.9999999999999996E-10</v>
      </c>
      <c r="L295" s="198">
        <f>S289</f>
        <v>8.0000000000000003E-10</v>
      </c>
      <c r="M295" s="198">
        <f>T289</f>
        <v>8.9999999999999999E-10</v>
      </c>
      <c r="N295" s="198">
        <f t="shared" si="186"/>
        <v>9.5000000000000003E-10</v>
      </c>
      <c r="O295" s="471"/>
    </row>
    <row r="296" spans="1:36">
      <c r="A296" s="199" t="str">
        <f>HKU!A42</f>
        <v>JS6236</v>
      </c>
      <c r="B296" s="207" t="str">
        <f>HKU!C42</f>
        <v>文理學士(設計＋)</v>
      </c>
      <c r="C296" s="359" t="s">
        <v>58</v>
      </c>
      <c r="D296" s="172">
        <f>LARGE((E296:N296),1)+LARGE((E296:N296),2)+LARGE((E296:N296),3)+LARGE((E296:N296),4)+LARGE((E296:N296),5)+LARGE((E296:N296),6)</f>
        <v>4.450000000000001E-9</v>
      </c>
      <c r="E296" s="198">
        <f t="shared" si="185"/>
        <v>1E-10</v>
      </c>
      <c r="F296" s="198">
        <f t="shared" si="185"/>
        <v>2.0000000000000001E-10</v>
      </c>
      <c r="G296" s="198">
        <f t="shared" si="185"/>
        <v>3E-10</v>
      </c>
      <c r="H296" s="198">
        <f t="shared" si="185"/>
        <v>4.0000000000000001E-10</v>
      </c>
      <c r="I296" s="198">
        <f t="shared" si="185"/>
        <v>5.0000000000000003E-10</v>
      </c>
      <c r="J296" s="84">
        <f>J8</f>
        <v>6E-10</v>
      </c>
      <c r="K296" s="84">
        <f>K8</f>
        <v>6.9999999999999996E-10</v>
      </c>
      <c r="L296" s="90">
        <f>L8</f>
        <v>8.0000000000000003E-10</v>
      </c>
      <c r="M296" s="90">
        <f>M8</f>
        <v>8.9999999999999999E-10</v>
      </c>
      <c r="N296" s="198">
        <f t="shared" si="186"/>
        <v>9.5000000000000003E-10</v>
      </c>
      <c r="O296" s="471"/>
    </row>
    <row r="297" spans="1:36">
      <c r="A297" s="199" t="str">
        <f>HKU!A43</f>
        <v>JS6248</v>
      </c>
      <c r="B297" s="207" t="str">
        <f>HKU!C43</f>
        <v>文理學士(金融科技)</v>
      </c>
      <c r="C297" s="359" t="s">
        <v>58</v>
      </c>
      <c r="D297" s="172">
        <f>F297+G297+LARGE((E297,H297:N297),1)+LARGE((E297,H297:N297),2)+LARGE((E297,H297:N297),3)+LARGE((E297,H297:N297),4)</f>
        <v>3.8500000000000006E-9</v>
      </c>
      <c r="E297" s="198">
        <f t="shared" si="185"/>
        <v>1E-10</v>
      </c>
      <c r="F297" s="198">
        <f t="shared" si="185"/>
        <v>2.0000000000000001E-10</v>
      </c>
      <c r="G297" s="198">
        <f t="shared" si="185"/>
        <v>3E-10</v>
      </c>
      <c r="H297" s="198">
        <f t="shared" si="185"/>
        <v>4.0000000000000001E-10</v>
      </c>
      <c r="I297" s="198">
        <f t="shared" si="185"/>
        <v>5.0000000000000003E-10</v>
      </c>
      <c r="J297" s="84">
        <f>J8</f>
        <v>6E-10</v>
      </c>
      <c r="K297" s="84">
        <f>K8</f>
        <v>6.9999999999999996E-10</v>
      </c>
      <c r="L297" s="90">
        <f>L8</f>
        <v>8.0000000000000003E-10</v>
      </c>
      <c r="M297" s="90">
        <f>M8</f>
        <v>8.9999999999999999E-10</v>
      </c>
      <c r="N297" s="198">
        <f t="shared" si="186"/>
        <v>9.5000000000000003E-10</v>
      </c>
      <c r="O297" s="471"/>
      <c r="AJ297" s="198"/>
    </row>
    <row r="298" spans="1:36">
      <c r="A298" s="199" t="str">
        <f>HKU!A44</f>
        <v>JS6250</v>
      </c>
      <c r="B298" s="207" t="str">
        <f>HKU!C44</f>
        <v>文理學士(環球衞生及發展)</v>
      </c>
      <c r="C298" s="359" t="s">
        <v>59</v>
      </c>
      <c r="D298" s="208">
        <f>LARGE((E298:H298,J298:N298),1)+LARGE((E298:H298,J298:N298),2)+LARGE((E298:H298,J298:N298),3)+LARGE((E298:H298,J298:N298),4)+LARGE((E298:H298,J298:N298),5)</f>
        <v>3.9500000000000006E-9</v>
      </c>
      <c r="E298" s="198">
        <f t="shared" si="185"/>
        <v>1E-10</v>
      </c>
      <c r="F298" s="198">
        <f t="shared" si="185"/>
        <v>2.0000000000000001E-10</v>
      </c>
      <c r="G298" s="198">
        <f t="shared" si="185"/>
        <v>3E-10</v>
      </c>
      <c r="H298" s="198">
        <f t="shared" si="185"/>
        <v>4.0000000000000001E-10</v>
      </c>
      <c r="I298" s="198">
        <f t="shared" si="185"/>
        <v>5.0000000000000003E-10</v>
      </c>
      <c r="J298" s="84">
        <f>J8</f>
        <v>6E-10</v>
      </c>
      <c r="K298" s="84">
        <f>K8</f>
        <v>6.9999999999999996E-10</v>
      </c>
      <c r="L298" s="90">
        <f>L8</f>
        <v>8.0000000000000003E-10</v>
      </c>
      <c r="M298" s="90">
        <f>M8</f>
        <v>8.9999999999999999E-10</v>
      </c>
      <c r="N298" s="198">
        <f t="shared" si="186"/>
        <v>9.5000000000000003E-10</v>
      </c>
      <c r="O298" s="471"/>
    </row>
    <row r="300" spans="1:36">
      <c r="A300" s="111" t="s">
        <v>891</v>
      </c>
      <c r="B300" s="88"/>
      <c r="C300" s="89"/>
      <c r="D300" s="88" t="str">
        <f t="shared" ref="D300:N300" si="190">D1</f>
        <v>總分</v>
      </c>
      <c r="E300" s="84" t="str">
        <f t="shared" si="190"/>
        <v>中國語文</v>
      </c>
      <c r="F300" s="84" t="str">
        <f t="shared" si="190"/>
        <v>英國語文</v>
      </c>
      <c r="G300" s="84" t="str">
        <f t="shared" si="190"/>
        <v>數學</v>
      </c>
      <c r="H300" s="84" t="str">
        <f t="shared" si="190"/>
        <v>通識教育</v>
      </c>
      <c r="I300" s="84" t="str">
        <f t="shared" si="190"/>
        <v>數學延伸</v>
      </c>
      <c r="J300" s="84" t="str">
        <f t="shared" si="190"/>
        <v>請選擇第一選修科</v>
      </c>
      <c r="K300" s="84" t="str">
        <f t="shared" si="190"/>
        <v>請選擇第二選修科</v>
      </c>
      <c r="L300" s="84" t="str">
        <f t="shared" si="190"/>
        <v>請選擇第三選修科</v>
      </c>
      <c r="M300" s="84" t="str">
        <f t="shared" si="190"/>
        <v>請選擇第四選修科</v>
      </c>
      <c r="N300" s="84" t="str">
        <f t="shared" si="190"/>
        <v>請選擇語言科目</v>
      </c>
    </row>
    <row r="301" spans="1:36">
      <c r="A301" s="88" t="s">
        <v>866</v>
      </c>
      <c r="B301" s="88" t="s">
        <v>842</v>
      </c>
      <c r="C301" s="89" t="s">
        <v>189</v>
      </c>
      <c r="D301" s="199">
        <f>LARGE(E301:N301, 1)+LARGE(E301:N301, 2)+LARGE(E301:N301, 3)+LARGE(E301:N301, 4)+LARGE(E301:N301, 5)</f>
        <v>3.9500000000000006E-9</v>
      </c>
      <c r="E301" s="84">
        <f>E9*1.5</f>
        <v>1.5E-10</v>
      </c>
      <c r="F301" s="84">
        <f>F9*1.5</f>
        <v>3E-10</v>
      </c>
      <c r="G301" s="84">
        <f>G9</f>
        <v>3E-10</v>
      </c>
      <c r="H301" s="84">
        <f>H9</f>
        <v>4.0000000000000001E-10</v>
      </c>
      <c r="I301" s="91"/>
      <c r="J301" s="84">
        <f>IF(OR(J300="中國歷史",J300="中國文學"),0,J9)</f>
        <v>6E-10</v>
      </c>
      <c r="K301" s="84">
        <f>IF(OR(K300="中國歷史",K300="中國文學"),0,K9)</f>
        <v>6.9999999999999996E-10</v>
      </c>
      <c r="L301" s="84">
        <f>IF(OR(L300="中國歷史",L300="中國文學"),0,L9)</f>
        <v>8.0000000000000003E-10</v>
      </c>
      <c r="M301" s="84">
        <f>IF(OR(M300="中國歷史",M300="中國文學"),0,M9)</f>
        <v>8.9999999999999999E-10</v>
      </c>
      <c r="N301" s="84">
        <f>N9</f>
        <v>9.5000000000000003E-10</v>
      </c>
    </row>
    <row r="302" spans="1:36">
      <c r="A302" s="88" t="s">
        <v>877</v>
      </c>
      <c r="B302" s="88" t="s">
        <v>854</v>
      </c>
      <c r="C302" s="89" t="s">
        <v>189</v>
      </c>
      <c r="D302" s="88">
        <f t="shared" ref="D302:D307" si="191">LARGE(E302:N302, 1)+LARGE(E302:N302, 2)+LARGE(E302:N302, 3)+LARGE(E302:N302, 4)+LARGE(E302:N302, 5)</f>
        <v>3.9500000000000006E-9</v>
      </c>
      <c r="E302" s="84">
        <f>E9</f>
        <v>1E-10</v>
      </c>
      <c r="F302" s="84">
        <f>F9*2</f>
        <v>4.0000000000000001E-10</v>
      </c>
      <c r="G302" s="84">
        <f>G9</f>
        <v>3E-10</v>
      </c>
      <c r="H302" s="84">
        <f>H9*1.5</f>
        <v>6E-10</v>
      </c>
      <c r="I302" s="91"/>
      <c r="J302" s="84">
        <f>J9</f>
        <v>6E-10</v>
      </c>
      <c r="K302" s="84">
        <f>K9</f>
        <v>6.9999999999999996E-10</v>
      </c>
      <c r="L302" s="84">
        <f>L9</f>
        <v>8.0000000000000003E-10</v>
      </c>
      <c r="M302" s="84">
        <f>M9</f>
        <v>8.9999999999999999E-10</v>
      </c>
      <c r="N302" s="84">
        <f>N9</f>
        <v>9.5000000000000003E-10</v>
      </c>
      <c r="P302" s="84">
        <f>IF(S302&gt;U302,S302,U302)</f>
        <v>0</v>
      </c>
      <c r="Q302" s="84">
        <f>IF(AND(S302&gt;0,U302&gt;0),IF(S302&gt;U302,U302/1.5,S302/1.5),0)</f>
        <v>0</v>
      </c>
      <c r="R302" s="84" t="s">
        <v>892</v>
      </c>
      <c r="S302" s="84">
        <f>IF(J1="中國歷史",J9*1.5,IF(K1="中國歷史",K9*1.5,IF(L1="中國歷史",L9*1.5,IF(M1="中國歷史",M9*1.5,0))))</f>
        <v>0</v>
      </c>
      <c r="T302" s="90" t="s">
        <v>7</v>
      </c>
      <c r="U302" s="84">
        <f>IF(J1="中國文學",J9*1.5,IF(K1="中國文學",K9*1.5,IF(L1="中國文學",L9*1.5,IF(M1="中國文學",M9*1.5,0))))</f>
        <v>0</v>
      </c>
    </row>
    <row r="303" spans="1:36">
      <c r="A303" s="88" t="s">
        <v>873</v>
      </c>
      <c r="B303" s="88" t="s">
        <v>849</v>
      </c>
      <c r="C303" s="89" t="s">
        <v>189</v>
      </c>
      <c r="D303" s="88">
        <f t="shared" si="191"/>
        <v>3.9500000000000006E-9</v>
      </c>
      <c r="E303" s="84">
        <f>E9</f>
        <v>1E-10</v>
      </c>
      <c r="F303" s="84">
        <f>F9*2</f>
        <v>4.0000000000000001E-10</v>
      </c>
      <c r="G303" s="84">
        <f>G9*1.5</f>
        <v>4.5E-10</v>
      </c>
      <c r="H303" s="84">
        <f>H9</f>
        <v>4.0000000000000001E-10</v>
      </c>
      <c r="I303" s="91"/>
      <c r="J303" s="84">
        <f>J9</f>
        <v>6E-10</v>
      </c>
      <c r="K303" s="84">
        <f>K9</f>
        <v>6.9999999999999996E-10</v>
      </c>
      <c r="L303" s="84">
        <f>L9</f>
        <v>8.0000000000000003E-10</v>
      </c>
      <c r="M303" s="84">
        <f>M9</f>
        <v>8.9999999999999999E-10</v>
      </c>
      <c r="N303" s="84">
        <f>N9</f>
        <v>9.5000000000000003E-10</v>
      </c>
    </row>
    <row r="304" spans="1:36">
      <c r="A304" s="88" t="s">
        <v>867</v>
      </c>
      <c r="B304" s="88" t="s">
        <v>843</v>
      </c>
      <c r="C304" s="89" t="s">
        <v>189</v>
      </c>
      <c r="D304" s="88">
        <f t="shared" si="191"/>
        <v>3.9500000000000006E-9</v>
      </c>
      <c r="E304" s="84">
        <f>E9*1.5</f>
        <v>1.5E-10</v>
      </c>
      <c r="F304" s="84">
        <f>F9*2</f>
        <v>4.0000000000000001E-10</v>
      </c>
      <c r="G304" s="84">
        <f>G9</f>
        <v>3E-10</v>
      </c>
      <c r="H304" s="84">
        <f>H9</f>
        <v>4.0000000000000001E-10</v>
      </c>
      <c r="I304" s="91"/>
      <c r="J304" s="84">
        <f>IF(OR(J300="英語文學",J300="中國文學"),J9*1.5,J9)</f>
        <v>6E-10</v>
      </c>
      <c r="K304" s="84">
        <f>IF(OR(K300="英語文學",K300="中國文學"),K9*1.5,K9)</f>
        <v>6.9999999999999996E-10</v>
      </c>
      <c r="L304" s="84">
        <f>IF(OR(L300="英語文學",L300="中國文學"),L9*1.5,L9)</f>
        <v>8.0000000000000003E-10</v>
      </c>
      <c r="M304" s="84">
        <f>IF(OR(M300="英語文學",M300="中國文學"),M9*1.5,M9)</f>
        <v>8.9999999999999999E-10</v>
      </c>
      <c r="N304" s="84">
        <f>N9</f>
        <v>9.5000000000000003E-10</v>
      </c>
    </row>
    <row r="305" spans="1:16">
      <c r="A305" s="88" t="s">
        <v>874</v>
      </c>
      <c r="B305" s="88" t="s">
        <v>850</v>
      </c>
      <c r="C305" s="89" t="s">
        <v>189</v>
      </c>
      <c r="D305" s="88">
        <f t="shared" si="191"/>
        <v>3.9500000000000006E-9</v>
      </c>
      <c r="E305" s="84">
        <f>E9</f>
        <v>1E-10</v>
      </c>
      <c r="F305" s="84">
        <f>F9*2</f>
        <v>4.0000000000000001E-10</v>
      </c>
      <c r="G305" s="84">
        <f>G9*1.5</f>
        <v>4.5E-10</v>
      </c>
      <c r="H305" s="84">
        <f>H9</f>
        <v>4.0000000000000001E-10</v>
      </c>
      <c r="I305" s="91"/>
      <c r="J305" s="84">
        <f>J9</f>
        <v>6E-10</v>
      </c>
      <c r="K305" s="84">
        <f>K9</f>
        <v>6.9999999999999996E-10</v>
      </c>
      <c r="L305" s="84">
        <f>L9</f>
        <v>8.0000000000000003E-10</v>
      </c>
      <c r="M305" s="84">
        <f>M9</f>
        <v>8.9999999999999999E-10</v>
      </c>
      <c r="N305" s="84">
        <f>N9</f>
        <v>9.5000000000000003E-10</v>
      </c>
    </row>
    <row r="306" spans="1:16">
      <c r="A306" s="88" t="s">
        <v>875</v>
      </c>
      <c r="B306" s="88" t="s">
        <v>851</v>
      </c>
      <c r="C306" s="89" t="s">
        <v>189</v>
      </c>
      <c r="D306" s="88">
        <f t="shared" si="191"/>
        <v>3.9500000000000006E-9</v>
      </c>
      <c r="E306" s="84">
        <f>E9</f>
        <v>1E-10</v>
      </c>
      <c r="F306" s="84">
        <f>F9*2</f>
        <v>4.0000000000000001E-10</v>
      </c>
      <c r="G306" s="84">
        <f>G9*2</f>
        <v>6E-10</v>
      </c>
      <c r="H306" s="84">
        <f>H9</f>
        <v>4.0000000000000001E-10</v>
      </c>
      <c r="I306" s="91"/>
      <c r="J306" s="84">
        <f>IF(OR(J300="化學",J300="物理",J300="組合科學(物理、化學)",J300="組合科學(生物、化學)",J300="組合科學(物理、生物)",J300="綜合科學"),J9*1.25,IF(J300="資訊及通訊科技",J9*2,J9))</f>
        <v>6E-10</v>
      </c>
      <c r="K306" s="84">
        <f>IF(OR(K300="化學",K300="物理",K300="組合科學(物理、化學)",K300="組合科學(生物、化學)",K300="組合科學(物理、生物)",K300="綜合科學"),K9*1.25,IF(K300="資訊及通訊科技",K9*2,K9))</f>
        <v>6.9999999999999996E-10</v>
      </c>
      <c r="L306" s="84">
        <f>IF(OR(L300="化學",L300="物理",L300="組合科學(物理、化學)",L300="組合科學(生物、化學)",L300="組合科學(物理、生物)",L300="綜合科學"),L9*1.25,IF(L300="資訊及通訊科技",L9*2,L9))</f>
        <v>8.0000000000000003E-10</v>
      </c>
      <c r="M306" s="84">
        <f>IF(OR(M300="化學",M300="物理",M300="組合科學(物理、化學)",M300="組合科學(生物、化學)",M300="組合科學(物理、生物)",M300="綜合科學"),M9*1.25,IF(M300="資訊科技",M9*2,M9))</f>
        <v>8.9999999999999999E-10</v>
      </c>
      <c r="N306" s="84">
        <f>N9</f>
        <v>9.5000000000000003E-10</v>
      </c>
    </row>
    <row r="307" spans="1:16">
      <c r="A307" s="88" t="s">
        <v>876</v>
      </c>
      <c r="B307" s="88" t="s">
        <v>852</v>
      </c>
      <c r="C307" s="89" t="s">
        <v>189</v>
      </c>
      <c r="D307" s="88">
        <f t="shared" si="191"/>
        <v>3.9500000000000006E-9</v>
      </c>
      <c r="E307" s="84">
        <f>E9</f>
        <v>1E-10</v>
      </c>
      <c r="F307" s="84">
        <f>F9*2</f>
        <v>4.0000000000000001E-10</v>
      </c>
      <c r="G307" s="84">
        <f>G9*1.5</f>
        <v>4.5E-10</v>
      </c>
      <c r="H307" s="84">
        <f>H9*1.5</f>
        <v>6E-10</v>
      </c>
      <c r="I307" s="91"/>
      <c r="J307" s="84">
        <f>J9</f>
        <v>6E-10</v>
      </c>
      <c r="K307" s="84">
        <f>K9</f>
        <v>6.9999999999999996E-10</v>
      </c>
      <c r="L307" s="84">
        <f>L9</f>
        <v>8.0000000000000003E-10</v>
      </c>
      <c r="M307" s="84">
        <f>M9</f>
        <v>8.9999999999999999E-10</v>
      </c>
      <c r="N307" s="84">
        <f>N9</f>
        <v>9.5000000000000003E-10</v>
      </c>
    </row>
    <row r="308" spans="1:16">
      <c r="A308" s="88" t="s">
        <v>868</v>
      </c>
      <c r="B308" s="88" t="s">
        <v>844</v>
      </c>
      <c r="C308" s="89" t="s">
        <v>189</v>
      </c>
      <c r="D308" s="88">
        <f t="shared" ref="D308:D312" si="192">LARGE(E308:N308, 1)+LARGE(E308:N308, 2)+LARGE(E308:N308, 3)+LARGE(E308:N308, 4)+LARGE(E308:N308, 5)</f>
        <v>3.9500000000000006E-9</v>
      </c>
      <c r="E308" s="84">
        <f>E9*1.5</f>
        <v>1.5E-10</v>
      </c>
      <c r="F308" s="84">
        <f>F9*2</f>
        <v>4.0000000000000001E-10</v>
      </c>
      <c r="G308" s="84">
        <f>G9</f>
        <v>3E-10</v>
      </c>
      <c r="H308" s="84">
        <f>H9</f>
        <v>4.0000000000000001E-10</v>
      </c>
      <c r="I308" s="91"/>
      <c r="J308" s="84">
        <f>J9</f>
        <v>6E-10</v>
      </c>
      <c r="K308" s="84">
        <f>K9</f>
        <v>6.9999999999999996E-10</v>
      </c>
      <c r="L308" s="84">
        <f>L9</f>
        <v>8.0000000000000003E-10</v>
      </c>
      <c r="M308" s="84">
        <f>M9</f>
        <v>8.9999999999999999E-10</v>
      </c>
      <c r="N308" s="84">
        <f>N9</f>
        <v>9.5000000000000003E-10</v>
      </c>
    </row>
    <row r="309" spans="1:16">
      <c r="A309" s="88" t="s">
        <v>869</v>
      </c>
      <c r="B309" s="88" t="s">
        <v>845</v>
      </c>
      <c r="C309" s="89" t="s">
        <v>189</v>
      </c>
      <c r="D309" s="88">
        <f t="shared" si="192"/>
        <v>3.9500000000000006E-9</v>
      </c>
      <c r="E309" s="84">
        <f>E9*1.5</f>
        <v>1.5E-10</v>
      </c>
      <c r="F309" s="84">
        <f>F9*2</f>
        <v>4.0000000000000001E-10</v>
      </c>
      <c r="G309" s="84">
        <f>G9</f>
        <v>3E-10</v>
      </c>
      <c r="H309" s="84">
        <f>H9</f>
        <v>4.0000000000000001E-10</v>
      </c>
      <c r="I309" s="91"/>
      <c r="J309" s="84">
        <f>J9</f>
        <v>6E-10</v>
      </c>
      <c r="K309" s="84">
        <f>K9</f>
        <v>6.9999999999999996E-10</v>
      </c>
      <c r="L309" s="84">
        <f>L9</f>
        <v>8.0000000000000003E-10</v>
      </c>
      <c r="M309" s="84">
        <f>M9</f>
        <v>8.9999999999999999E-10</v>
      </c>
      <c r="N309" s="84">
        <f>N9</f>
        <v>9.5000000000000003E-10</v>
      </c>
    </row>
    <row r="310" spans="1:16">
      <c r="A310" s="88" t="s">
        <v>870</v>
      </c>
      <c r="B310" s="88" t="s">
        <v>846</v>
      </c>
      <c r="C310" s="89" t="s">
        <v>189</v>
      </c>
      <c r="D310" s="88">
        <f t="shared" si="192"/>
        <v>3.9500000000000006E-9</v>
      </c>
      <c r="E310" s="84">
        <f>E9*1.5</f>
        <v>1.5E-10</v>
      </c>
      <c r="F310" s="84">
        <f>F9*2</f>
        <v>4.0000000000000001E-10</v>
      </c>
      <c r="G310" s="84">
        <f>G9</f>
        <v>3E-10</v>
      </c>
      <c r="H310" s="84">
        <f>H9</f>
        <v>4.0000000000000001E-10</v>
      </c>
      <c r="I310" s="91"/>
      <c r="J310" s="84">
        <f>IF(OR(J300="歷史",J300="中國歷史"),J9*1.2,J9)</f>
        <v>6E-10</v>
      </c>
      <c r="K310" s="84">
        <f>IF(OR(K300="歷史",K300="中國歷史"),K9*1.2,K9)</f>
        <v>6.9999999999999996E-10</v>
      </c>
      <c r="L310" s="84">
        <f>IF(OR(L300="歷史",L300="中國歷史"),L9*1.2,L9)</f>
        <v>8.0000000000000003E-10</v>
      </c>
      <c r="M310" s="84">
        <f>IF(OR(M300="歷史",M300="中國歷史"),M9*1.2,M9)</f>
        <v>8.9999999999999999E-10</v>
      </c>
      <c r="N310" s="84">
        <f>N9</f>
        <v>9.5000000000000003E-10</v>
      </c>
    </row>
    <row r="311" spans="1:16">
      <c r="A311" s="88" t="s">
        <v>871</v>
      </c>
      <c r="B311" s="88" t="s">
        <v>847</v>
      </c>
      <c r="C311" s="89" t="s">
        <v>189</v>
      </c>
      <c r="D311" s="88">
        <f t="shared" si="192"/>
        <v>3.9500000000000006E-9</v>
      </c>
      <c r="E311" s="84">
        <f>E9*1.5</f>
        <v>1.5E-10</v>
      </c>
      <c r="F311" s="84">
        <f>F9*2</f>
        <v>4.0000000000000001E-10</v>
      </c>
      <c r="G311" s="84">
        <f>G9*1.5</f>
        <v>4.5E-10</v>
      </c>
      <c r="H311" s="84">
        <f>H9</f>
        <v>4.0000000000000001E-10</v>
      </c>
      <c r="I311" s="91"/>
      <c r="J311" s="84">
        <f>J9</f>
        <v>6E-10</v>
      </c>
      <c r="K311" s="84">
        <f>K9</f>
        <v>6.9999999999999996E-10</v>
      </c>
      <c r="L311" s="84">
        <f>L9</f>
        <v>8.0000000000000003E-10</v>
      </c>
      <c r="M311" s="84">
        <f>M9</f>
        <v>8.9999999999999999E-10</v>
      </c>
      <c r="N311" s="84">
        <f>N9</f>
        <v>9.5000000000000003E-10</v>
      </c>
    </row>
    <row r="312" spans="1:16">
      <c r="A312" s="88" t="s">
        <v>872</v>
      </c>
      <c r="B312" s="88" t="s">
        <v>848</v>
      </c>
      <c r="C312" s="89" t="s">
        <v>189</v>
      </c>
      <c r="D312" s="88">
        <f t="shared" si="192"/>
        <v>3.9500000000000006E-9</v>
      </c>
      <c r="E312" s="84">
        <f>E9*1.5</f>
        <v>1.5E-10</v>
      </c>
      <c r="F312" s="84">
        <f>F9*2</f>
        <v>4.0000000000000001E-10</v>
      </c>
      <c r="G312" s="84">
        <f>G9</f>
        <v>3E-10</v>
      </c>
      <c r="H312" s="84">
        <f>H9</f>
        <v>4.0000000000000001E-10</v>
      </c>
      <c r="I312" s="91"/>
      <c r="J312" s="84">
        <f>J9</f>
        <v>6E-10</v>
      </c>
      <c r="K312" s="84">
        <f>K9</f>
        <v>6.9999999999999996E-10</v>
      </c>
      <c r="L312" s="84">
        <f>L9</f>
        <v>8.0000000000000003E-10</v>
      </c>
      <c r="M312" s="84">
        <f>M9</f>
        <v>8.9999999999999999E-10</v>
      </c>
      <c r="N312" s="84">
        <f>N9</f>
        <v>9.5000000000000003E-10</v>
      </c>
    </row>
    <row r="314" spans="1:16">
      <c r="A314" s="100" t="s">
        <v>837</v>
      </c>
      <c r="D314" s="84" t="str">
        <f t="shared" ref="D314:N314" si="193">D1</f>
        <v>總分</v>
      </c>
      <c r="E314" s="84" t="str">
        <f t="shared" si="193"/>
        <v>中國語文</v>
      </c>
      <c r="F314" s="84" t="str">
        <f t="shared" si="193"/>
        <v>英國語文</v>
      </c>
      <c r="G314" s="84" t="str">
        <f t="shared" si="193"/>
        <v>數學</v>
      </c>
      <c r="H314" s="84" t="str">
        <f t="shared" si="193"/>
        <v>通識教育</v>
      </c>
      <c r="I314" s="84" t="str">
        <f t="shared" si="193"/>
        <v>數學延伸</v>
      </c>
      <c r="J314" s="84" t="str">
        <f t="shared" si="193"/>
        <v>請選擇第一選修科</v>
      </c>
      <c r="K314" s="84" t="str">
        <f t="shared" si="193"/>
        <v>請選擇第二選修科</v>
      </c>
      <c r="L314" s="84" t="str">
        <f t="shared" si="193"/>
        <v>請選擇第三選修科</v>
      </c>
      <c r="M314" s="84" t="str">
        <f t="shared" si="193"/>
        <v>請選擇第四選修科</v>
      </c>
      <c r="N314" s="84" t="str">
        <f t="shared" si="193"/>
        <v>請選擇語言科目</v>
      </c>
      <c r="P314" s="95"/>
    </row>
    <row r="315" spans="1:16">
      <c r="A315" s="84" t="s">
        <v>793</v>
      </c>
      <c r="B315" s="84" t="s">
        <v>794</v>
      </c>
      <c r="C315" s="85" t="s">
        <v>189</v>
      </c>
      <c r="D315" s="91">
        <f>LARGE(E315:N315, 1)+LARGE(E315:N315, 2)+LARGE(E315:N315, 3)+LARGE(E315:N315, 4)+LARGE(E315:N315, 5)</f>
        <v>3.9500000000000006E-9</v>
      </c>
      <c r="E315" s="84">
        <f t="shared" ref="E315:N315" si="194">E10</f>
        <v>1E-10</v>
      </c>
      <c r="F315" s="84">
        <f t="shared" si="194"/>
        <v>2.0000000000000001E-10</v>
      </c>
      <c r="G315" s="84">
        <f t="shared" si="194"/>
        <v>3E-10</v>
      </c>
      <c r="H315" s="84">
        <f t="shared" si="194"/>
        <v>4.0000000000000001E-10</v>
      </c>
      <c r="I315" s="84">
        <f t="shared" si="194"/>
        <v>5.0000000000000003E-10</v>
      </c>
      <c r="J315" s="84">
        <f t="shared" si="194"/>
        <v>6E-10</v>
      </c>
      <c r="K315" s="84">
        <f t="shared" si="194"/>
        <v>6.9999999999999996E-10</v>
      </c>
      <c r="L315" s="84">
        <f t="shared" si="194"/>
        <v>8.0000000000000003E-10</v>
      </c>
      <c r="M315" s="84">
        <f t="shared" si="194"/>
        <v>8.9999999999999999E-10</v>
      </c>
      <c r="N315" s="84">
        <f t="shared" si="194"/>
        <v>9.5000000000000003E-10</v>
      </c>
    </row>
    <row r="316" spans="1:16">
      <c r="A316" s="84" t="s">
        <v>795</v>
      </c>
      <c r="B316" s="84" t="s">
        <v>796</v>
      </c>
      <c r="C316" s="85" t="s">
        <v>189</v>
      </c>
      <c r="D316" s="91">
        <f t="shared" ref="D316:D336" si="195">LARGE(E316:N316, 1)+LARGE(E316:N316, 2)+LARGE(E316:N316, 3)+LARGE(E316:N316, 4)+LARGE(E316:N316, 5)</f>
        <v>3.9500000000000006E-9</v>
      </c>
      <c r="E316" s="84">
        <f t="shared" ref="E316:N316" si="196">E10</f>
        <v>1E-10</v>
      </c>
      <c r="F316" s="84">
        <f t="shared" si="196"/>
        <v>2.0000000000000001E-10</v>
      </c>
      <c r="G316" s="84">
        <f t="shared" si="196"/>
        <v>3E-10</v>
      </c>
      <c r="H316" s="84">
        <f t="shared" si="196"/>
        <v>4.0000000000000001E-10</v>
      </c>
      <c r="I316" s="84">
        <f t="shared" si="196"/>
        <v>5.0000000000000003E-10</v>
      </c>
      <c r="J316" s="84">
        <f t="shared" si="196"/>
        <v>6E-10</v>
      </c>
      <c r="K316" s="84">
        <f t="shared" si="196"/>
        <v>6.9999999999999996E-10</v>
      </c>
      <c r="L316" s="84">
        <f t="shared" si="196"/>
        <v>8.0000000000000003E-10</v>
      </c>
      <c r="M316" s="84">
        <f t="shared" si="196"/>
        <v>8.9999999999999999E-10</v>
      </c>
      <c r="N316" s="84">
        <f t="shared" si="196"/>
        <v>9.5000000000000003E-10</v>
      </c>
    </row>
    <row r="317" spans="1:16">
      <c r="A317" s="84" t="s">
        <v>797</v>
      </c>
      <c r="B317" s="84" t="s">
        <v>798</v>
      </c>
      <c r="C317" s="85" t="s">
        <v>189</v>
      </c>
      <c r="D317" s="91">
        <f t="shared" si="195"/>
        <v>3.9500000000000006E-9</v>
      </c>
      <c r="E317" s="84">
        <f t="shared" ref="E317:N317" si="197">E10</f>
        <v>1E-10</v>
      </c>
      <c r="F317" s="84">
        <f t="shared" si="197"/>
        <v>2.0000000000000001E-10</v>
      </c>
      <c r="G317" s="84">
        <f t="shared" si="197"/>
        <v>3E-10</v>
      </c>
      <c r="H317" s="84">
        <f t="shared" si="197"/>
        <v>4.0000000000000001E-10</v>
      </c>
      <c r="I317" s="84">
        <f t="shared" si="197"/>
        <v>5.0000000000000003E-10</v>
      </c>
      <c r="J317" s="84">
        <f t="shared" si="197"/>
        <v>6E-10</v>
      </c>
      <c r="K317" s="84">
        <f t="shared" si="197"/>
        <v>6.9999999999999996E-10</v>
      </c>
      <c r="L317" s="84">
        <f t="shared" si="197"/>
        <v>8.0000000000000003E-10</v>
      </c>
      <c r="M317" s="84">
        <f t="shared" si="197"/>
        <v>8.9999999999999999E-10</v>
      </c>
      <c r="N317" s="84">
        <f t="shared" si="197"/>
        <v>9.5000000000000003E-10</v>
      </c>
    </row>
    <row r="318" spans="1:16">
      <c r="A318" s="84" t="s">
        <v>799</v>
      </c>
      <c r="B318" s="84" t="s">
        <v>800</v>
      </c>
      <c r="C318" s="85" t="s">
        <v>189</v>
      </c>
      <c r="D318" s="91">
        <f t="shared" si="195"/>
        <v>3.9500000000000006E-9</v>
      </c>
      <c r="E318" s="84">
        <f t="shared" ref="E318:N318" si="198">E10</f>
        <v>1E-10</v>
      </c>
      <c r="F318" s="84">
        <f t="shared" si="198"/>
        <v>2.0000000000000001E-10</v>
      </c>
      <c r="G318" s="84">
        <f t="shared" si="198"/>
        <v>3E-10</v>
      </c>
      <c r="H318" s="84">
        <f t="shared" si="198"/>
        <v>4.0000000000000001E-10</v>
      </c>
      <c r="I318" s="84">
        <f t="shared" si="198"/>
        <v>5.0000000000000003E-10</v>
      </c>
      <c r="J318" s="84">
        <f t="shared" si="198"/>
        <v>6E-10</v>
      </c>
      <c r="K318" s="84">
        <f t="shared" si="198"/>
        <v>6.9999999999999996E-10</v>
      </c>
      <c r="L318" s="84">
        <f t="shared" si="198"/>
        <v>8.0000000000000003E-10</v>
      </c>
      <c r="M318" s="84">
        <f t="shared" si="198"/>
        <v>8.9999999999999999E-10</v>
      </c>
      <c r="N318" s="84">
        <f t="shared" si="198"/>
        <v>9.5000000000000003E-10</v>
      </c>
    </row>
    <row r="319" spans="1:16">
      <c r="A319" s="84" t="s">
        <v>801</v>
      </c>
      <c r="B319" s="84" t="s">
        <v>802</v>
      </c>
      <c r="C319" s="85" t="s">
        <v>189</v>
      </c>
      <c r="D319" s="91">
        <f t="shared" si="195"/>
        <v>3.9500000000000006E-9</v>
      </c>
      <c r="E319" s="84">
        <f t="shared" ref="E319:N319" si="199">E10</f>
        <v>1E-10</v>
      </c>
      <c r="F319" s="84">
        <f t="shared" si="199"/>
        <v>2.0000000000000001E-10</v>
      </c>
      <c r="G319" s="84">
        <f t="shared" si="199"/>
        <v>3E-10</v>
      </c>
      <c r="H319" s="84">
        <f t="shared" si="199"/>
        <v>4.0000000000000001E-10</v>
      </c>
      <c r="I319" s="84">
        <f t="shared" si="199"/>
        <v>5.0000000000000003E-10</v>
      </c>
      <c r="J319" s="84">
        <f t="shared" si="199"/>
        <v>6E-10</v>
      </c>
      <c r="K319" s="84">
        <f t="shared" si="199"/>
        <v>6.9999999999999996E-10</v>
      </c>
      <c r="L319" s="84">
        <f t="shared" si="199"/>
        <v>8.0000000000000003E-10</v>
      </c>
      <c r="M319" s="84">
        <f t="shared" si="199"/>
        <v>8.9999999999999999E-10</v>
      </c>
      <c r="N319" s="84">
        <f t="shared" si="199"/>
        <v>9.5000000000000003E-10</v>
      </c>
    </row>
    <row r="320" spans="1:16">
      <c r="A320" s="84" t="s">
        <v>803</v>
      </c>
      <c r="B320" s="84" t="s">
        <v>804</v>
      </c>
      <c r="C320" s="85" t="s">
        <v>189</v>
      </c>
      <c r="D320" s="91">
        <f t="shared" si="195"/>
        <v>3.9500000000000006E-9</v>
      </c>
      <c r="E320" s="84">
        <f t="shared" ref="E320:N320" si="200">E10</f>
        <v>1E-10</v>
      </c>
      <c r="F320" s="84">
        <f t="shared" si="200"/>
        <v>2.0000000000000001E-10</v>
      </c>
      <c r="G320" s="84">
        <f t="shared" si="200"/>
        <v>3E-10</v>
      </c>
      <c r="H320" s="84">
        <f t="shared" si="200"/>
        <v>4.0000000000000001E-10</v>
      </c>
      <c r="I320" s="84">
        <f t="shared" si="200"/>
        <v>5.0000000000000003E-10</v>
      </c>
      <c r="J320" s="84">
        <f t="shared" si="200"/>
        <v>6E-10</v>
      </c>
      <c r="K320" s="84">
        <f t="shared" si="200"/>
        <v>6.9999999999999996E-10</v>
      </c>
      <c r="L320" s="84">
        <f t="shared" si="200"/>
        <v>8.0000000000000003E-10</v>
      </c>
      <c r="M320" s="84">
        <f t="shared" si="200"/>
        <v>8.9999999999999999E-10</v>
      </c>
      <c r="N320" s="84">
        <f t="shared" si="200"/>
        <v>9.5000000000000003E-10</v>
      </c>
    </row>
    <row r="321" spans="1:36">
      <c r="A321" s="84" t="s">
        <v>805</v>
      </c>
      <c r="B321" s="84" t="s">
        <v>806</v>
      </c>
      <c r="C321" s="85" t="s">
        <v>189</v>
      </c>
      <c r="D321" s="91">
        <f t="shared" si="195"/>
        <v>3.9500000000000006E-9</v>
      </c>
      <c r="E321" s="84">
        <f t="shared" ref="E321:N321" si="201">E10</f>
        <v>1E-10</v>
      </c>
      <c r="F321" s="84">
        <f t="shared" si="201"/>
        <v>2.0000000000000001E-10</v>
      </c>
      <c r="G321" s="84">
        <f t="shared" si="201"/>
        <v>3E-10</v>
      </c>
      <c r="H321" s="84">
        <f t="shared" si="201"/>
        <v>4.0000000000000001E-10</v>
      </c>
      <c r="I321" s="84">
        <f t="shared" si="201"/>
        <v>5.0000000000000003E-10</v>
      </c>
      <c r="J321" s="84">
        <f t="shared" si="201"/>
        <v>6E-10</v>
      </c>
      <c r="K321" s="84">
        <f t="shared" si="201"/>
        <v>6.9999999999999996E-10</v>
      </c>
      <c r="L321" s="84">
        <f t="shared" si="201"/>
        <v>8.0000000000000003E-10</v>
      </c>
      <c r="M321" s="84">
        <f t="shared" si="201"/>
        <v>8.9999999999999999E-10</v>
      </c>
      <c r="N321" s="84">
        <f t="shared" si="201"/>
        <v>9.5000000000000003E-10</v>
      </c>
      <c r="P321" s="84" t="s">
        <v>2003</v>
      </c>
      <c r="Q321" s="84">
        <f>IF(AND(G10&lt;3,I10&lt;2),0,IF(G10&gt;4,2,0))</f>
        <v>0</v>
      </c>
    </row>
    <row r="322" spans="1:36">
      <c r="A322" s="84" t="s">
        <v>807</v>
      </c>
      <c r="B322" s="84" t="s">
        <v>808</v>
      </c>
      <c r="C322" s="85" t="s">
        <v>189</v>
      </c>
      <c r="D322" s="91">
        <f t="shared" si="195"/>
        <v>3.9500000000000006E-9</v>
      </c>
      <c r="E322" s="84">
        <f t="shared" ref="E322:N322" si="202">E10</f>
        <v>1E-10</v>
      </c>
      <c r="F322" s="84">
        <f t="shared" si="202"/>
        <v>2.0000000000000001E-10</v>
      </c>
      <c r="G322" s="84">
        <f t="shared" si="202"/>
        <v>3E-10</v>
      </c>
      <c r="H322" s="84">
        <f t="shared" si="202"/>
        <v>4.0000000000000001E-10</v>
      </c>
      <c r="I322" s="84">
        <f t="shared" si="202"/>
        <v>5.0000000000000003E-10</v>
      </c>
      <c r="J322" s="84">
        <f t="shared" si="202"/>
        <v>6E-10</v>
      </c>
      <c r="K322" s="84">
        <f t="shared" si="202"/>
        <v>6.9999999999999996E-10</v>
      </c>
      <c r="L322" s="84">
        <f t="shared" si="202"/>
        <v>8.0000000000000003E-10</v>
      </c>
      <c r="M322" s="84">
        <f t="shared" si="202"/>
        <v>8.9999999999999999E-10</v>
      </c>
      <c r="N322" s="84">
        <f t="shared" si="202"/>
        <v>9.5000000000000003E-10</v>
      </c>
    </row>
    <row r="323" spans="1:36">
      <c r="A323" s="84" t="s">
        <v>809</v>
      </c>
      <c r="B323" s="84" t="s">
        <v>810</v>
      </c>
      <c r="C323" s="85" t="s">
        <v>189</v>
      </c>
      <c r="D323" s="91">
        <f t="shared" si="195"/>
        <v>3.9500000000000006E-9</v>
      </c>
      <c r="E323" s="84">
        <f t="shared" ref="E323:N323" si="203">E10</f>
        <v>1E-10</v>
      </c>
      <c r="F323" s="84">
        <f t="shared" si="203"/>
        <v>2.0000000000000001E-10</v>
      </c>
      <c r="G323" s="84">
        <f t="shared" si="203"/>
        <v>3E-10</v>
      </c>
      <c r="H323" s="84">
        <f t="shared" si="203"/>
        <v>4.0000000000000001E-10</v>
      </c>
      <c r="I323" s="84">
        <f t="shared" si="203"/>
        <v>5.0000000000000003E-10</v>
      </c>
      <c r="J323" s="84">
        <f t="shared" si="203"/>
        <v>6E-10</v>
      </c>
      <c r="K323" s="84">
        <f t="shared" si="203"/>
        <v>6.9999999999999996E-10</v>
      </c>
      <c r="L323" s="84">
        <f t="shared" si="203"/>
        <v>8.0000000000000003E-10</v>
      </c>
      <c r="M323" s="84">
        <f t="shared" si="203"/>
        <v>8.9999999999999999E-10</v>
      </c>
      <c r="N323" s="84">
        <f t="shared" si="203"/>
        <v>9.5000000000000003E-10</v>
      </c>
    </row>
    <row r="324" spans="1:36" s="198" customFormat="1">
      <c r="A324" s="198" t="s">
        <v>2004</v>
      </c>
      <c r="B324" s="198" t="s">
        <v>2005</v>
      </c>
      <c r="C324" s="85" t="s">
        <v>59</v>
      </c>
      <c r="D324" s="91">
        <f t="shared" si="195"/>
        <v>3.9500000000000006E-9</v>
      </c>
      <c r="E324" s="198">
        <f t="shared" ref="E324:N324" si="204">E10</f>
        <v>1E-10</v>
      </c>
      <c r="F324" s="198">
        <f t="shared" si="204"/>
        <v>2.0000000000000001E-10</v>
      </c>
      <c r="G324" s="198">
        <f t="shared" si="204"/>
        <v>3E-10</v>
      </c>
      <c r="H324" s="198">
        <f t="shared" si="204"/>
        <v>4.0000000000000001E-10</v>
      </c>
      <c r="I324" s="198">
        <f t="shared" si="204"/>
        <v>5.0000000000000003E-10</v>
      </c>
      <c r="J324" s="198">
        <f t="shared" si="204"/>
        <v>6E-10</v>
      </c>
      <c r="K324" s="198">
        <f t="shared" si="204"/>
        <v>6.9999999999999996E-10</v>
      </c>
      <c r="L324" s="198">
        <f t="shared" si="204"/>
        <v>8.0000000000000003E-10</v>
      </c>
      <c r="M324" s="198">
        <f t="shared" si="204"/>
        <v>8.9999999999999999E-10</v>
      </c>
      <c r="N324" s="198">
        <f t="shared" si="204"/>
        <v>9.5000000000000003E-10</v>
      </c>
      <c r="T324" s="200"/>
      <c r="AE324" s="84"/>
      <c r="AF324" s="84"/>
      <c r="AG324" s="84"/>
      <c r="AH324" s="84"/>
      <c r="AI324" s="84"/>
      <c r="AJ324" s="84"/>
    </row>
    <row r="325" spans="1:36">
      <c r="A325" s="84" t="s">
        <v>811</v>
      </c>
      <c r="B325" s="84" t="s">
        <v>812</v>
      </c>
      <c r="C325" s="85" t="s">
        <v>189</v>
      </c>
      <c r="D325" s="91">
        <f t="shared" si="195"/>
        <v>3.9500000000000006E-9</v>
      </c>
      <c r="E325" s="84">
        <f t="shared" ref="E325:N325" si="205">E10</f>
        <v>1E-10</v>
      </c>
      <c r="F325" s="84">
        <f t="shared" si="205"/>
        <v>2.0000000000000001E-10</v>
      </c>
      <c r="G325" s="84">
        <f t="shared" si="205"/>
        <v>3E-10</v>
      </c>
      <c r="H325" s="84">
        <f t="shared" si="205"/>
        <v>4.0000000000000001E-10</v>
      </c>
      <c r="I325" s="84">
        <f t="shared" si="205"/>
        <v>5.0000000000000003E-10</v>
      </c>
      <c r="J325" s="84">
        <f t="shared" si="205"/>
        <v>6E-10</v>
      </c>
      <c r="K325" s="84">
        <f t="shared" si="205"/>
        <v>6.9999999999999996E-10</v>
      </c>
      <c r="L325" s="84">
        <f t="shared" si="205"/>
        <v>8.0000000000000003E-10</v>
      </c>
      <c r="M325" s="84">
        <f t="shared" si="205"/>
        <v>8.9999999999999999E-10</v>
      </c>
      <c r="N325" s="84">
        <f t="shared" si="205"/>
        <v>9.5000000000000003E-10</v>
      </c>
    </row>
    <row r="326" spans="1:36">
      <c r="A326" s="84" t="s">
        <v>813</v>
      </c>
      <c r="B326" s="84" t="s">
        <v>814</v>
      </c>
      <c r="C326" s="85" t="s">
        <v>189</v>
      </c>
      <c r="D326" s="91">
        <f t="shared" si="195"/>
        <v>3.9500000000000006E-9</v>
      </c>
      <c r="E326" s="84">
        <f t="shared" ref="E326:N326" si="206">E10</f>
        <v>1E-10</v>
      </c>
      <c r="F326" s="84">
        <f t="shared" si="206"/>
        <v>2.0000000000000001E-10</v>
      </c>
      <c r="G326" s="84">
        <f t="shared" si="206"/>
        <v>3E-10</v>
      </c>
      <c r="H326" s="84">
        <f t="shared" si="206"/>
        <v>4.0000000000000001E-10</v>
      </c>
      <c r="I326" s="84">
        <f t="shared" si="206"/>
        <v>5.0000000000000003E-10</v>
      </c>
      <c r="J326" s="84">
        <f t="shared" si="206"/>
        <v>6E-10</v>
      </c>
      <c r="K326" s="84">
        <f t="shared" si="206"/>
        <v>6.9999999999999996E-10</v>
      </c>
      <c r="L326" s="84">
        <f t="shared" si="206"/>
        <v>8.0000000000000003E-10</v>
      </c>
      <c r="M326" s="84">
        <f t="shared" si="206"/>
        <v>8.9999999999999999E-10</v>
      </c>
      <c r="N326" s="84">
        <f t="shared" si="206"/>
        <v>9.5000000000000003E-10</v>
      </c>
      <c r="P326" s="84" t="s">
        <v>838</v>
      </c>
      <c r="Q326" s="84">
        <f>IF(OR(J1="歷史",J1="中國歷史",K1="歷史",K1="中國歷史",L1="歷史",L1="中國歷史"),1,0)</f>
        <v>0</v>
      </c>
    </row>
    <row r="327" spans="1:36">
      <c r="A327" s="84" t="s">
        <v>815</v>
      </c>
      <c r="B327" s="84" t="s">
        <v>816</v>
      </c>
      <c r="C327" s="85" t="s">
        <v>189</v>
      </c>
      <c r="D327" s="91">
        <f t="shared" si="195"/>
        <v>3.9500000000000006E-9</v>
      </c>
      <c r="E327" s="84">
        <f t="shared" ref="E327:N327" si="207">E10</f>
        <v>1E-10</v>
      </c>
      <c r="F327" s="84">
        <f t="shared" si="207"/>
        <v>2.0000000000000001E-10</v>
      </c>
      <c r="G327" s="84">
        <f t="shared" si="207"/>
        <v>3E-10</v>
      </c>
      <c r="H327" s="84">
        <f t="shared" si="207"/>
        <v>4.0000000000000001E-10</v>
      </c>
      <c r="I327" s="84">
        <f t="shared" si="207"/>
        <v>5.0000000000000003E-10</v>
      </c>
      <c r="J327" s="84">
        <f t="shared" si="207"/>
        <v>6E-10</v>
      </c>
      <c r="K327" s="84">
        <f t="shared" si="207"/>
        <v>6.9999999999999996E-10</v>
      </c>
      <c r="L327" s="84">
        <f t="shared" si="207"/>
        <v>8.0000000000000003E-10</v>
      </c>
      <c r="M327" s="84">
        <f t="shared" si="207"/>
        <v>8.9999999999999999E-10</v>
      </c>
      <c r="N327" s="84">
        <f t="shared" si="207"/>
        <v>9.5000000000000003E-10</v>
      </c>
    </row>
    <row r="328" spans="1:36">
      <c r="A328" s="84" t="s">
        <v>817</v>
      </c>
      <c r="B328" s="84" t="s">
        <v>818</v>
      </c>
      <c r="C328" s="85" t="s">
        <v>189</v>
      </c>
      <c r="D328" s="91">
        <f t="shared" si="195"/>
        <v>3.9500000000000006E-9</v>
      </c>
      <c r="E328" s="84">
        <f t="shared" ref="E328:N328" si="208">E10</f>
        <v>1E-10</v>
      </c>
      <c r="F328" s="84">
        <f t="shared" si="208"/>
        <v>2.0000000000000001E-10</v>
      </c>
      <c r="G328" s="84">
        <f t="shared" si="208"/>
        <v>3E-10</v>
      </c>
      <c r="H328" s="84">
        <f t="shared" si="208"/>
        <v>4.0000000000000001E-10</v>
      </c>
      <c r="I328" s="84">
        <f t="shared" si="208"/>
        <v>5.0000000000000003E-10</v>
      </c>
      <c r="J328" s="84">
        <f t="shared" si="208"/>
        <v>6E-10</v>
      </c>
      <c r="K328" s="84">
        <f t="shared" si="208"/>
        <v>6.9999999999999996E-10</v>
      </c>
      <c r="L328" s="84">
        <f t="shared" si="208"/>
        <v>8.0000000000000003E-10</v>
      </c>
      <c r="M328" s="84">
        <f t="shared" si="208"/>
        <v>8.9999999999999999E-10</v>
      </c>
      <c r="N328" s="84">
        <f t="shared" si="208"/>
        <v>9.5000000000000003E-10</v>
      </c>
      <c r="P328" s="84" t="s">
        <v>7</v>
      </c>
      <c r="Q328" s="84">
        <f>IF(J1="中國文學",J13,0)</f>
        <v>0</v>
      </c>
      <c r="R328" s="84">
        <f>IF(K1="中國文學",K13,0)</f>
        <v>0</v>
      </c>
      <c r="S328" s="84">
        <f>IF(L1="中國文學",L13,0)</f>
        <v>0</v>
      </c>
      <c r="T328" s="198">
        <f>IF(M1="中國文學",M13,0)</f>
        <v>0</v>
      </c>
      <c r="U328" s="90">
        <f>SUM(Q328:T328)</f>
        <v>0</v>
      </c>
    </row>
    <row r="329" spans="1:36">
      <c r="A329" s="84" t="s">
        <v>819</v>
      </c>
      <c r="B329" s="84" t="s">
        <v>820</v>
      </c>
      <c r="C329" s="85" t="s">
        <v>189</v>
      </c>
      <c r="D329" s="91">
        <f t="shared" si="195"/>
        <v>3.9500000000000006E-9</v>
      </c>
      <c r="E329" s="84">
        <f t="shared" ref="E329:N329" si="209">E10</f>
        <v>1E-10</v>
      </c>
      <c r="F329" s="84">
        <f t="shared" si="209"/>
        <v>2.0000000000000001E-10</v>
      </c>
      <c r="G329" s="84">
        <f t="shared" si="209"/>
        <v>3E-10</v>
      </c>
      <c r="H329" s="84">
        <f t="shared" si="209"/>
        <v>4.0000000000000001E-10</v>
      </c>
      <c r="I329" s="84">
        <f t="shared" si="209"/>
        <v>5.0000000000000003E-10</v>
      </c>
      <c r="J329" s="84">
        <f t="shared" si="209"/>
        <v>6E-10</v>
      </c>
      <c r="K329" s="84">
        <f t="shared" si="209"/>
        <v>6.9999999999999996E-10</v>
      </c>
      <c r="L329" s="84">
        <f t="shared" si="209"/>
        <v>8.0000000000000003E-10</v>
      </c>
      <c r="M329" s="84">
        <f t="shared" si="209"/>
        <v>8.9999999999999999E-10</v>
      </c>
      <c r="N329" s="84">
        <f t="shared" si="209"/>
        <v>9.5000000000000003E-10</v>
      </c>
      <c r="P329" s="84" t="s">
        <v>10</v>
      </c>
      <c r="Q329" s="84">
        <f>IF(J1="英語文學",J13,0)</f>
        <v>0</v>
      </c>
      <c r="R329" s="84">
        <f>IF(K$1="英語文學",K$13,0)</f>
        <v>0</v>
      </c>
      <c r="S329" s="84">
        <f>IF(L$1="英語文學",L$13,0)</f>
        <v>0</v>
      </c>
      <c r="T329" s="198">
        <f>IF(M$1="英語文學",M$13,0)</f>
        <v>0</v>
      </c>
      <c r="U329" s="90">
        <f>SUM(Q329:T329)</f>
        <v>0</v>
      </c>
    </row>
    <row r="330" spans="1:36">
      <c r="A330" s="84" t="s">
        <v>821</v>
      </c>
      <c r="B330" s="84" t="s">
        <v>822</v>
      </c>
      <c r="C330" s="85" t="s">
        <v>189</v>
      </c>
      <c r="D330" s="91">
        <f>LARGE(E330:N330, 1)+LARGE(E330:N330, 2)+LARGE(E330:N330, 3)+LARGE(E330:N330, 4)+LARGE(E330:N330, 5)</f>
        <v>3.9500000000000006E-9</v>
      </c>
      <c r="E330" s="84">
        <f t="shared" ref="E330:N330" si="210">E10</f>
        <v>1E-10</v>
      </c>
      <c r="F330" s="84">
        <f t="shared" si="210"/>
        <v>2.0000000000000001E-10</v>
      </c>
      <c r="G330" s="84">
        <f t="shared" si="210"/>
        <v>3E-10</v>
      </c>
      <c r="H330" s="84">
        <f t="shared" si="210"/>
        <v>4.0000000000000001E-10</v>
      </c>
      <c r="I330" s="84">
        <f t="shared" si="210"/>
        <v>5.0000000000000003E-10</v>
      </c>
      <c r="J330" s="84">
        <f t="shared" si="210"/>
        <v>6E-10</v>
      </c>
      <c r="K330" s="84">
        <f t="shared" si="210"/>
        <v>6.9999999999999996E-10</v>
      </c>
      <c r="L330" s="84">
        <f t="shared" si="210"/>
        <v>8.0000000000000003E-10</v>
      </c>
      <c r="M330" s="84">
        <f t="shared" si="210"/>
        <v>8.9999999999999999E-10</v>
      </c>
      <c r="N330" s="84">
        <f t="shared" si="210"/>
        <v>9.5000000000000003E-10</v>
      </c>
      <c r="T330" s="198"/>
      <c r="U330" s="90"/>
    </row>
    <row r="331" spans="1:36">
      <c r="A331" s="84" t="s">
        <v>823</v>
      </c>
      <c r="B331" s="84" t="s">
        <v>824</v>
      </c>
      <c r="C331" s="85" t="s">
        <v>189</v>
      </c>
      <c r="D331" s="91">
        <f t="shared" si="195"/>
        <v>3.9500000000000006E-9</v>
      </c>
      <c r="E331" s="84">
        <f t="shared" ref="E331:N331" si="211">E10</f>
        <v>1E-10</v>
      </c>
      <c r="F331" s="84">
        <f t="shared" si="211"/>
        <v>2.0000000000000001E-10</v>
      </c>
      <c r="G331" s="84">
        <f t="shared" si="211"/>
        <v>3E-10</v>
      </c>
      <c r="H331" s="84">
        <f t="shared" si="211"/>
        <v>4.0000000000000001E-10</v>
      </c>
      <c r="I331" s="84">
        <f t="shared" si="211"/>
        <v>5.0000000000000003E-10</v>
      </c>
      <c r="J331" s="84">
        <f t="shared" si="211"/>
        <v>6E-10</v>
      </c>
      <c r="K331" s="84">
        <f t="shared" si="211"/>
        <v>6.9999999999999996E-10</v>
      </c>
      <c r="L331" s="84">
        <f t="shared" si="211"/>
        <v>8.0000000000000003E-10</v>
      </c>
      <c r="M331" s="84">
        <f t="shared" si="211"/>
        <v>8.9999999999999999E-10</v>
      </c>
      <c r="N331" s="84">
        <f t="shared" si="211"/>
        <v>9.5000000000000003E-10</v>
      </c>
      <c r="P331" s="84" t="s">
        <v>21</v>
      </c>
      <c r="Q331" s="84">
        <f>IF(J1="音樂",J13,0)</f>
        <v>0</v>
      </c>
      <c r="R331" s="84">
        <f>IF(K1="音樂",K13,0)</f>
        <v>0</v>
      </c>
      <c r="S331" s="84">
        <f>IF(L1="音樂",L13,0)</f>
        <v>0</v>
      </c>
      <c r="T331" s="198">
        <f>IF(M1="音樂",M13,0)</f>
        <v>0</v>
      </c>
      <c r="U331" s="90">
        <f>SUM(Q331:T331)</f>
        <v>0</v>
      </c>
    </row>
    <row r="332" spans="1:36">
      <c r="A332" s="84" t="s">
        <v>825</v>
      </c>
      <c r="B332" s="84" t="s">
        <v>826</v>
      </c>
      <c r="C332" s="85" t="s">
        <v>189</v>
      </c>
      <c r="D332" s="91">
        <f t="shared" si="195"/>
        <v>3.9500000000000006E-9</v>
      </c>
      <c r="E332" s="84">
        <f t="shared" ref="E332:N332" si="212">E10</f>
        <v>1E-10</v>
      </c>
      <c r="F332" s="84">
        <f t="shared" si="212"/>
        <v>2.0000000000000001E-10</v>
      </c>
      <c r="G332" s="84">
        <f t="shared" si="212"/>
        <v>3E-10</v>
      </c>
      <c r="H332" s="84">
        <f t="shared" si="212"/>
        <v>4.0000000000000001E-10</v>
      </c>
      <c r="I332" s="84">
        <f t="shared" si="212"/>
        <v>5.0000000000000003E-10</v>
      </c>
      <c r="J332" s="84">
        <f t="shared" si="212"/>
        <v>6E-10</v>
      </c>
      <c r="K332" s="84">
        <f t="shared" si="212"/>
        <v>6.9999999999999996E-10</v>
      </c>
      <c r="L332" s="84">
        <f t="shared" si="212"/>
        <v>8.0000000000000003E-10</v>
      </c>
      <c r="M332" s="84">
        <f t="shared" si="212"/>
        <v>8.9999999999999999E-10</v>
      </c>
      <c r="N332" s="84">
        <f t="shared" si="212"/>
        <v>9.5000000000000003E-10</v>
      </c>
      <c r="P332" s="84" t="s">
        <v>23</v>
      </c>
      <c r="Q332" s="84">
        <f>IF(J1="視覺藝術",J13,0)</f>
        <v>0</v>
      </c>
      <c r="R332" s="84">
        <f>IF(K1="視覺藝術",K13,0)</f>
        <v>0</v>
      </c>
      <c r="S332" s="84">
        <f>IF(L1="視覺藝術",L13,0)</f>
        <v>0</v>
      </c>
      <c r="T332" s="198">
        <f>IF(M1="視覺藝術",M13,0)</f>
        <v>0</v>
      </c>
      <c r="U332" s="90">
        <f>SUM(Q332:T332)</f>
        <v>0</v>
      </c>
    </row>
    <row r="333" spans="1:36">
      <c r="A333" s="84" t="s">
        <v>827</v>
      </c>
      <c r="B333" s="84" t="s">
        <v>828</v>
      </c>
      <c r="C333" s="85" t="s">
        <v>189</v>
      </c>
      <c r="D333" s="91">
        <f t="shared" si="195"/>
        <v>3.9500000000000006E-9</v>
      </c>
      <c r="E333" s="84">
        <f t="shared" ref="E333:N333" si="213">E10</f>
        <v>1E-10</v>
      </c>
      <c r="F333" s="84">
        <f t="shared" si="213"/>
        <v>2.0000000000000001E-10</v>
      </c>
      <c r="G333" s="84">
        <f t="shared" si="213"/>
        <v>3E-10</v>
      </c>
      <c r="H333" s="84">
        <f t="shared" si="213"/>
        <v>4.0000000000000001E-10</v>
      </c>
      <c r="I333" s="84">
        <f t="shared" si="213"/>
        <v>5.0000000000000003E-10</v>
      </c>
      <c r="J333" s="84">
        <f t="shared" si="213"/>
        <v>6E-10</v>
      </c>
      <c r="K333" s="84">
        <f t="shared" si="213"/>
        <v>6.9999999999999996E-10</v>
      </c>
      <c r="L333" s="84">
        <f t="shared" si="213"/>
        <v>8.0000000000000003E-10</v>
      </c>
      <c r="M333" s="84">
        <f t="shared" si="213"/>
        <v>8.9999999999999999E-10</v>
      </c>
      <c r="N333" s="84">
        <f t="shared" si="213"/>
        <v>9.5000000000000003E-10</v>
      </c>
    </row>
    <row r="334" spans="1:36">
      <c r="A334" s="84" t="s">
        <v>829</v>
      </c>
      <c r="B334" s="84" t="s">
        <v>830</v>
      </c>
      <c r="C334" s="85" t="s">
        <v>189</v>
      </c>
      <c r="D334" s="91">
        <f t="shared" si="195"/>
        <v>3.9500000000000006E-9</v>
      </c>
      <c r="E334" s="84">
        <f t="shared" ref="E334:N334" si="214">E10</f>
        <v>1E-10</v>
      </c>
      <c r="F334" s="84">
        <f t="shared" si="214"/>
        <v>2.0000000000000001E-10</v>
      </c>
      <c r="G334" s="84">
        <f t="shared" si="214"/>
        <v>3E-10</v>
      </c>
      <c r="H334" s="84">
        <f t="shared" si="214"/>
        <v>4.0000000000000001E-10</v>
      </c>
      <c r="I334" s="84">
        <f t="shared" si="214"/>
        <v>5.0000000000000003E-10</v>
      </c>
      <c r="J334" s="84">
        <f t="shared" si="214"/>
        <v>6E-10</v>
      </c>
      <c r="K334" s="84">
        <f t="shared" si="214"/>
        <v>6.9999999999999996E-10</v>
      </c>
      <c r="L334" s="84">
        <f t="shared" si="214"/>
        <v>8.0000000000000003E-10</v>
      </c>
      <c r="M334" s="84">
        <f t="shared" si="214"/>
        <v>8.9999999999999999E-10</v>
      </c>
      <c r="N334" s="84">
        <f t="shared" si="214"/>
        <v>9.5000000000000003E-10</v>
      </c>
    </row>
    <row r="335" spans="1:36">
      <c r="A335" s="84" t="s">
        <v>831</v>
      </c>
      <c r="B335" s="84" t="s">
        <v>832</v>
      </c>
      <c r="C335" s="85" t="s">
        <v>189</v>
      </c>
      <c r="D335" s="91">
        <f t="shared" si="195"/>
        <v>3.9500000000000006E-9</v>
      </c>
      <c r="E335" s="84">
        <f t="shared" ref="E335:N335" si="215">E10</f>
        <v>1E-10</v>
      </c>
      <c r="F335" s="84">
        <f t="shared" si="215"/>
        <v>2.0000000000000001E-10</v>
      </c>
      <c r="G335" s="84">
        <f t="shared" si="215"/>
        <v>3E-10</v>
      </c>
      <c r="H335" s="84">
        <f t="shared" si="215"/>
        <v>4.0000000000000001E-10</v>
      </c>
      <c r="I335" s="84">
        <f t="shared" si="215"/>
        <v>5.0000000000000003E-10</v>
      </c>
      <c r="J335" s="84">
        <f t="shared" si="215"/>
        <v>6E-10</v>
      </c>
      <c r="K335" s="84">
        <f t="shared" si="215"/>
        <v>6.9999999999999996E-10</v>
      </c>
      <c r="L335" s="84">
        <f t="shared" si="215"/>
        <v>8.0000000000000003E-10</v>
      </c>
      <c r="M335" s="84">
        <f t="shared" si="215"/>
        <v>8.9999999999999999E-10</v>
      </c>
      <c r="N335" s="84">
        <f t="shared" si="215"/>
        <v>9.5000000000000003E-10</v>
      </c>
    </row>
    <row r="336" spans="1:36">
      <c r="A336" s="84" t="s">
        <v>833</v>
      </c>
      <c r="B336" s="84" t="s">
        <v>834</v>
      </c>
      <c r="C336" s="85" t="s">
        <v>189</v>
      </c>
      <c r="D336" s="91">
        <f t="shared" si="195"/>
        <v>3.9500000000000006E-9</v>
      </c>
      <c r="E336" s="84">
        <f t="shared" ref="E336:N336" si="216">E10</f>
        <v>1E-10</v>
      </c>
      <c r="F336" s="84">
        <f t="shared" si="216"/>
        <v>2.0000000000000001E-10</v>
      </c>
      <c r="G336" s="84">
        <f t="shared" si="216"/>
        <v>3E-10</v>
      </c>
      <c r="H336" s="84">
        <f t="shared" si="216"/>
        <v>4.0000000000000001E-10</v>
      </c>
      <c r="I336" s="84">
        <f t="shared" si="216"/>
        <v>5.0000000000000003E-10</v>
      </c>
      <c r="J336" s="84">
        <f t="shared" si="216"/>
        <v>6E-10</v>
      </c>
      <c r="K336" s="84">
        <f t="shared" si="216"/>
        <v>6.9999999999999996E-10</v>
      </c>
      <c r="L336" s="84">
        <f t="shared" si="216"/>
        <v>8.0000000000000003E-10</v>
      </c>
      <c r="M336" s="84">
        <f t="shared" si="216"/>
        <v>8.9999999999999999E-10</v>
      </c>
      <c r="N336" s="84">
        <f t="shared" si="216"/>
        <v>9.5000000000000003E-10</v>
      </c>
    </row>
    <row r="337" spans="1:35">
      <c r="A337" s="84" t="s">
        <v>835</v>
      </c>
      <c r="B337" s="84" t="s">
        <v>836</v>
      </c>
      <c r="C337" s="85" t="s">
        <v>189</v>
      </c>
      <c r="D337" s="91">
        <f>LARGE(E337:N337, 1)+LARGE(E337:N337, 2)+LARGE(E337:N337, 3)+LARGE(E337:N337, 4)+LARGE(E337:N337, 5)</f>
        <v>3.9500000000000006E-9</v>
      </c>
      <c r="E337" s="84">
        <f t="shared" ref="E337:N337" si="217">E10</f>
        <v>1E-10</v>
      </c>
      <c r="F337" s="84">
        <f t="shared" si="217"/>
        <v>2.0000000000000001E-10</v>
      </c>
      <c r="G337" s="84">
        <f t="shared" si="217"/>
        <v>3E-10</v>
      </c>
      <c r="H337" s="84">
        <f t="shared" si="217"/>
        <v>4.0000000000000001E-10</v>
      </c>
      <c r="I337" s="84">
        <f t="shared" si="217"/>
        <v>5.0000000000000003E-10</v>
      </c>
      <c r="J337" s="84">
        <f t="shared" si="217"/>
        <v>6E-10</v>
      </c>
      <c r="K337" s="84">
        <f t="shared" si="217"/>
        <v>6.9999999999999996E-10</v>
      </c>
      <c r="L337" s="84">
        <f t="shared" si="217"/>
        <v>8.0000000000000003E-10</v>
      </c>
      <c r="M337" s="84">
        <f t="shared" si="217"/>
        <v>8.9999999999999999E-10</v>
      </c>
      <c r="N337" s="84">
        <f t="shared" si="217"/>
        <v>9.5000000000000003E-10</v>
      </c>
    </row>
    <row r="339" spans="1:35">
      <c r="A339" s="100" t="s">
        <v>1162</v>
      </c>
      <c r="D339" s="84" t="str">
        <f t="shared" ref="D339:N339" si="218">D1</f>
        <v>總分</v>
      </c>
      <c r="E339" s="84" t="str">
        <f t="shared" si="218"/>
        <v>中國語文</v>
      </c>
      <c r="F339" s="84" t="str">
        <f t="shared" si="218"/>
        <v>英國語文</v>
      </c>
      <c r="G339" s="84" t="str">
        <f t="shared" si="218"/>
        <v>數學</v>
      </c>
      <c r="H339" s="84" t="str">
        <f t="shared" si="218"/>
        <v>通識教育</v>
      </c>
      <c r="I339" s="84" t="str">
        <f t="shared" si="218"/>
        <v>數學延伸</v>
      </c>
      <c r="J339" s="84" t="str">
        <f t="shared" si="218"/>
        <v>請選擇第一選修科</v>
      </c>
      <c r="K339" s="84" t="str">
        <f t="shared" si="218"/>
        <v>請選擇第二選修科</v>
      </c>
      <c r="L339" s="84" t="str">
        <f t="shared" si="218"/>
        <v>請選擇第三選修科</v>
      </c>
      <c r="M339" s="84" t="str">
        <f t="shared" si="218"/>
        <v>請選擇第四選修科</v>
      </c>
      <c r="N339" s="84" t="str">
        <f t="shared" si="218"/>
        <v>請選擇語言科目</v>
      </c>
    </row>
    <row r="340" spans="1:35">
      <c r="A340" s="84" t="s">
        <v>1054</v>
      </c>
      <c r="B340" s="85" t="s">
        <v>826</v>
      </c>
      <c r="C340" s="84" t="s">
        <v>1155</v>
      </c>
      <c r="D340" s="84">
        <f>SUM(E340:H340)+LARGE(J340:N340,1)</f>
        <v>1.9500000000000001E-9</v>
      </c>
      <c r="E340" s="84">
        <f>E11</f>
        <v>1E-10</v>
      </c>
      <c r="F340" s="84">
        <f>F11</f>
        <v>2.0000000000000001E-10</v>
      </c>
      <c r="G340" s="84">
        <f>G11</f>
        <v>3E-10</v>
      </c>
      <c r="H340" s="84">
        <f>H11</f>
        <v>4.0000000000000001E-10</v>
      </c>
      <c r="J340" s="84">
        <f>J11</f>
        <v>6E-10</v>
      </c>
      <c r="K340" s="84">
        <f>K11</f>
        <v>6.9999999999999996E-10</v>
      </c>
      <c r="L340" s="84">
        <f>L11</f>
        <v>8.0000000000000003E-10</v>
      </c>
      <c r="M340" s="84">
        <f>M11</f>
        <v>8.9999999999999999E-10</v>
      </c>
      <c r="N340" s="84">
        <f>N11</f>
        <v>9.5000000000000003E-10</v>
      </c>
    </row>
    <row r="341" spans="1:35">
      <c r="A341" s="84" t="s">
        <v>1056</v>
      </c>
      <c r="B341" s="85" t="s">
        <v>1057</v>
      </c>
      <c r="C341" s="84" t="s">
        <v>1155</v>
      </c>
      <c r="D341" s="84">
        <f t="shared" ref="D341:D374" si="219">SUM(E341:H341)+LARGE(J341:N341,1)</f>
        <v>1.9500000000000001E-9</v>
      </c>
      <c r="E341" s="84">
        <f>E11</f>
        <v>1E-10</v>
      </c>
      <c r="F341" s="84">
        <f>F11</f>
        <v>2.0000000000000001E-10</v>
      </c>
      <c r="G341" s="84">
        <f>G11</f>
        <v>3E-10</v>
      </c>
      <c r="H341" s="84">
        <f>H11</f>
        <v>4.0000000000000001E-10</v>
      </c>
      <c r="J341" s="84">
        <f>J11</f>
        <v>6E-10</v>
      </c>
      <c r="K341" s="84">
        <f>K11</f>
        <v>6.9999999999999996E-10</v>
      </c>
      <c r="L341" s="84">
        <f>L11</f>
        <v>8.0000000000000003E-10</v>
      </c>
      <c r="M341" s="84">
        <f>M11</f>
        <v>8.9999999999999999E-10</v>
      </c>
      <c r="N341" s="84">
        <f>N11</f>
        <v>9.5000000000000003E-10</v>
      </c>
    </row>
    <row r="342" spans="1:35">
      <c r="A342" s="84" t="s">
        <v>1059</v>
      </c>
      <c r="B342" s="85" t="s">
        <v>1060</v>
      </c>
      <c r="C342" s="84" t="s">
        <v>1155</v>
      </c>
      <c r="D342" s="84">
        <f t="shared" si="219"/>
        <v>1.9500000000000001E-9</v>
      </c>
      <c r="E342" s="84">
        <f>E11</f>
        <v>1E-10</v>
      </c>
      <c r="F342" s="84">
        <f>F11</f>
        <v>2.0000000000000001E-10</v>
      </c>
      <c r="G342" s="84">
        <f>G11</f>
        <v>3E-10</v>
      </c>
      <c r="H342" s="84">
        <f>H11</f>
        <v>4.0000000000000001E-10</v>
      </c>
      <c r="J342" s="84">
        <f>J11</f>
        <v>6E-10</v>
      </c>
      <c r="K342" s="84">
        <f>K11</f>
        <v>6.9999999999999996E-10</v>
      </c>
      <c r="L342" s="84">
        <f>L11</f>
        <v>8.0000000000000003E-10</v>
      </c>
      <c r="M342" s="84">
        <f>M11</f>
        <v>8.9999999999999999E-10</v>
      </c>
      <c r="N342" s="84">
        <f>N11</f>
        <v>9.5000000000000003E-10</v>
      </c>
    </row>
    <row r="343" spans="1:35">
      <c r="A343" s="84" t="s">
        <v>1062</v>
      </c>
      <c r="B343" s="85" t="s">
        <v>1063</v>
      </c>
      <c r="C343" s="84" t="s">
        <v>1155</v>
      </c>
      <c r="D343" s="84">
        <f t="shared" si="219"/>
        <v>1.9500000000000001E-9</v>
      </c>
      <c r="E343" s="84">
        <f>E11</f>
        <v>1E-10</v>
      </c>
      <c r="F343" s="84">
        <f>F11</f>
        <v>2.0000000000000001E-10</v>
      </c>
      <c r="G343" s="84">
        <f>G11</f>
        <v>3E-10</v>
      </c>
      <c r="H343" s="84">
        <f>H11</f>
        <v>4.0000000000000001E-10</v>
      </c>
      <c r="J343" s="84">
        <f>J11</f>
        <v>6E-10</v>
      </c>
      <c r="K343" s="84">
        <f>K11</f>
        <v>6.9999999999999996E-10</v>
      </c>
      <c r="L343" s="84">
        <f>L11</f>
        <v>8.0000000000000003E-10</v>
      </c>
      <c r="M343" s="84">
        <f>M11</f>
        <v>8.9999999999999999E-10</v>
      </c>
      <c r="N343" s="84">
        <f>N11</f>
        <v>9.5000000000000003E-10</v>
      </c>
    </row>
    <row r="344" spans="1:35">
      <c r="A344" s="84" t="s">
        <v>1065</v>
      </c>
      <c r="B344" s="85" t="s">
        <v>1066</v>
      </c>
      <c r="C344" s="84" t="s">
        <v>1155</v>
      </c>
      <c r="D344" s="84">
        <f t="shared" si="219"/>
        <v>1.9500000000000001E-9</v>
      </c>
      <c r="E344" s="84">
        <f>E11</f>
        <v>1E-10</v>
      </c>
      <c r="F344" s="84">
        <f>F11</f>
        <v>2.0000000000000001E-10</v>
      </c>
      <c r="G344" s="84">
        <f>G11</f>
        <v>3E-10</v>
      </c>
      <c r="H344" s="84">
        <f>H11</f>
        <v>4.0000000000000001E-10</v>
      </c>
      <c r="J344" s="84">
        <f>J11</f>
        <v>6E-10</v>
      </c>
      <c r="K344" s="84">
        <f>K11</f>
        <v>6.9999999999999996E-10</v>
      </c>
      <c r="L344" s="84">
        <f>L11</f>
        <v>8.0000000000000003E-10</v>
      </c>
      <c r="M344" s="84">
        <f>M11</f>
        <v>8.9999999999999999E-10</v>
      </c>
      <c r="N344" s="84">
        <f>N11</f>
        <v>9.5000000000000003E-10</v>
      </c>
    </row>
    <row r="345" spans="1:35">
      <c r="A345" s="84" t="s">
        <v>1068</v>
      </c>
      <c r="B345" s="85" t="s">
        <v>1069</v>
      </c>
      <c r="C345" s="84" t="s">
        <v>1155</v>
      </c>
      <c r="D345" s="84">
        <f t="shared" si="219"/>
        <v>1.9500000000000001E-9</v>
      </c>
      <c r="E345" s="84">
        <f>E11</f>
        <v>1E-10</v>
      </c>
      <c r="F345" s="84">
        <f>F11</f>
        <v>2.0000000000000001E-10</v>
      </c>
      <c r="G345" s="84">
        <f>G11</f>
        <v>3E-10</v>
      </c>
      <c r="H345" s="84">
        <f>H11</f>
        <v>4.0000000000000001E-10</v>
      </c>
      <c r="J345" s="84">
        <f>J11</f>
        <v>6E-10</v>
      </c>
      <c r="K345" s="84">
        <f>K11</f>
        <v>6.9999999999999996E-10</v>
      </c>
      <c r="L345" s="84">
        <f>L11</f>
        <v>8.0000000000000003E-10</v>
      </c>
      <c r="M345" s="84">
        <f>M11</f>
        <v>8.9999999999999999E-10</v>
      </c>
      <c r="N345" s="84">
        <f>N11</f>
        <v>9.5000000000000003E-10</v>
      </c>
    </row>
    <row r="346" spans="1:35">
      <c r="A346" s="84" t="s">
        <v>1071</v>
      </c>
      <c r="B346" s="85" t="s">
        <v>1072</v>
      </c>
      <c r="C346" s="84" t="s">
        <v>1155</v>
      </c>
      <c r="D346" s="84">
        <f t="shared" si="219"/>
        <v>1.9500000000000001E-9</v>
      </c>
      <c r="E346" s="84">
        <f>E11</f>
        <v>1E-10</v>
      </c>
      <c r="F346" s="84">
        <f>F11</f>
        <v>2.0000000000000001E-10</v>
      </c>
      <c r="G346" s="84">
        <f>G11</f>
        <v>3E-10</v>
      </c>
      <c r="H346" s="84">
        <f>H11</f>
        <v>4.0000000000000001E-10</v>
      </c>
      <c r="J346" s="84">
        <f>J11</f>
        <v>6E-10</v>
      </c>
      <c r="K346" s="84">
        <f>K11</f>
        <v>6.9999999999999996E-10</v>
      </c>
      <c r="L346" s="84">
        <f>L11</f>
        <v>8.0000000000000003E-10</v>
      </c>
      <c r="M346" s="84">
        <f>M11</f>
        <v>8.9999999999999999E-10</v>
      </c>
      <c r="N346" s="84">
        <f>N11</f>
        <v>9.5000000000000003E-10</v>
      </c>
      <c r="AE346" s="198"/>
      <c r="AF346" s="198"/>
      <c r="AG346" s="198"/>
      <c r="AH346" s="198"/>
      <c r="AI346" s="198"/>
    </row>
    <row r="347" spans="1:35">
      <c r="A347" s="84" t="s">
        <v>1074</v>
      </c>
      <c r="B347" s="85" t="s">
        <v>1075</v>
      </c>
      <c r="C347" s="84" t="s">
        <v>1155</v>
      </c>
      <c r="D347" s="84">
        <f t="shared" si="219"/>
        <v>2.0500000000000002E-9</v>
      </c>
      <c r="E347" s="84">
        <f>E11*2</f>
        <v>2.0000000000000001E-10</v>
      </c>
      <c r="F347" s="84">
        <f>F11</f>
        <v>2.0000000000000001E-10</v>
      </c>
      <c r="G347" s="84">
        <f>G11</f>
        <v>3E-10</v>
      </c>
      <c r="H347" s="84">
        <f>H11</f>
        <v>4.0000000000000001E-10</v>
      </c>
      <c r="J347" s="84">
        <f>J11</f>
        <v>6E-10</v>
      </c>
      <c r="K347" s="84">
        <f>K11</f>
        <v>6.9999999999999996E-10</v>
      </c>
      <c r="L347" s="84">
        <f>L11</f>
        <v>8.0000000000000003E-10</v>
      </c>
      <c r="M347" s="84">
        <f>M11</f>
        <v>8.9999999999999999E-10</v>
      </c>
      <c r="N347" s="84">
        <f>N11</f>
        <v>9.5000000000000003E-10</v>
      </c>
    </row>
    <row r="348" spans="1:35">
      <c r="A348" s="84" t="s">
        <v>1077</v>
      </c>
      <c r="B348" s="85" t="s">
        <v>1078</v>
      </c>
      <c r="C348" s="84" t="s">
        <v>1155</v>
      </c>
      <c r="D348" s="84">
        <f t="shared" si="219"/>
        <v>2.0999999999999998E-9</v>
      </c>
      <c r="E348" s="84">
        <f>E11*1.5</f>
        <v>1.5E-10</v>
      </c>
      <c r="F348" s="84">
        <f>F11*1.5</f>
        <v>3E-10</v>
      </c>
      <c r="G348" s="84">
        <f>G11</f>
        <v>3E-10</v>
      </c>
      <c r="H348" s="84">
        <f>H11</f>
        <v>4.0000000000000001E-10</v>
      </c>
      <c r="J348" s="84">
        <f>J11</f>
        <v>6E-10</v>
      </c>
      <c r="K348" s="84">
        <f>K11</f>
        <v>6.9999999999999996E-10</v>
      </c>
      <c r="L348" s="84">
        <f>L11</f>
        <v>8.0000000000000003E-10</v>
      </c>
      <c r="M348" s="84">
        <f>M11</f>
        <v>8.9999999999999999E-10</v>
      </c>
      <c r="N348" s="84">
        <f>N11</f>
        <v>9.5000000000000003E-10</v>
      </c>
    </row>
    <row r="349" spans="1:35">
      <c r="A349" s="84" t="s">
        <v>1080</v>
      </c>
      <c r="B349" s="85" t="s">
        <v>1081</v>
      </c>
      <c r="C349" s="84" t="s">
        <v>1155</v>
      </c>
      <c r="D349" s="84">
        <f t="shared" si="219"/>
        <v>2.0999999999999998E-9</v>
      </c>
      <c r="E349" s="84">
        <f>E11*1.5</f>
        <v>1.5E-10</v>
      </c>
      <c r="F349" s="84">
        <f>F11*1.5</f>
        <v>3E-10</v>
      </c>
      <c r="G349" s="84">
        <f>G11</f>
        <v>3E-10</v>
      </c>
      <c r="H349" s="84">
        <f>H11</f>
        <v>4.0000000000000001E-10</v>
      </c>
      <c r="J349" s="84">
        <f>J11</f>
        <v>6E-10</v>
      </c>
      <c r="K349" s="84">
        <f>K11</f>
        <v>6.9999999999999996E-10</v>
      </c>
      <c r="L349" s="84">
        <f>L11</f>
        <v>8.0000000000000003E-10</v>
      </c>
      <c r="M349" s="84">
        <f>M11</f>
        <v>8.9999999999999999E-10</v>
      </c>
      <c r="N349" s="84">
        <f>N11</f>
        <v>9.5000000000000003E-10</v>
      </c>
    </row>
    <row r="350" spans="1:35">
      <c r="A350" s="84" t="s">
        <v>1083</v>
      </c>
      <c r="B350" s="85" t="s">
        <v>1084</v>
      </c>
      <c r="C350" s="84" t="s">
        <v>1155</v>
      </c>
      <c r="D350" s="84">
        <f t="shared" si="219"/>
        <v>1.9500000000000001E-9</v>
      </c>
      <c r="E350" s="84">
        <f>E11</f>
        <v>1E-10</v>
      </c>
      <c r="F350" s="84">
        <f>F11</f>
        <v>2.0000000000000001E-10</v>
      </c>
      <c r="G350" s="84">
        <f>G11</f>
        <v>3E-10</v>
      </c>
      <c r="H350" s="84">
        <f>H11</f>
        <v>4.0000000000000001E-10</v>
      </c>
      <c r="J350" s="84">
        <f>J11</f>
        <v>6E-10</v>
      </c>
      <c r="K350" s="84">
        <f>K11</f>
        <v>6.9999999999999996E-10</v>
      </c>
      <c r="L350" s="84">
        <f>L11</f>
        <v>8.0000000000000003E-10</v>
      </c>
      <c r="M350" s="84">
        <f>M11</f>
        <v>8.9999999999999999E-10</v>
      </c>
      <c r="N350" s="84">
        <f>N11</f>
        <v>9.5000000000000003E-10</v>
      </c>
    </row>
    <row r="351" spans="1:35">
      <c r="A351" s="84" t="s">
        <v>1086</v>
      </c>
      <c r="B351" s="85" t="s">
        <v>1087</v>
      </c>
      <c r="C351" s="84" t="s">
        <v>1155</v>
      </c>
      <c r="D351" s="84">
        <f t="shared" si="219"/>
        <v>1.9500000000000001E-9</v>
      </c>
      <c r="E351" s="84">
        <f>E11</f>
        <v>1E-10</v>
      </c>
      <c r="F351" s="84">
        <f>F11</f>
        <v>2.0000000000000001E-10</v>
      </c>
      <c r="G351" s="84">
        <f>G11</f>
        <v>3E-10</v>
      </c>
      <c r="H351" s="84">
        <f>H11</f>
        <v>4.0000000000000001E-10</v>
      </c>
      <c r="J351" s="84">
        <f>J11</f>
        <v>6E-10</v>
      </c>
      <c r="K351" s="84">
        <f>K11</f>
        <v>6.9999999999999996E-10</v>
      </c>
      <c r="L351" s="84">
        <f>L11</f>
        <v>8.0000000000000003E-10</v>
      </c>
      <c r="M351" s="84">
        <f>M11</f>
        <v>8.9999999999999999E-10</v>
      </c>
      <c r="N351" s="84">
        <f>N11</f>
        <v>9.5000000000000003E-10</v>
      </c>
    </row>
    <row r="352" spans="1:35">
      <c r="A352" s="84" t="s">
        <v>1089</v>
      </c>
      <c r="B352" s="85" t="s">
        <v>1090</v>
      </c>
      <c r="C352" s="84" t="s">
        <v>1155</v>
      </c>
      <c r="D352" s="84">
        <f t="shared" si="219"/>
        <v>1.9500000000000001E-9</v>
      </c>
      <c r="E352" s="84">
        <f>E11</f>
        <v>1E-10</v>
      </c>
      <c r="F352" s="84">
        <f>F11</f>
        <v>2.0000000000000001E-10</v>
      </c>
      <c r="G352" s="84">
        <f>G11</f>
        <v>3E-10</v>
      </c>
      <c r="H352" s="84">
        <f>H11</f>
        <v>4.0000000000000001E-10</v>
      </c>
      <c r="J352" s="84">
        <f>J11</f>
        <v>6E-10</v>
      </c>
      <c r="K352" s="84">
        <f>K11</f>
        <v>6.9999999999999996E-10</v>
      </c>
      <c r="L352" s="84">
        <f>L11</f>
        <v>8.0000000000000003E-10</v>
      </c>
      <c r="M352" s="84">
        <f>M11</f>
        <v>8.9999999999999999E-10</v>
      </c>
      <c r="N352" s="84">
        <f>N11</f>
        <v>9.5000000000000003E-10</v>
      </c>
    </row>
    <row r="353" spans="1:36">
      <c r="A353" s="84" t="s">
        <v>1092</v>
      </c>
      <c r="B353" s="85" t="s">
        <v>1093</v>
      </c>
      <c r="C353" s="84" t="s">
        <v>1155</v>
      </c>
      <c r="D353" s="84">
        <f t="shared" si="219"/>
        <v>1.9500000000000001E-9</v>
      </c>
      <c r="E353" s="84">
        <f>E11</f>
        <v>1E-10</v>
      </c>
      <c r="F353" s="84">
        <f>F11</f>
        <v>2.0000000000000001E-10</v>
      </c>
      <c r="G353" s="84">
        <f>G11</f>
        <v>3E-10</v>
      </c>
      <c r="H353" s="84">
        <f>H11</f>
        <v>4.0000000000000001E-10</v>
      </c>
      <c r="J353" s="84">
        <f>J11</f>
        <v>6E-10</v>
      </c>
      <c r="K353" s="84">
        <f>K11</f>
        <v>6.9999999999999996E-10</v>
      </c>
      <c r="L353" s="84">
        <f>L11</f>
        <v>8.0000000000000003E-10</v>
      </c>
      <c r="M353" s="84">
        <f>M11</f>
        <v>8.9999999999999999E-10</v>
      </c>
      <c r="N353" s="84">
        <f>N11</f>
        <v>9.5000000000000003E-10</v>
      </c>
    </row>
    <row r="354" spans="1:36">
      <c r="A354" s="84" t="s">
        <v>1095</v>
      </c>
      <c r="B354" s="85" t="s">
        <v>1096</v>
      </c>
      <c r="C354" s="84" t="s">
        <v>1155</v>
      </c>
      <c r="D354" s="84">
        <f t="shared" si="219"/>
        <v>1.9500000000000001E-9</v>
      </c>
      <c r="E354" s="84">
        <f>E11</f>
        <v>1E-10</v>
      </c>
      <c r="F354" s="84">
        <f>F11</f>
        <v>2.0000000000000001E-10</v>
      </c>
      <c r="G354" s="84">
        <f>G11</f>
        <v>3E-10</v>
      </c>
      <c r="H354" s="84">
        <f>H11</f>
        <v>4.0000000000000001E-10</v>
      </c>
      <c r="J354" s="84">
        <f>J11</f>
        <v>6E-10</v>
      </c>
      <c r="K354" s="84">
        <f>K11</f>
        <v>6.9999999999999996E-10</v>
      </c>
      <c r="L354" s="84">
        <f>L11</f>
        <v>8.0000000000000003E-10</v>
      </c>
      <c r="M354" s="84">
        <f>M11</f>
        <v>8.9999999999999999E-10</v>
      </c>
      <c r="N354" s="84">
        <f>N11</f>
        <v>9.5000000000000003E-10</v>
      </c>
    </row>
    <row r="355" spans="1:36">
      <c r="A355" s="84" t="s">
        <v>1098</v>
      </c>
      <c r="B355" s="85" t="s">
        <v>1099</v>
      </c>
      <c r="C355" s="84" t="s">
        <v>1155</v>
      </c>
      <c r="D355" s="84">
        <f t="shared" si="219"/>
        <v>1.9500000000000001E-9</v>
      </c>
      <c r="E355" s="84">
        <f>E11</f>
        <v>1E-10</v>
      </c>
      <c r="F355" s="84">
        <f>F11</f>
        <v>2.0000000000000001E-10</v>
      </c>
      <c r="G355" s="84">
        <f>G11</f>
        <v>3E-10</v>
      </c>
      <c r="H355" s="84">
        <f>H11</f>
        <v>4.0000000000000001E-10</v>
      </c>
      <c r="J355" s="84">
        <f>J11</f>
        <v>6E-10</v>
      </c>
      <c r="K355" s="84">
        <f>K11</f>
        <v>6.9999999999999996E-10</v>
      </c>
      <c r="L355" s="84">
        <f>L11</f>
        <v>8.0000000000000003E-10</v>
      </c>
      <c r="M355" s="84">
        <f>M11</f>
        <v>8.9999999999999999E-10</v>
      </c>
      <c r="N355" s="84">
        <f>N11</f>
        <v>9.5000000000000003E-10</v>
      </c>
    </row>
    <row r="356" spans="1:36">
      <c r="A356" s="84" t="s">
        <v>1101</v>
      </c>
      <c r="B356" s="85" t="s">
        <v>1102</v>
      </c>
      <c r="C356" s="84" t="s">
        <v>1155</v>
      </c>
      <c r="D356" s="84">
        <f t="shared" si="219"/>
        <v>1.9500000000000001E-9</v>
      </c>
      <c r="E356" s="84">
        <f>E11</f>
        <v>1E-10</v>
      </c>
      <c r="F356" s="84">
        <f>F11</f>
        <v>2.0000000000000001E-10</v>
      </c>
      <c r="G356" s="84">
        <f>G11</f>
        <v>3E-10</v>
      </c>
      <c r="H356" s="84">
        <f>H11</f>
        <v>4.0000000000000001E-10</v>
      </c>
      <c r="J356" s="84">
        <f>J11</f>
        <v>6E-10</v>
      </c>
      <c r="K356" s="84">
        <f>K11</f>
        <v>6.9999999999999996E-10</v>
      </c>
      <c r="L356" s="84">
        <f>L11</f>
        <v>8.0000000000000003E-10</v>
      </c>
      <c r="M356" s="84">
        <f>M11</f>
        <v>8.9999999999999999E-10</v>
      </c>
      <c r="N356" s="84">
        <f>N11</f>
        <v>9.5000000000000003E-10</v>
      </c>
    </row>
    <row r="357" spans="1:36">
      <c r="A357" s="84" t="s">
        <v>1104</v>
      </c>
      <c r="B357" s="85" t="s">
        <v>1105</v>
      </c>
      <c r="C357" s="84" t="s">
        <v>1155</v>
      </c>
      <c r="D357" s="84">
        <f t="shared" si="219"/>
        <v>1.9500000000000001E-9</v>
      </c>
      <c r="E357" s="84">
        <f>E11</f>
        <v>1E-10</v>
      </c>
      <c r="F357" s="84">
        <f>F11</f>
        <v>2.0000000000000001E-10</v>
      </c>
      <c r="G357" s="84">
        <f>G11</f>
        <v>3E-10</v>
      </c>
      <c r="H357" s="84">
        <f>H11</f>
        <v>4.0000000000000001E-10</v>
      </c>
      <c r="J357" s="84">
        <f>J11</f>
        <v>6E-10</v>
      </c>
      <c r="K357" s="84">
        <f>K11</f>
        <v>6.9999999999999996E-10</v>
      </c>
      <c r="L357" s="84">
        <f>L11</f>
        <v>8.0000000000000003E-10</v>
      </c>
      <c r="M357" s="84">
        <f>M11</f>
        <v>8.9999999999999999E-10</v>
      </c>
      <c r="N357" s="84">
        <f>N11</f>
        <v>9.5000000000000003E-10</v>
      </c>
      <c r="AE357" s="198"/>
      <c r="AF357" s="198"/>
      <c r="AG357" s="198"/>
      <c r="AH357" s="198"/>
      <c r="AI357" s="198"/>
    </row>
    <row r="358" spans="1:36">
      <c r="A358" s="84" t="s">
        <v>1107</v>
      </c>
      <c r="B358" s="85" t="s">
        <v>1108</v>
      </c>
      <c r="C358" s="84" t="s">
        <v>1155</v>
      </c>
      <c r="D358" s="84">
        <f t="shared" si="219"/>
        <v>1.9500000000000001E-9</v>
      </c>
      <c r="E358" s="84">
        <f>E11</f>
        <v>1E-10</v>
      </c>
      <c r="F358" s="84">
        <f>F11</f>
        <v>2.0000000000000001E-10</v>
      </c>
      <c r="G358" s="84">
        <f>G11</f>
        <v>3E-10</v>
      </c>
      <c r="H358" s="84">
        <f>H11</f>
        <v>4.0000000000000001E-10</v>
      </c>
      <c r="J358" s="84">
        <f>J11</f>
        <v>6E-10</v>
      </c>
      <c r="K358" s="84">
        <f>K11</f>
        <v>6.9999999999999996E-10</v>
      </c>
      <c r="L358" s="84">
        <f>L11</f>
        <v>8.0000000000000003E-10</v>
      </c>
      <c r="M358" s="84">
        <f>M11</f>
        <v>8.9999999999999999E-10</v>
      </c>
      <c r="N358" s="84">
        <f>N11</f>
        <v>9.5000000000000003E-10</v>
      </c>
    </row>
    <row r="359" spans="1:36">
      <c r="A359" s="84" t="s">
        <v>1110</v>
      </c>
      <c r="B359" s="85" t="s">
        <v>1111</v>
      </c>
      <c r="C359" s="84" t="s">
        <v>1155</v>
      </c>
      <c r="D359" s="84">
        <f t="shared" si="219"/>
        <v>1.9500000000000001E-9</v>
      </c>
      <c r="E359" s="84">
        <f>E11</f>
        <v>1E-10</v>
      </c>
      <c r="F359" s="84">
        <f>F11</f>
        <v>2.0000000000000001E-10</v>
      </c>
      <c r="G359" s="84">
        <f>G11</f>
        <v>3E-10</v>
      </c>
      <c r="H359" s="84">
        <f>H11</f>
        <v>4.0000000000000001E-10</v>
      </c>
      <c r="J359" s="84">
        <f>J11</f>
        <v>6E-10</v>
      </c>
      <c r="K359" s="84">
        <f>K11</f>
        <v>6.9999999999999996E-10</v>
      </c>
      <c r="L359" s="84">
        <f>L11</f>
        <v>8.0000000000000003E-10</v>
      </c>
      <c r="M359" s="84">
        <f>M11</f>
        <v>8.9999999999999999E-10</v>
      </c>
      <c r="N359" s="84">
        <f>N11</f>
        <v>9.5000000000000003E-10</v>
      </c>
    </row>
    <row r="360" spans="1:36">
      <c r="A360" s="84" t="s">
        <v>1113</v>
      </c>
      <c r="B360" s="85" t="s">
        <v>1114</v>
      </c>
      <c r="C360" s="84" t="s">
        <v>1155</v>
      </c>
      <c r="D360" s="84">
        <f t="shared" si="219"/>
        <v>1.9500000000000001E-9</v>
      </c>
      <c r="E360" s="84">
        <f>E11</f>
        <v>1E-10</v>
      </c>
      <c r="F360" s="84">
        <f>F11</f>
        <v>2.0000000000000001E-10</v>
      </c>
      <c r="G360" s="84">
        <f>G11</f>
        <v>3E-10</v>
      </c>
      <c r="H360" s="84">
        <f>H11</f>
        <v>4.0000000000000001E-10</v>
      </c>
      <c r="J360" s="84">
        <f>J11</f>
        <v>6E-10</v>
      </c>
      <c r="K360" s="84">
        <f>K11</f>
        <v>6.9999999999999996E-10</v>
      </c>
      <c r="L360" s="84">
        <f>L11</f>
        <v>8.0000000000000003E-10</v>
      </c>
      <c r="M360" s="84">
        <f>M11</f>
        <v>8.9999999999999999E-10</v>
      </c>
      <c r="N360" s="84">
        <f>N11</f>
        <v>9.5000000000000003E-10</v>
      </c>
      <c r="AE360" s="198"/>
      <c r="AF360" s="198"/>
      <c r="AG360" s="198"/>
      <c r="AH360" s="198"/>
      <c r="AI360" s="198"/>
    </row>
    <row r="361" spans="1:36">
      <c r="A361" s="84" t="s">
        <v>1116</v>
      </c>
      <c r="B361" s="85" t="s">
        <v>1117</v>
      </c>
      <c r="C361" s="84" t="s">
        <v>1155</v>
      </c>
      <c r="D361" s="84">
        <f t="shared" si="219"/>
        <v>1.9500000000000001E-9</v>
      </c>
      <c r="E361" s="84">
        <f>E11</f>
        <v>1E-10</v>
      </c>
      <c r="F361" s="84">
        <f>F11</f>
        <v>2.0000000000000001E-10</v>
      </c>
      <c r="G361" s="84">
        <f>G11</f>
        <v>3E-10</v>
      </c>
      <c r="H361" s="84">
        <f>H11</f>
        <v>4.0000000000000001E-10</v>
      </c>
      <c r="J361" s="84">
        <f>J11</f>
        <v>6E-10</v>
      </c>
      <c r="K361" s="84">
        <f>K11</f>
        <v>6.9999999999999996E-10</v>
      </c>
      <c r="L361" s="84">
        <f>L11</f>
        <v>8.0000000000000003E-10</v>
      </c>
      <c r="M361" s="84">
        <f>M11</f>
        <v>8.9999999999999999E-10</v>
      </c>
      <c r="N361" s="84">
        <f>N11</f>
        <v>9.5000000000000003E-10</v>
      </c>
      <c r="AE361" s="198"/>
      <c r="AF361" s="198"/>
      <c r="AG361" s="198"/>
      <c r="AH361" s="198"/>
      <c r="AI361" s="198"/>
    </row>
    <row r="362" spans="1:36">
      <c r="A362" s="84" t="s">
        <v>1119</v>
      </c>
      <c r="B362" s="85" t="s">
        <v>1120</v>
      </c>
      <c r="C362" s="84" t="s">
        <v>189</v>
      </c>
      <c r="D362" s="84">
        <f>LARGE(E362:N362,1)+LARGE(E362:N362,2)+LARGE(E362:N362,3)+LARGE(E362:N362,4)+LARGE(E362:N362,5)</f>
        <v>3.9500000000000006E-9</v>
      </c>
      <c r="E362" s="84">
        <f>E11</f>
        <v>1E-10</v>
      </c>
      <c r="F362" s="84">
        <f>F11*2</f>
        <v>4.0000000000000001E-10</v>
      </c>
      <c r="G362" s="84">
        <f>G11</f>
        <v>3E-10</v>
      </c>
      <c r="H362" s="84">
        <f>H11</f>
        <v>4.0000000000000001E-10</v>
      </c>
      <c r="J362" s="84">
        <f>J11</f>
        <v>6E-10</v>
      </c>
      <c r="K362" s="84">
        <f>K11</f>
        <v>6.9999999999999996E-10</v>
      </c>
      <c r="L362" s="84">
        <f>L11</f>
        <v>8.0000000000000003E-10</v>
      </c>
      <c r="M362" s="84">
        <f>M11</f>
        <v>8.9999999999999999E-10</v>
      </c>
      <c r="N362" s="84">
        <f>N11</f>
        <v>9.5000000000000003E-10</v>
      </c>
      <c r="AJ362" s="198"/>
    </row>
    <row r="363" spans="1:36">
      <c r="A363" s="84" t="s">
        <v>1122</v>
      </c>
      <c r="B363" s="85" t="s">
        <v>1123</v>
      </c>
      <c r="C363" s="84" t="s">
        <v>189</v>
      </c>
      <c r="D363" s="84">
        <f t="shared" ref="D363:D367" si="220">LARGE(E363:N363,1)+LARGE(E363:N363,2)+LARGE(E363:N363,3)+LARGE(E363:N363,4)+LARGE(E363:N363,5)</f>
        <v>3.9500000000000006E-9</v>
      </c>
      <c r="E363" s="84">
        <f>E11</f>
        <v>1E-10</v>
      </c>
      <c r="F363" s="84">
        <f>F11*2</f>
        <v>4.0000000000000001E-10</v>
      </c>
      <c r="G363" s="84">
        <f>G11</f>
        <v>3E-10</v>
      </c>
      <c r="H363" s="84">
        <f>H11</f>
        <v>4.0000000000000001E-10</v>
      </c>
      <c r="J363" s="84">
        <f>J11</f>
        <v>6E-10</v>
      </c>
      <c r="K363" s="84">
        <f>K11</f>
        <v>6.9999999999999996E-10</v>
      </c>
      <c r="L363" s="84">
        <f>L11</f>
        <v>8.0000000000000003E-10</v>
      </c>
      <c r="M363" s="84">
        <f>M11</f>
        <v>8.9999999999999999E-10</v>
      </c>
      <c r="N363" s="84">
        <f>N11</f>
        <v>9.5000000000000003E-10</v>
      </c>
    </row>
    <row r="364" spans="1:36">
      <c r="A364" s="84" t="s">
        <v>1125</v>
      </c>
      <c r="B364" s="85" t="s">
        <v>1126</v>
      </c>
      <c r="C364" s="84" t="s">
        <v>189</v>
      </c>
      <c r="D364" s="84">
        <f t="shared" si="220"/>
        <v>3.9500000000000006E-9</v>
      </c>
      <c r="E364" s="84">
        <f>E11*2</f>
        <v>2.0000000000000001E-10</v>
      </c>
      <c r="F364" s="84">
        <f>F11</f>
        <v>2.0000000000000001E-10</v>
      </c>
      <c r="G364" s="84">
        <f>G11</f>
        <v>3E-10</v>
      </c>
      <c r="H364" s="84">
        <f>H11</f>
        <v>4.0000000000000001E-10</v>
      </c>
      <c r="J364" s="84">
        <f>IF(J1="中國文學",J11*1.5,J11)</f>
        <v>6E-10</v>
      </c>
      <c r="K364" s="84">
        <f>IF(K1="中國文學",K11*1.5,K11)</f>
        <v>6.9999999999999996E-10</v>
      </c>
      <c r="L364" s="84">
        <f>IF(L1="中國文學",L11*1.5,L11)</f>
        <v>8.0000000000000003E-10</v>
      </c>
      <c r="M364" s="84">
        <f>IF(M1="中國文學",M11*1.5,M11)</f>
        <v>8.9999999999999999E-10</v>
      </c>
      <c r="N364" s="84">
        <f>N11</f>
        <v>9.5000000000000003E-10</v>
      </c>
    </row>
    <row r="365" spans="1:36">
      <c r="A365" s="84" t="s">
        <v>1128</v>
      </c>
      <c r="B365" s="85" t="s">
        <v>1129</v>
      </c>
      <c r="C365" s="84" t="s">
        <v>189</v>
      </c>
      <c r="D365" s="84">
        <f t="shared" si="220"/>
        <v>3.9500000000000006E-9</v>
      </c>
      <c r="E365" s="84">
        <f>E11*2</f>
        <v>2.0000000000000001E-10</v>
      </c>
      <c r="F365" s="84">
        <f>F11</f>
        <v>2.0000000000000001E-10</v>
      </c>
      <c r="G365" s="84">
        <f>G11</f>
        <v>3E-10</v>
      </c>
      <c r="H365" s="84">
        <f>H11</f>
        <v>4.0000000000000001E-10</v>
      </c>
      <c r="J365" s="84">
        <f>IF(J1="中國文學",J11*1.5,J11)</f>
        <v>6E-10</v>
      </c>
      <c r="K365" s="84">
        <f>IF(K1="中國文學",K11*1.5,K11)</f>
        <v>6.9999999999999996E-10</v>
      </c>
      <c r="L365" s="84">
        <f>IF(L1="中國文學",L11*1.5,L11)</f>
        <v>8.0000000000000003E-10</v>
      </c>
      <c r="M365" s="84">
        <f>IF(M1="中國文學",M11*1.5,M11)</f>
        <v>8.9999999999999999E-10</v>
      </c>
      <c r="N365" s="84">
        <f>N11</f>
        <v>9.5000000000000003E-10</v>
      </c>
    </row>
    <row r="366" spans="1:36">
      <c r="A366" s="84" t="s">
        <v>1131</v>
      </c>
      <c r="B366" s="85" t="s">
        <v>1132</v>
      </c>
      <c r="C366" s="84" t="s">
        <v>189</v>
      </c>
      <c r="D366" s="84">
        <f t="shared" si="220"/>
        <v>3.9500000000000006E-9</v>
      </c>
      <c r="E366" s="84">
        <f>E11</f>
        <v>1E-10</v>
      </c>
      <c r="F366" s="84">
        <f>F11</f>
        <v>2.0000000000000001E-10</v>
      </c>
      <c r="G366" s="84">
        <f>G11</f>
        <v>3E-10</v>
      </c>
      <c r="H366" s="84">
        <f>H11</f>
        <v>4.0000000000000001E-10</v>
      </c>
      <c r="J366" s="84">
        <f>J11</f>
        <v>6E-10</v>
      </c>
      <c r="K366" s="84">
        <f>K11</f>
        <v>6.9999999999999996E-10</v>
      </c>
      <c r="L366" s="84">
        <f>L11</f>
        <v>8.0000000000000003E-10</v>
      </c>
      <c r="M366" s="84">
        <f>M11</f>
        <v>8.9999999999999999E-10</v>
      </c>
      <c r="N366" s="84">
        <f>N11</f>
        <v>9.5000000000000003E-10</v>
      </c>
    </row>
    <row r="367" spans="1:36">
      <c r="A367" s="84" t="s">
        <v>1134</v>
      </c>
      <c r="B367" s="85" t="s">
        <v>1135</v>
      </c>
      <c r="C367" s="84" t="s">
        <v>189</v>
      </c>
      <c r="D367" s="84">
        <f t="shared" si="220"/>
        <v>3.9500000000000006E-9</v>
      </c>
      <c r="E367" s="84">
        <f>E11</f>
        <v>1E-10</v>
      </c>
      <c r="F367" s="84">
        <f>F11</f>
        <v>2.0000000000000001E-10</v>
      </c>
      <c r="G367" s="84">
        <f>G11</f>
        <v>3E-10</v>
      </c>
      <c r="H367" s="84">
        <f>H11</f>
        <v>4.0000000000000001E-10</v>
      </c>
      <c r="J367" s="84">
        <f>J11</f>
        <v>6E-10</v>
      </c>
      <c r="K367" s="84">
        <f>K11</f>
        <v>6.9999999999999996E-10</v>
      </c>
      <c r="L367" s="84">
        <f>L11</f>
        <v>8.0000000000000003E-10</v>
      </c>
      <c r="M367" s="84">
        <f>M11</f>
        <v>8.9999999999999999E-10</v>
      </c>
      <c r="N367" s="84">
        <f>N11</f>
        <v>9.5000000000000003E-10</v>
      </c>
    </row>
    <row r="368" spans="1:36">
      <c r="A368" s="84" t="s">
        <v>1294</v>
      </c>
      <c r="B368" s="85" t="s">
        <v>1298</v>
      </c>
      <c r="C368" s="84" t="s">
        <v>1155</v>
      </c>
      <c r="D368" s="84">
        <f t="shared" ref="D368:D369" si="221">SUM(E368:H368)+LARGE(J368:N368,1)</f>
        <v>1.9500000000000001E-9</v>
      </c>
      <c r="E368" s="84">
        <f t="shared" ref="E368:H373" si="222">E$11</f>
        <v>1E-10</v>
      </c>
      <c r="F368" s="84">
        <f t="shared" si="222"/>
        <v>2.0000000000000001E-10</v>
      </c>
      <c r="G368" s="84">
        <f t="shared" si="222"/>
        <v>3E-10</v>
      </c>
      <c r="H368" s="84">
        <f t="shared" si="222"/>
        <v>4.0000000000000001E-10</v>
      </c>
      <c r="J368" s="84">
        <f t="shared" ref="J368:K369" si="223">J$11</f>
        <v>6E-10</v>
      </c>
      <c r="K368" s="84">
        <f t="shared" si="223"/>
        <v>6.9999999999999996E-10</v>
      </c>
      <c r="L368" s="84">
        <f t="shared" ref="L368:N372" si="224">L$11</f>
        <v>8.0000000000000003E-10</v>
      </c>
      <c r="M368" s="84">
        <f t="shared" si="224"/>
        <v>8.9999999999999999E-10</v>
      </c>
      <c r="N368" s="84">
        <f t="shared" si="224"/>
        <v>9.5000000000000003E-10</v>
      </c>
    </row>
    <row r="369" spans="1:36">
      <c r="A369" s="84" t="s">
        <v>1296</v>
      </c>
      <c r="B369" s="85" t="s">
        <v>1300</v>
      </c>
      <c r="C369" s="84" t="s">
        <v>1155</v>
      </c>
      <c r="D369" s="84">
        <f t="shared" si="221"/>
        <v>1.9500000000000001E-9</v>
      </c>
      <c r="E369" s="84">
        <f t="shared" si="222"/>
        <v>1E-10</v>
      </c>
      <c r="F369" s="84">
        <f t="shared" si="222"/>
        <v>2.0000000000000001E-10</v>
      </c>
      <c r="G369" s="84">
        <f t="shared" si="222"/>
        <v>3E-10</v>
      </c>
      <c r="H369" s="84">
        <f t="shared" si="222"/>
        <v>4.0000000000000001E-10</v>
      </c>
      <c r="J369" s="84">
        <f t="shared" si="223"/>
        <v>6E-10</v>
      </c>
      <c r="K369" s="84">
        <f t="shared" si="223"/>
        <v>6.9999999999999996E-10</v>
      </c>
      <c r="L369" s="84">
        <f t="shared" si="224"/>
        <v>8.0000000000000003E-10</v>
      </c>
      <c r="M369" s="84">
        <f t="shared" si="224"/>
        <v>8.9999999999999999E-10</v>
      </c>
      <c r="N369" s="84">
        <f t="shared" si="224"/>
        <v>9.5000000000000003E-10</v>
      </c>
    </row>
    <row r="370" spans="1:36">
      <c r="A370" s="84" t="s">
        <v>1137</v>
      </c>
      <c r="B370" s="85" t="s">
        <v>1138</v>
      </c>
      <c r="C370" s="84" t="s">
        <v>1155</v>
      </c>
      <c r="D370" s="84">
        <f>SUM(E370:H370)+LARGE(J370:N370,1)</f>
        <v>1.9500000000000001E-9</v>
      </c>
      <c r="E370" s="84">
        <f>E$11</f>
        <v>1E-10</v>
      </c>
      <c r="F370" s="84">
        <f>F$11</f>
        <v>2.0000000000000001E-10</v>
      </c>
      <c r="G370" s="84">
        <f>G$11</f>
        <v>3E-10</v>
      </c>
      <c r="H370" s="84">
        <f t="shared" si="222"/>
        <v>4.0000000000000001E-10</v>
      </c>
      <c r="J370" s="84">
        <f>J$11</f>
        <v>6E-10</v>
      </c>
      <c r="K370" s="84">
        <f>K$11</f>
        <v>6.9999999999999996E-10</v>
      </c>
      <c r="L370" s="84">
        <f t="shared" si="224"/>
        <v>8.0000000000000003E-10</v>
      </c>
      <c r="M370" s="84">
        <f t="shared" si="224"/>
        <v>8.9999999999999999E-10</v>
      </c>
      <c r="N370" s="84">
        <f t="shared" si="224"/>
        <v>9.5000000000000003E-10</v>
      </c>
      <c r="P370" s="204"/>
      <c r="Q370" s="204"/>
      <c r="R370" s="204"/>
      <c r="S370" s="204"/>
      <c r="T370" s="205"/>
    </row>
    <row r="371" spans="1:36">
      <c r="A371" s="84" t="s">
        <v>1306</v>
      </c>
      <c r="B371" s="85" t="s">
        <v>1302</v>
      </c>
      <c r="C371" s="84" t="s">
        <v>1155</v>
      </c>
      <c r="D371" s="84">
        <f t="shared" ref="D371:D372" si="225">SUM(E371:H371)+LARGE(J371:N371,1)</f>
        <v>1.9500000000000001E-9</v>
      </c>
      <c r="E371" s="84">
        <f t="shared" ref="E371:G372" si="226">E$11</f>
        <v>1E-10</v>
      </c>
      <c r="F371" s="84">
        <f t="shared" si="226"/>
        <v>2.0000000000000001E-10</v>
      </c>
      <c r="G371" s="84">
        <f t="shared" si="226"/>
        <v>3E-10</v>
      </c>
      <c r="H371" s="84">
        <f t="shared" si="222"/>
        <v>4.0000000000000001E-10</v>
      </c>
      <c r="J371" s="84">
        <f t="shared" ref="J371:K372" si="227">J$11</f>
        <v>6E-10</v>
      </c>
      <c r="K371" s="84">
        <f t="shared" si="227"/>
        <v>6.9999999999999996E-10</v>
      </c>
      <c r="L371" s="84">
        <f t="shared" si="224"/>
        <v>8.0000000000000003E-10</v>
      </c>
      <c r="M371" s="84">
        <f t="shared" si="224"/>
        <v>8.9999999999999999E-10</v>
      </c>
      <c r="N371" s="84">
        <f t="shared" si="224"/>
        <v>9.5000000000000003E-10</v>
      </c>
      <c r="P371" s="145" t="s">
        <v>2311</v>
      </c>
      <c r="Q371" s="145"/>
      <c r="R371" s="145"/>
      <c r="S371" s="145"/>
      <c r="T371" s="148">
        <f>IF(LARGE(P372:T372,1)&gt;4,1,0)</f>
        <v>0</v>
      </c>
    </row>
    <row r="372" spans="1:36">
      <c r="A372" s="84" t="s">
        <v>1308</v>
      </c>
      <c r="B372" s="85" t="s">
        <v>1304</v>
      </c>
      <c r="C372" s="84" t="s">
        <v>1155</v>
      </c>
      <c r="D372" s="84">
        <f t="shared" si="225"/>
        <v>1.9500000000000001E-9</v>
      </c>
      <c r="E372" s="84">
        <f t="shared" si="226"/>
        <v>1E-10</v>
      </c>
      <c r="F372" s="84">
        <f t="shared" si="226"/>
        <v>2.0000000000000001E-10</v>
      </c>
      <c r="G372" s="84">
        <f t="shared" si="226"/>
        <v>3E-10</v>
      </c>
      <c r="H372" s="84">
        <f t="shared" si="222"/>
        <v>4.0000000000000001E-10</v>
      </c>
      <c r="J372" s="84">
        <f t="shared" si="227"/>
        <v>6E-10</v>
      </c>
      <c r="K372" s="84">
        <f t="shared" si="227"/>
        <v>6.9999999999999996E-10</v>
      </c>
      <c r="L372" s="84">
        <f t="shared" si="224"/>
        <v>8.0000000000000003E-10</v>
      </c>
      <c r="M372" s="84">
        <f t="shared" si="224"/>
        <v>8.9999999999999999E-10</v>
      </c>
      <c r="N372" s="84">
        <f t="shared" si="224"/>
        <v>9.5000000000000003E-10</v>
      </c>
      <c r="P372" s="204">
        <f>I13</f>
        <v>5.0000000000000003E-10</v>
      </c>
      <c r="Q372" s="204">
        <f>IF(OR(J1="化學",J1="生物",J1="物理",J1="組合科學(物理、化學)",J1="組合科學(物理、生物)",J1="組合科學(生物、化學)",J1="綜合科學",J1="資訊及通訊科技"),J13,0)</f>
        <v>0</v>
      </c>
      <c r="R372" s="204">
        <f>IF(OR(K1="化學",K1="生物",K1="物理",K1="組合科學(物理、化學)",K1="組合科學(物理、生物)",K1="組合科學(生物、化學)",K1="綜合科學",K1="資訊及通訊科技"),K13,0)</f>
        <v>0</v>
      </c>
      <c r="S372" s="204">
        <f>IF(OR(L1="化學",L1="生物",L1="物理",L1="組合科學(物理、化學)",L1="組合科學(物理、生物)",L1="組合科學(生物、化學)",L1="綜合科學",L1="資訊及通訊科技"),L13,0)</f>
        <v>0</v>
      </c>
      <c r="T372" s="204">
        <f>IF(OR(M1="化學",M1="生物",M1="物理",M1="組合科學(物理、化學)",M1="組合科學(物理、生物)",M1="組合科學(生物、化學)",M1="綜合科學",M1="資訊及通訊科技"),M13,0)</f>
        <v>0</v>
      </c>
      <c r="U372" s="204"/>
    </row>
    <row r="373" spans="1:36">
      <c r="A373" s="84" t="s">
        <v>1140</v>
      </c>
      <c r="B373" s="85" t="s">
        <v>1141</v>
      </c>
      <c r="C373" s="84" t="s">
        <v>1155</v>
      </c>
      <c r="D373" s="84">
        <f t="shared" si="219"/>
        <v>1.9500000000000001E-9</v>
      </c>
      <c r="E373" s="84">
        <f>E11</f>
        <v>1E-10</v>
      </c>
      <c r="F373" s="84">
        <f>F11</f>
        <v>2.0000000000000001E-10</v>
      </c>
      <c r="G373" s="84">
        <f>G11</f>
        <v>3E-10</v>
      </c>
      <c r="H373" s="84">
        <f t="shared" si="222"/>
        <v>4.0000000000000001E-10</v>
      </c>
      <c r="J373" s="84">
        <f>J11</f>
        <v>6E-10</v>
      </c>
      <c r="K373" s="84">
        <f>K11</f>
        <v>6.9999999999999996E-10</v>
      </c>
      <c r="L373" s="84">
        <f>L11</f>
        <v>8.0000000000000003E-10</v>
      </c>
      <c r="M373" s="84">
        <f>M11</f>
        <v>8.9999999999999999E-10</v>
      </c>
      <c r="N373" s="84">
        <f>N11</f>
        <v>9.5000000000000003E-10</v>
      </c>
      <c r="AJ373" s="198"/>
    </row>
    <row r="374" spans="1:36">
      <c r="A374" s="84" t="s">
        <v>1143</v>
      </c>
      <c r="B374" s="85" t="s">
        <v>1144</v>
      </c>
      <c r="C374" s="84" t="s">
        <v>1155</v>
      </c>
      <c r="D374" s="84">
        <f t="shared" si="219"/>
        <v>1.9500000000000001E-9</v>
      </c>
      <c r="E374" s="84">
        <f>E11</f>
        <v>1E-10</v>
      </c>
      <c r="F374" s="84">
        <f>F11</f>
        <v>2.0000000000000001E-10</v>
      </c>
      <c r="G374" s="84">
        <f>G11</f>
        <v>3E-10</v>
      </c>
      <c r="H374" s="84">
        <f>H11</f>
        <v>4.0000000000000001E-10</v>
      </c>
      <c r="J374" s="84">
        <f>J11</f>
        <v>6E-10</v>
      </c>
      <c r="K374" s="84">
        <f>K11</f>
        <v>6.9999999999999996E-10</v>
      </c>
      <c r="L374" s="84">
        <f>L11</f>
        <v>8.0000000000000003E-10</v>
      </c>
      <c r="M374" s="84">
        <f>M11</f>
        <v>8.9999999999999999E-10</v>
      </c>
      <c r="N374" s="84">
        <f>N11</f>
        <v>9.5000000000000003E-10</v>
      </c>
    </row>
    <row r="376" spans="1:36">
      <c r="A376" s="100" t="s">
        <v>1246</v>
      </c>
      <c r="D376" s="84" t="str">
        <f t="shared" ref="D376:N376" si="228">D1</f>
        <v>總分</v>
      </c>
      <c r="E376" s="84" t="str">
        <f t="shared" si="228"/>
        <v>中國語文</v>
      </c>
      <c r="F376" s="84" t="str">
        <f t="shared" si="228"/>
        <v>英國語文</v>
      </c>
      <c r="G376" s="84" t="str">
        <f t="shared" si="228"/>
        <v>數學</v>
      </c>
      <c r="H376" s="84" t="str">
        <f t="shared" si="228"/>
        <v>通識教育</v>
      </c>
      <c r="I376" s="84" t="str">
        <f t="shared" si="228"/>
        <v>數學延伸</v>
      </c>
      <c r="J376" s="84" t="str">
        <f t="shared" si="228"/>
        <v>請選擇第一選修科</v>
      </c>
      <c r="K376" s="84" t="str">
        <f t="shared" si="228"/>
        <v>請選擇第二選修科</v>
      </c>
      <c r="L376" s="84" t="str">
        <f t="shared" si="228"/>
        <v>請選擇第三選修科</v>
      </c>
      <c r="M376" s="84" t="str">
        <f t="shared" si="228"/>
        <v>請選擇第四選修科</v>
      </c>
      <c r="N376" s="84" t="str">
        <f t="shared" si="228"/>
        <v>請選擇語言科目</v>
      </c>
      <c r="P376" s="204"/>
      <c r="Q376" s="204"/>
      <c r="R376" s="204"/>
      <c r="S376" s="204"/>
      <c r="T376" s="204"/>
      <c r="U376" s="204"/>
      <c r="AE376" s="198"/>
      <c r="AF376" s="198"/>
      <c r="AG376" s="198"/>
      <c r="AH376" s="198"/>
      <c r="AI376" s="198"/>
      <c r="AJ376" s="198"/>
    </row>
    <row r="377" spans="1:36">
      <c r="A377" s="84" t="s">
        <v>1164</v>
      </c>
      <c r="B377" s="85" t="s">
        <v>1227</v>
      </c>
      <c r="C377" s="84" t="s">
        <v>1155</v>
      </c>
      <c r="D377" s="84">
        <f>SUM(E377:H377)+LARGE(I377:N377,1)</f>
        <v>1.9000000000000001E-9</v>
      </c>
      <c r="E377" s="84">
        <f>E$11</f>
        <v>1E-10</v>
      </c>
      <c r="F377" s="84">
        <f>F$11</f>
        <v>2.0000000000000001E-10</v>
      </c>
      <c r="G377" s="84">
        <f t="shared" ref="G377:M380" si="229">G$11</f>
        <v>3E-10</v>
      </c>
      <c r="H377" s="84">
        <f t="shared" si="229"/>
        <v>4.0000000000000001E-10</v>
      </c>
      <c r="J377" s="84">
        <f t="shared" si="229"/>
        <v>6E-10</v>
      </c>
      <c r="K377" s="84">
        <f t="shared" si="229"/>
        <v>6.9999999999999996E-10</v>
      </c>
      <c r="L377" s="84">
        <f t="shared" si="229"/>
        <v>8.0000000000000003E-10</v>
      </c>
      <c r="M377" s="84">
        <f t="shared" si="229"/>
        <v>8.9999999999999999E-10</v>
      </c>
      <c r="P377" s="204" t="s">
        <v>2317</v>
      </c>
      <c r="Q377" s="145" t="s">
        <v>2318</v>
      </c>
      <c r="R377" s="145"/>
      <c r="S377" s="145"/>
      <c r="T377" s="201">
        <f>IF(LARGE(Q378:T378,1)&gt;2,1,0)</f>
        <v>0</v>
      </c>
      <c r="U377" s="204"/>
      <c r="AE377" s="198"/>
      <c r="AF377" s="198"/>
      <c r="AG377" s="198"/>
      <c r="AH377" s="198"/>
      <c r="AI377" s="198"/>
      <c r="AJ377" s="198"/>
    </row>
    <row r="378" spans="1:36">
      <c r="A378" s="84" t="s">
        <v>1165</v>
      </c>
      <c r="B378" s="85" t="s">
        <v>1228</v>
      </c>
      <c r="C378" s="84" t="s">
        <v>1155</v>
      </c>
      <c r="D378" s="84">
        <f>SUM(E378:H378)+LARGE(I378:N378,1)</f>
        <v>1.9000000000000001E-9</v>
      </c>
      <c r="E378" s="84">
        <f t="shared" ref="E378:F380" si="230">E$11</f>
        <v>1E-10</v>
      </c>
      <c r="F378" s="84">
        <f t="shared" si="230"/>
        <v>2.0000000000000001E-10</v>
      </c>
      <c r="G378" s="84">
        <f t="shared" si="229"/>
        <v>3E-10</v>
      </c>
      <c r="H378" s="84">
        <f t="shared" si="229"/>
        <v>4.0000000000000001E-10</v>
      </c>
      <c r="J378" s="84">
        <f t="shared" si="229"/>
        <v>6E-10</v>
      </c>
      <c r="K378" s="84">
        <f t="shared" si="229"/>
        <v>6.9999999999999996E-10</v>
      </c>
      <c r="L378" s="84">
        <f t="shared" si="229"/>
        <v>8.0000000000000003E-10</v>
      </c>
      <c r="M378" s="84">
        <f t="shared" si="229"/>
        <v>8.9999999999999999E-10</v>
      </c>
      <c r="P378" s="204"/>
      <c r="Q378" s="204">
        <f>IF(OR(J1="生物",J1="組合科學(物理、生物)",J1="組合科學(生物、化學)"),J13,0)</f>
        <v>0</v>
      </c>
      <c r="R378" s="204">
        <f>IF(OR(K1="生物",K1="組合科學(物理、生物)",K1="組合科學(生物、化學)"),K13,0)</f>
        <v>0</v>
      </c>
      <c r="S378" s="204">
        <f>IF(OR(L1="生物",L1="組合科學(物理、生物)",L1="組合科學(生物、化學)"),L13,0)</f>
        <v>0</v>
      </c>
      <c r="T378" s="204">
        <f>IF(OR(M1="生物",M1="組合科學(物理、生物)",M1="組合科學(生物、化學)"),M13,0)</f>
        <v>0</v>
      </c>
      <c r="U378" s="204"/>
    </row>
    <row r="379" spans="1:36">
      <c r="A379" s="84" t="s">
        <v>1313</v>
      </c>
      <c r="B379" s="85" t="s">
        <v>1314</v>
      </c>
      <c r="C379" s="84" t="s">
        <v>1155</v>
      </c>
      <c r="D379" s="84">
        <f t="shared" ref="D379:D380" si="231">SUM(E379:H379)+LARGE(I379:N379,1)</f>
        <v>1.9000000000000001E-9</v>
      </c>
      <c r="E379" s="84">
        <f t="shared" si="230"/>
        <v>1E-10</v>
      </c>
      <c r="F379" s="84">
        <f t="shared" si="230"/>
        <v>2.0000000000000001E-10</v>
      </c>
      <c r="G379" s="84">
        <f t="shared" si="229"/>
        <v>3E-10</v>
      </c>
      <c r="H379" s="84">
        <f t="shared" si="229"/>
        <v>4.0000000000000001E-10</v>
      </c>
      <c r="J379" s="84">
        <f t="shared" si="229"/>
        <v>6E-10</v>
      </c>
      <c r="K379" s="84">
        <f t="shared" si="229"/>
        <v>6.9999999999999996E-10</v>
      </c>
      <c r="L379" s="84">
        <f t="shared" si="229"/>
        <v>8.0000000000000003E-10</v>
      </c>
      <c r="M379" s="84">
        <f t="shared" si="229"/>
        <v>8.9999999999999999E-10</v>
      </c>
      <c r="P379" s="204" t="s">
        <v>2324</v>
      </c>
      <c r="Q379" s="145" t="s">
        <v>2319</v>
      </c>
      <c r="R379" s="145"/>
      <c r="S379" s="145"/>
      <c r="T379" s="201">
        <f>IF(LARGE(Q380:T380,1)&gt;3,1,0)</f>
        <v>0</v>
      </c>
      <c r="U379" s="204"/>
    </row>
    <row r="380" spans="1:36">
      <c r="A380" s="84" t="s">
        <v>1315</v>
      </c>
      <c r="B380" s="85" t="s">
        <v>1316</v>
      </c>
      <c r="C380" s="84" t="s">
        <v>1155</v>
      </c>
      <c r="D380" s="84">
        <f t="shared" si="231"/>
        <v>1.9000000000000001E-9</v>
      </c>
      <c r="E380" s="84">
        <f t="shared" si="230"/>
        <v>1E-10</v>
      </c>
      <c r="F380" s="84">
        <f t="shared" si="230"/>
        <v>2.0000000000000001E-10</v>
      </c>
      <c r="G380" s="84">
        <f t="shared" si="229"/>
        <v>3E-10</v>
      </c>
      <c r="H380" s="84">
        <f t="shared" si="229"/>
        <v>4.0000000000000001E-10</v>
      </c>
      <c r="J380" s="84">
        <f t="shared" si="229"/>
        <v>6E-10</v>
      </c>
      <c r="K380" s="84">
        <f t="shared" si="229"/>
        <v>6.9999999999999996E-10</v>
      </c>
      <c r="L380" s="84">
        <f t="shared" si="229"/>
        <v>8.0000000000000003E-10</v>
      </c>
      <c r="M380" s="84">
        <f t="shared" si="229"/>
        <v>8.9999999999999999E-10</v>
      </c>
      <c r="P380" s="204"/>
      <c r="Q380" s="204">
        <f>IF(OR(J1="生物",J1="物理",J1="組合科學(物理、生物)"),J13,0)</f>
        <v>0</v>
      </c>
      <c r="R380" s="204">
        <f>IF(OR(K1="生物",K1="物理",K1="組合科學(物理、生物)"),K13,0)</f>
        <v>0</v>
      </c>
      <c r="S380" s="204">
        <f>IF(OR(L1="生物",L1="物理",L1="組合科學(物理、生物)"),L13,0)</f>
        <v>0</v>
      </c>
      <c r="T380" s="204">
        <f>IF(OR(M1="生物",M1="物理",M1="組合科學(物理、生物)"),M13,0)</f>
        <v>0</v>
      </c>
      <c r="U380" s="204"/>
    </row>
    <row r="381" spans="1:36">
      <c r="A381" s="84" t="s">
        <v>1166</v>
      </c>
      <c r="B381" s="85" t="s">
        <v>1229</v>
      </c>
      <c r="C381" s="84" t="s">
        <v>1155</v>
      </c>
      <c r="D381" s="84">
        <f>SUM(E381:H381)+LARGE(I381:N381,1)</f>
        <v>1.9500000000000001E-9</v>
      </c>
      <c r="E381" s="84">
        <f t="shared" ref="E381:M381" si="232">E11</f>
        <v>1E-10</v>
      </c>
      <c r="F381" s="84">
        <f t="shared" si="232"/>
        <v>2.0000000000000001E-10</v>
      </c>
      <c r="G381" s="84">
        <f t="shared" si="232"/>
        <v>3E-10</v>
      </c>
      <c r="H381" s="84">
        <f t="shared" si="232"/>
        <v>4.0000000000000001E-10</v>
      </c>
      <c r="I381" s="84">
        <f t="shared" si="232"/>
        <v>0</v>
      </c>
      <c r="J381" s="84">
        <f t="shared" si="232"/>
        <v>6E-10</v>
      </c>
      <c r="K381" s="84">
        <f t="shared" si="232"/>
        <v>6.9999999999999996E-10</v>
      </c>
      <c r="L381" s="84">
        <f t="shared" si="232"/>
        <v>8.0000000000000003E-10</v>
      </c>
      <c r="M381" s="84">
        <f t="shared" si="232"/>
        <v>8.9999999999999999E-10</v>
      </c>
      <c r="N381" s="84">
        <f>P11</f>
        <v>9.5000000000000003E-10</v>
      </c>
    </row>
    <row r="382" spans="1:36">
      <c r="A382" s="84" t="s">
        <v>1168</v>
      </c>
      <c r="B382" s="85" t="s">
        <v>1230</v>
      </c>
      <c r="C382" s="84" t="s">
        <v>1155</v>
      </c>
      <c r="D382" s="84">
        <f t="shared" ref="D382:D404" si="233">SUM(E382:H382)+LARGE(I382:N382,1)</f>
        <v>1.9500000000000001E-9</v>
      </c>
      <c r="E382" s="84">
        <f t="shared" ref="E382:M382" si="234">E11</f>
        <v>1E-10</v>
      </c>
      <c r="F382" s="84">
        <f t="shared" si="234"/>
        <v>2.0000000000000001E-10</v>
      </c>
      <c r="G382" s="84">
        <f t="shared" si="234"/>
        <v>3E-10</v>
      </c>
      <c r="H382" s="84">
        <f t="shared" si="234"/>
        <v>4.0000000000000001E-10</v>
      </c>
      <c r="I382" s="84">
        <f t="shared" si="234"/>
        <v>0</v>
      </c>
      <c r="J382" s="84">
        <f t="shared" si="234"/>
        <v>6E-10</v>
      </c>
      <c r="K382" s="84">
        <f t="shared" si="234"/>
        <v>6.9999999999999996E-10</v>
      </c>
      <c r="L382" s="84">
        <f t="shared" si="234"/>
        <v>8.0000000000000003E-10</v>
      </c>
      <c r="M382" s="84">
        <f t="shared" si="234"/>
        <v>8.9999999999999999E-10</v>
      </c>
      <c r="N382" s="84">
        <f>P11</f>
        <v>9.5000000000000003E-10</v>
      </c>
    </row>
    <row r="383" spans="1:36">
      <c r="A383" s="84" t="s">
        <v>1169</v>
      </c>
      <c r="B383" s="85" t="s">
        <v>1231</v>
      </c>
      <c r="C383" s="84" t="s">
        <v>1155</v>
      </c>
      <c r="D383" s="84">
        <f t="shared" si="233"/>
        <v>1.9500000000000001E-9</v>
      </c>
      <c r="E383" s="84">
        <f t="shared" ref="E383:M383" si="235">E11</f>
        <v>1E-10</v>
      </c>
      <c r="F383" s="84">
        <f t="shared" si="235"/>
        <v>2.0000000000000001E-10</v>
      </c>
      <c r="G383" s="84">
        <f t="shared" si="235"/>
        <v>3E-10</v>
      </c>
      <c r="H383" s="84">
        <f t="shared" si="235"/>
        <v>4.0000000000000001E-10</v>
      </c>
      <c r="I383" s="84">
        <f t="shared" si="235"/>
        <v>0</v>
      </c>
      <c r="J383" s="84">
        <f t="shared" si="235"/>
        <v>6E-10</v>
      </c>
      <c r="K383" s="84">
        <f t="shared" si="235"/>
        <v>6.9999999999999996E-10</v>
      </c>
      <c r="L383" s="84">
        <f t="shared" si="235"/>
        <v>8.0000000000000003E-10</v>
      </c>
      <c r="M383" s="84">
        <f t="shared" si="235"/>
        <v>8.9999999999999999E-10</v>
      </c>
      <c r="N383" s="84">
        <f>P11</f>
        <v>9.5000000000000003E-10</v>
      </c>
    </row>
    <row r="384" spans="1:36">
      <c r="A384" s="84" t="s">
        <v>2316</v>
      </c>
      <c r="B384" s="85" t="s">
        <v>1233</v>
      </c>
      <c r="C384" s="84" t="s">
        <v>59</v>
      </c>
      <c r="D384" s="84">
        <f>F384+G384+LARGE((E384,H384:M384),1)+LARGE((E384,H384:M384),2)+LARGE((E384,H384:M384),3)</f>
        <v>2.9000000000000003E-9</v>
      </c>
      <c r="E384" s="84">
        <f t="shared" ref="E384:M384" si="236">E11</f>
        <v>1E-10</v>
      </c>
      <c r="F384" s="84">
        <f t="shared" si="236"/>
        <v>2.0000000000000001E-10</v>
      </c>
      <c r="G384" s="84">
        <f t="shared" si="236"/>
        <v>3E-10</v>
      </c>
      <c r="H384" s="84">
        <f t="shared" si="236"/>
        <v>4.0000000000000001E-10</v>
      </c>
      <c r="I384" s="84">
        <f t="shared" si="236"/>
        <v>0</v>
      </c>
      <c r="J384" s="84">
        <f t="shared" si="236"/>
        <v>6E-10</v>
      </c>
      <c r="K384" s="84">
        <f t="shared" si="236"/>
        <v>6.9999999999999996E-10</v>
      </c>
      <c r="L384" s="84">
        <f t="shared" si="236"/>
        <v>8.0000000000000003E-10</v>
      </c>
      <c r="M384" s="84">
        <f t="shared" si="236"/>
        <v>8.9999999999999999E-10</v>
      </c>
    </row>
    <row r="385" spans="1:36">
      <c r="A385" s="84" t="s">
        <v>1171</v>
      </c>
      <c r="B385" s="85" t="s">
        <v>1234</v>
      </c>
      <c r="C385" s="84" t="s">
        <v>59</v>
      </c>
      <c r="D385" s="84">
        <f>LARGE(E385:M385,1)+LARGE(E385:M385,2)+LARGE(E385:M385,3)+LARGE(E385:M385,4)+LARGE(E385:M385,5)</f>
        <v>3.3999999999999998E-9</v>
      </c>
      <c r="E385" s="84">
        <f t="shared" ref="E385:M385" si="237">E11</f>
        <v>1E-10</v>
      </c>
      <c r="F385" s="84">
        <f t="shared" si="237"/>
        <v>2.0000000000000001E-10</v>
      </c>
      <c r="G385" s="84">
        <f t="shared" si="237"/>
        <v>3E-10</v>
      </c>
      <c r="H385" s="84">
        <f t="shared" si="237"/>
        <v>4.0000000000000001E-10</v>
      </c>
      <c r="I385" s="84">
        <f t="shared" si="237"/>
        <v>0</v>
      </c>
      <c r="J385" s="84">
        <f t="shared" si="237"/>
        <v>6E-10</v>
      </c>
      <c r="K385" s="84">
        <f t="shared" si="237"/>
        <v>6.9999999999999996E-10</v>
      </c>
      <c r="L385" s="84">
        <f t="shared" si="237"/>
        <v>8.0000000000000003E-10</v>
      </c>
      <c r="M385" s="84">
        <f t="shared" si="237"/>
        <v>8.9999999999999999E-10</v>
      </c>
    </row>
    <row r="386" spans="1:36">
      <c r="A386" s="84" t="s">
        <v>1172</v>
      </c>
      <c r="B386" s="85" t="s">
        <v>1235</v>
      </c>
      <c r="C386" s="84" t="s">
        <v>59</v>
      </c>
      <c r="D386" s="198">
        <f>LARGE(E386:M386,1)+LARGE(E386:M386,2)+LARGE(E386:M386,3)+LARGE(E386:M386,4)+LARGE(E386:M386,5)</f>
        <v>3.3999999999999998E-9</v>
      </c>
      <c r="E386" s="84">
        <f t="shared" ref="E386:M386" si="238">E11</f>
        <v>1E-10</v>
      </c>
      <c r="F386" s="84">
        <f t="shared" si="238"/>
        <v>2.0000000000000001E-10</v>
      </c>
      <c r="G386" s="84">
        <f t="shared" si="238"/>
        <v>3E-10</v>
      </c>
      <c r="H386" s="84">
        <f t="shared" si="238"/>
        <v>4.0000000000000001E-10</v>
      </c>
      <c r="I386" s="84">
        <f t="shared" si="238"/>
        <v>0</v>
      </c>
      <c r="J386" s="84">
        <f t="shared" si="238"/>
        <v>6E-10</v>
      </c>
      <c r="K386" s="84">
        <f t="shared" si="238"/>
        <v>6.9999999999999996E-10</v>
      </c>
      <c r="L386" s="84">
        <f t="shared" si="238"/>
        <v>8.0000000000000003E-10</v>
      </c>
      <c r="M386" s="84">
        <f t="shared" si="238"/>
        <v>8.9999999999999999E-10</v>
      </c>
    </row>
    <row r="387" spans="1:36">
      <c r="A387" s="84" t="s">
        <v>1173</v>
      </c>
      <c r="B387" s="85" t="s">
        <v>1236</v>
      </c>
      <c r="C387" s="84" t="s">
        <v>59</v>
      </c>
      <c r="D387" s="198">
        <f>G387+LARGE((E387:F387,H387:M387),1)+LARGE((E387:F387,H387:M387),2)+LARGE((E387:F387,H387:M387),3)+LARGE((E387:F387,H387:M387),4)</f>
        <v>3.3000000000000002E-9</v>
      </c>
      <c r="E387" s="84">
        <f t="shared" ref="E387:M387" si="239">E11</f>
        <v>1E-10</v>
      </c>
      <c r="F387" s="84">
        <f t="shared" si="239"/>
        <v>2.0000000000000001E-10</v>
      </c>
      <c r="G387" s="84">
        <f t="shared" si="239"/>
        <v>3E-10</v>
      </c>
      <c r="H387" s="84">
        <f t="shared" si="239"/>
        <v>4.0000000000000001E-10</v>
      </c>
      <c r="I387" s="84">
        <f t="shared" si="239"/>
        <v>0</v>
      </c>
      <c r="J387" s="84">
        <f t="shared" si="239"/>
        <v>6E-10</v>
      </c>
      <c r="K387" s="84">
        <f t="shared" si="239"/>
        <v>6.9999999999999996E-10</v>
      </c>
      <c r="L387" s="84">
        <f t="shared" si="239"/>
        <v>8.0000000000000003E-10</v>
      </c>
      <c r="M387" s="84">
        <f t="shared" si="239"/>
        <v>8.9999999999999999E-10</v>
      </c>
    </row>
    <row r="388" spans="1:36">
      <c r="A388" s="84" t="s">
        <v>1174</v>
      </c>
      <c r="B388" s="85" t="s">
        <v>1237</v>
      </c>
      <c r="C388" s="84" t="s">
        <v>59</v>
      </c>
      <c r="D388" s="198">
        <f>LARGE(E388:M388,1)+LARGE(E388:M388,2)+LARGE(E388:M388,3)+LARGE(E388:M388,4)+LARGE(E388:M388,5)</f>
        <v>3.3999999999999998E-9</v>
      </c>
      <c r="E388" s="84">
        <f t="shared" ref="E388:M388" si="240">E11</f>
        <v>1E-10</v>
      </c>
      <c r="F388" s="84">
        <f t="shared" si="240"/>
        <v>2.0000000000000001E-10</v>
      </c>
      <c r="G388" s="84">
        <f t="shared" si="240"/>
        <v>3E-10</v>
      </c>
      <c r="H388" s="84">
        <f t="shared" si="240"/>
        <v>4.0000000000000001E-10</v>
      </c>
      <c r="I388" s="84">
        <f t="shared" si="240"/>
        <v>0</v>
      </c>
      <c r="J388" s="84">
        <f t="shared" si="240"/>
        <v>6E-10</v>
      </c>
      <c r="K388" s="84">
        <f t="shared" si="240"/>
        <v>6.9999999999999996E-10</v>
      </c>
      <c r="L388" s="84">
        <f t="shared" si="240"/>
        <v>8.0000000000000003E-10</v>
      </c>
      <c r="M388" s="84">
        <f t="shared" si="240"/>
        <v>8.9999999999999999E-10</v>
      </c>
    </row>
    <row r="389" spans="1:36" s="198" customFormat="1">
      <c r="A389" s="84" t="s">
        <v>1870</v>
      </c>
      <c r="B389" s="85" t="s">
        <v>1975</v>
      </c>
      <c r="C389" s="198" t="s">
        <v>1156</v>
      </c>
      <c r="D389" s="198">
        <f>SUM(E389:H389)+LARGE(J389:M389,1)</f>
        <v>1.9000000000000001E-9</v>
      </c>
      <c r="E389" s="198">
        <f>E11</f>
        <v>1E-10</v>
      </c>
      <c r="F389" s="198">
        <f>F11</f>
        <v>2.0000000000000001E-10</v>
      </c>
      <c r="G389" s="198">
        <f>G11</f>
        <v>3E-10</v>
      </c>
      <c r="H389" s="198">
        <f>H11</f>
        <v>4.0000000000000001E-10</v>
      </c>
      <c r="J389" s="198">
        <f>J11</f>
        <v>6E-10</v>
      </c>
      <c r="K389" s="198">
        <f>K11</f>
        <v>6.9999999999999996E-10</v>
      </c>
      <c r="L389" s="198">
        <f>L11</f>
        <v>8.0000000000000003E-10</v>
      </c>
      <c r="M389" s="198">
        <f>M11</f>
        <v>8.9999999999999999E-10</v>
      </c>
      <c r="T389" s="200"/>
      <c r="AE389" s="84"/>
      <c r="AF389" s="84"/>
      <c r="AG389" s="84"/>
      <c r="AH389" s="84"/>
      <c r="AI389" s="84"/>
      <c r="AJ389" s="84"/>
    </row>
    <row r="390" spans="1:36">
      <c r="A390" s="84" t="s">
        <v>1175</v>
      </c>
      <c r="B390" s="85" t="s">
        <v>1238</v>
      </c>
      <c r="C390" s="359" t="s">
        <v>59</v>
      </c>
      <c r="D390" s="198">
        <f>LARGE(E390:N390,1)+LARGE(E390:N390,2)+LARGE(E390:N390,3)+LARGE(E390:N390,4)+LARGE(E390:N390,5)</f>
        <v>3.3999999999999998E-9</v>
      </c>
      <c r="E390" s="84">
        <f>E11</f>
        <v>1E-10</v>
      </c>
      <c r="F390" s="84">
        <f>F11</f>
        <v>2.0000000000000001E-10</v>
      </c>
      <c r="G390" s="84">
        <f>G11</f>
        <v>3E-10</v>
      </c>
      <c r="H390" s="84">
        <f>H11</f>
        <v>4.0000000000000001E-10</v>
      </c>
      <c r="J390" s="84">
        <f>J11</f>
        <v>6E-10</v>
      </c>
      <c r="K390" s="84">
        <f>K11</f>
        <v>6.9999999999999996E-10</v>
      </c>
      <c r="L390" s="84">
        <f>L11</f>
        <v>8.0000000000000003E-10</v>
      </c>
      <c r="M390" s="84">
        <f>M11</f>
        <v>8.9999999999999999E-10</v>
      </c>
      <c r="P390" s="204"/>
      <c r="Q390" s="204"/>
      <c r="R390" s="204"/>
      <c r="S390" s="204"/>
      <c r="T390" s="205"/>
      <c r="U390" s="204"/>
    </row>
    <row r="391" spans="1:36">
      <c r="A391" s="84" t="s">
        <v>1177</v>
      </c>
      <c r="B391" s="85" t="s">
        <v>1239</v>
      </c>
      <c r="C391" s="359" t="s">
        <v>59</v>
      </c>
      <c r="D391" s="198">
        <f>LARGE(E391:N391,1)+LARGE(E391:N391,2)+LARGE(E391:N391,3)+LARGE(E391:N391,4)+LARGE(E391:N391,5)</f>
        <v>3.3999999999999998E-9</v>
      </c>
      <c r="E391" s="84">
        <f>E11</f>
        <v>1E-10</v>
      </c>
      <c r="F391" s="84">
        <f>F11</f>
        <v>2.0000000000000001E-10</v>
      </c>
      <c r="G391" s="84">
        <f>G11</f>
        <v>3E-10</v>
      </c>
      <c r="H391" s="84">
        <f>H11</f>
        <v>4.0000000000000001E-10</v>
      </c>
      <c r="J391" s="84">
        <f>J11</f>
        <v>6E-10</v>
      </c>
      <c r="K391" s="84">
        <f>K11</f>
        <v>6.9999999999999996E-10</v>
      </c>
      <c r="L391" s="84">
        <f>L11</f>
        <v>8.0000000000000003E-10</v>
      </c>
      <c r="M391" s="84">
        <f>M11</f>
        <v>8.9999999999999999E-10</v>
      </c>
      <c r="P391" s="204" t="s">
        <v>2227</v>
      </c>
      <c r="Q391" s="145" t="s">
        <v>2228</v>
      </c>
      <c r="R391" s="145"/>
      <c r="S391" s="145"/>
      <c r="T391" s="201">
        <f>IF(LARGE(Q392:T392,1)&gt;4,1,0)</f>
        <v>0</v>
      </c>
      <c r="U391" s="204"/>
    </row>
    <row r="392" spans="1:36">
      <c r="A392" s="84" t="s">
        <v>1178</v>
      </c>
      <c r="B392" s="85" t="s">
        <v>1240</v>
      </c>
      <c r="C392" s="359" t="s">
        <v>59</v>
      </c>
      <c r="D392" s="198">
        <f>LARGE(E392:N392,1)+LARGE(E392:N392,2)+LARGE(E392:N392,3)+LARGE(E392:N392,4)+LARGE(E392:N392,5)</f>
        <v>3.3999999999999998E-9</v>
      </c>
      <c r="E392" s="84">
        <f>E11</f>
        <v>1E-10</v>
      </c>
      <c r="F392" s="84">
        <f>F11</f>
        <v>2.0000000000000001E-10</v>
      </c>
      <c r="G392" s="84">
        <f>G11</f>
        <v>3E-10</v>
      </c>
      <c r="H392" s="84">
        <f>H11</f>
        <v>4.0000000000000001E-10</v>
      </c>
      <c r="J392" s="84">
        <f>J11</f>
        <v>6E-10</v>
      </c>
      <c r="K392" s="84">
        <f>K11</f>
        <v>6.9999999999999996E-10</v>
      </c>
      <c r="L392" s="84">
        <f>L11</f>
        <v>8.0000000000000003E-10</v>
      </c>
      <c r="M392" s="84">
        <f>M11</f>
        <v>8.9999999999999999E-10</v>
      </c>
      <c r="P392" s="204"/>
      <c r="Q392" s="204">
        <f>IF(OR(J1="化學",J1="組合科學(物理、化學)",J1="組合科學(生物、化學)"),J13,0)</f>
        <v>0</v>
      </c>
      <c r="R392" s="204">
        <f>IF(OR(K1="化學",K1="組合科學(物理、化學)",K1="組合科學(生物、化學)"),K13,0)</f>
        <v>0</v>
      </c>
      <c r="S392" s="204">
        <f>IF(OR(L1="化學",L1="組合科學(物理、化學)",L1="組合科學(生物、化學)"),L13,0)</f>
        <v>0</v>
      </c>
      <c r="T392" s="204">
        <f>IF(OR(M1="化學",M1="組合科學(物理、化學)",M1="組合科學(生物、化學)"),M13,0)</f>
        <v>0</v>
      </c>
      <c r="U392" s="204"/>
      <c r="AJ392" s="198"/>
    </row>
    <row r="393" spans="1:36">
      <c r="A393" s="84" t="s">
        <v>1179</v>
      </c>
      <c r="B393" s="85" t="s">
        <v>1241</v>
      </c>
      <c r="C393" s="359" t="s">
        <v>59</v>
      </c>
      <c r="D393" s="198">
        <f>LARGE(E393:N393,1)+LARGE(E393:N393,2)+LARGE(E393:N393,3)+LARGE(E393:N393,4)+LARGE(E393:N393,5)</f>
        <v>3.3999999999999998E-9</v>
      </c>
      <c r="E393" s="84">
        <f>E11</f>
        <v>1E-10</v>
      </c>
      <c r="F393" s="84">
        <f>F11</f>
        <v>2.0000000000000001E-10</v>
      </c>
      <c r="G393" s="84">
        <f>G11</f>
        <v>3E-10</v>
      </c>
      <c r="H393" s="84">
        <f>H11</f>
        <v>4.0000000000000001E-10</v>
      </c>
      <c r="J393" s="84">
        <f>J11</f>
        <v>6E-10</v>
      </c>
      <c r="K393" s="84">
        <f>K11</f>
        <v>6.9999999999999996E-10</v>
      </c>
      <c r="L393" s="84">
        <f>L11</f>
        <v>8.0000000000000003E-10</v>
      </c>
      <c r="M393" s="84">
        <f>M11</f>
        <v>8.9999999999999999E-10</v>
      </c>
      <c r="P393" s="204"/>
      <c r="Q393" s="204"/>
      <c r="R393" s="204"/>
      <c r="S393" s="204"/>
      <c r="T393" s="205"/>
      <c r="U393" s="204"/>
      <c r="AJ393" s="198"/>
    </row>
    <row r="394" spans="1:36">
      <c r="A394" s="84" t="s">
        <v>1180</v>
      </c>
      <c r="B394" s="85" t="s">
        <v>1242</v>
      </c>
      <c r="C394" s="359" t="s">
        <v>59</v>
      </c>
      <c r="D394" s="198">
        <f>LARGE(E394:N394,1)+LARGE(E394:N394,2)+LARGE(E394:N394,3)+LARGE(E394:N394,4)+LARGE(E394:N394,5)</f>
        <v>3.3999999999999998E-9</v>
      </c>
      <c r="E394" s="84">
        <f>E11</f>
        <v>1E-10</v>
      </c>
      <c r="F394" s="84">
        <f>F11</f>
        <v>2.0000000000000001E-10</v>
      </c>
      <c r="G394" s="84">
        <f>G11</f>
        <v>3E-10</v>
      </c>
      <c r="H394" s="84">
        <f>H11</f>
        <v>4.0000000000000001E-10</v>
      </c>
      <c r="J394" s="84">
        <f>J11</f>
        <v>6E-10</v>
      </c>
      <c r="K394" s="84">
        <f>K11</f>
        <v>6.9999999999999996E-10</v>
      </c>
      <c r="L394" s="84">
        <f>L11</f>
        <v>8.0000000000000003E-10</v>
      </c>
      <c r="M394" s="84">
        <f>M11</f>
        <v>8.9999999999999999E-10</v>
      </c>
      <c r="P394" s="204" t="s">
        <v>2229</v>
      </c>
      <c r="Q394" s="145" t="s">
        <v>2230</v>
      </c>
      <c r="R394" s="145"/>
      <c r="S394" s="145"/>
      <c r="T394" s="201">
        <f>IF(LARGE(R274:U274,1)&gt;3,1,0)</f>
        <v>0</v>
      </c>
      <c r="U394" s="204"/>
    </row>
    <row r="395" spans="1:36">
      <c r="A395" s="84" t="s">
        <v>1181</v>
      </c>
      <c r="B395" s="85" t="s">
        <v>1183</v>
      </c>
      <c r="C395" s="84" t="s">
        <v>1155</v>
      </c>
      <c r="D395" s="84">
        <f t="shared" si="233"/>
        <v>2.0999999999999998E-9</v>
      </c>
      <c r="E395" s="84">
        <f>E11*1.5</f>
        <v>1.5E-10</v>
      </c>
      <c r="F395" s="84">
        <f>F11*1.5</f>
        <v>3E-10</v>
      </c>
      <c r="G395" s="84">
        <f>G11</f>
        <v>3E-10</v>
      </c>
      <c r="H395" s="84">
        <f>H11</f>
        <v>4.0000000000000001E-10</v>
      </c>
      <c r="I395" s="198">
        <f t="shared" ref="I395:I402" si="241">$I$11</f>
        <v>0</v>
      </c>
      <c r="J395" s="84">
        <f>J11</f>
        <v>6E-10</v>
      </c>
      <c r="K395" s="84">
        <f>K11</f>
        <v>6.9999999999999996E-10</v>
      </c>
      <c r="L395" s="84">
        <f>L11</f>
        <v>8.0000000000000003E-10</v>
      </c>
      <c r="M395" s="84">
        <f>M11</f>
        <v>8.9999999999999999E-10</v>
      </c>
      <c r="N395" s="84">
        <f>N11</f>
        <v>9.5000000000000003E-10</v>
      </c>
      <c r="P395" s="204"/>
      <c r="Q395" s="145" t="s">
        <v>2231</v>
      </c>
      <c r="R395" s="145"/>
      <c r="S395" s="145"/>
      <c r="T395" s="201">
        <f>IF(LARGE(Q396:T396,1)&gt;3,1,0)</f>
        <v>0</v>
      </c>
      <c r="U395" s="204"/>
    </row>
    <row r="396" spans="1:36">
      <c r="A396" s="84" t="s">
        <v>1184</v>
      </c>
      <c r="B396" s="85" t="s">
        <v>1185</v>
      </c>
      <c r="C396" s="84" t="s">
        <v>1155</v>
      </c>
      <c r="D396" s="84">
        <f t="shared" si="233"/>
        <v>1.9500000000000001E-9</v>
      </c>
      <c r="E396" s="84">
        <f>E11</f>
        <v>1E-10</v>
      </c>
      <c r="F396" s="84">
        <f>F11</f>
        <v>2.0000000000000001E-10</v>
      </c>
      <c r="G396" s="84">
        <f>G11</f>
        <v>3E-10</v>
      </c>
      <c r="H396" s="84">
        <f>H11</f>
        <v>4.0000000000000001E-10</v>
      </c>
      <c r="I396" s="198">
        <f t="shared" si="241"/>
        <v>0</v>
      </c>
      <c r="J396" s="84">
        <f>J11</f>
        <v>6E-10</v>
      </c>
      <c r="K396" s="84">
        <f>K11</f>
        <v>6.9999999999999996E-10</v>
      </c>
      <c r="L396" s="84">
        <f>L11</f>
        <v>8.0000000000000003E-10</v>
      </c>
      <c r="M396" s="84">
        <f>M11</f>
        <v>8.9999999999999999E-10</v>
      </c>
      <c r="N396" s="84">
        <f>N11</f>
        <v>9.5000000000000003E-10</v>
      </c>
      <c r="P396" s="204"/>
      <c r="Q396" s="204">
        <f>IF(OR(J1="物理",J1="綜合科學",J1="組合科學(物理、化學)",J1="組合科學(物理、生物)"),J13,0)</f>
        <v>0</v>
      </c>
      <c r="R396" s="204">
        <f>IF(OR(K1="物理",K1="綜合科學",K1="組合科學(物理、化學)",K1="組合科學(物理、生物)"),K13,0)</f>
        <v>0</v>
      </c>
      <c r="S396" s="204">
        <f>IF(OR(L1="物理",L1="綜合科學",L1="組合科學(物理、化學)",L1="組合科學(物理、生物)"),L13,0)</f>
        <v>0</v>
      </c>
      <c r="T396" s="204">
        <f>IF(OR(M1="物理",M1="綜合科學",M1="組合科學(物理、化學)",M1="組合科學(物理、生物)"),M13,0)</f>
        <v>0</v>
      </c>
      <c r="U396" s="204"/>
    </row>
    <row r="397" spans="1:36">
      <c r="A397" s="84" t="s">
        <v>1186</v>
      </c>
      <c r="B397" s="85" t="s">
        <v>1187</v>
      </c>
      <c r="C397" s="84" t="s">
        <v>1155</v>
      </c>
      <c r="D397" s="84">
        <f t="shared" si="233"/>
        <v>2.0999999999999998E-9</v>
      </c>
      <c r="E397" s="84">
        <f>E11*1.5</f>
        <v>1.5E-10</v>
      </c>
      <c r="F397" s="84">
        <f>F11*1.5</f>
        <v>3E-10</v>
      </c>
      <c r="G397" s="84">
        <f>G11</f>
        <v>3E-10</v>
      </c>
      <c r="H397" s="84">
        <f>H11</f>
        <v>4.0000000000000001E-10</v>
      </c>
      <c r="I397" s="198">
        <f t="shared" si="241"/>
        <v>0</v>
      </c>
      <c r="J397" s="84">
        <f>J11</f>
        <v>6E-10</v>
      </c>
      <c r="K397" s="84">
        <f>K11</f>
        <v>6.9999999999999996E-10</v>
      </c>
      <c r="L397" s="84">
        <f>L11</f>
        <v>8.0000000000000003E-10</v>
      </c>
      <c r="M397" s="84">
        <f>M11</f>
        <v>8.9999999999999999E-10</v>
      </c>
      <c r="N397" s="84">
        <f>N11</f>
        <v>9.5000000000000003E-10</v>
      </c>
      <c r="P397" s="204"/>
      <c r="Q397" s="204"/>
      <c r="R397" s="204"/>
      <c r="S397" s="204"/>
      <c r="T397" s="205"/>
      <c r="U397" s="204"/>
    </row>
    <row r="398" spans="1:36">
      <c r="A398" s="84" t="s">
        <v>1188</v>
      </c>
      <c r="B398" s="85" t="s">
        <v>1189</v>
      </c>
      <c r="C398" s="84" t="s">
        <v>1155</v>
      </c>
      <c r="D398" s="84">
        <f t="shared" si="233"/>
        <v>1.9500000000000001E-9</v>
      </c>
      <c r="E398" s="84">
        <f>E11</f>
        <v>1E-10</v>
      </c>
      <c r="F398" s="84">
        <f>F11</f>
        <v>2.0000000000000001E-10</v>
      </c>
      <c r="G398" s="84">
        <f>G11</f>
        <v>3E-10</v>
      </c>
      <c r="H398" s="84">
        <f>H11</f>
        <v>4.0000000000000001E-10</v>
      </c>
      <c r="I398" s="198">
        <f t="shared" si="241"/>
        <v>0</v>
      </c>
      <c r="J398" s="84">
        <f>IF(OR(J1="物理",J1="化學",J1="生物",J1="組合科學(物理、化學)",J1="組合科學(生物、化學)",J1="組合科學(物理、生物)",J1="綜合科學",J1="健康管理及社會關懷"),J11*1.2,J11)</f>
        <v>6E-10</v>
      </c>
      <c r="K398" s="84">
        <f>IF(OR(K1="物理",K1="化學",K1="生物",K1="組合科學(物理、化學)",K1="組合科學(生物、化學)",K1="組合科學(物理、生物)",K1="綜合科學",K1="健康管理及社會關懷"),K11*1.2,K11)</f>
        <v>6.9999999999999996E-10</v>
      </c>
      <c r="L398" s="84">
        <f>IF(OR(L1="物理",L1="化學",L1="生物",L1="組合科學(物理、化學)",L1="組合科學(生物、化學)",L1="組合科學(物理、生物)",L1="綜合科學",L1="健康管理及社會關懷"),L11*1.2,L11)</f>
        <v>8.0000000000000003E-10</v>
      </c>
      <c r="M398" s="84">
        <f>IF(OR(M1="物理",M1="化學",M1="生物",M1="組合科學(物理、化學)",M1="組合科學(生物、化學)",M1="組合科學(物理、生物)",M1="綜合科學",M1="健康管理及社會關懷"),M11*1.2,M11)</f>
        <v>8.9999999999999999E-10</v>
      </c>
      <c r="N398" s="84">
        <f>N11</f>
        <v>9.5000000000000003E-10</v>
      </c>
      <c r="P398" s="204" t="s">
        <v>2232</v>
      </c>
      <c r="Q398" s="145" t="s">
        <v>2233</v>
      </c>
      <c r="R398" s="145"/>
      <c r="S398" s="145"/>
      <c r="T398" s="201">
        <f>IF(LARGE(Q399:T399,1)&gt;3,1,0)</f>
        <v>0</v>
      </c>
      <c r="U398" s="204"/>
    </row>
    <row r="399" spans="1:36">
      <c r="A399" s="84" t="s">
        <v>1190</v>
      </c>
      <c r="B399" s="85" t="s">
        <v>1191</v>
      </c>
      <c r="C399" s="84" t="s">
        <v>1155</v>
      </c>
      <c r="D399" s="84">
        <f t="shared" si="233"/>
        <v>1.9500000000000001E-9</v>
      </c>
      <c r="E399" s="84">
        <f>E11</f>
        <v>1E-10</v>
      </c>
      <c r="F399" s="84">
        <f>F11</f>
        <v>2.0000000000000001E-10</v>
      </c>
      <c r="G399" s="84">
        <f>G11</f>
        <v>3E-10</v>
      </c>
      <c r="H399" s="84">
        <f>H11</f>
        <v>4.0000000000000001E-10</v>
      </c>
      <c r="I399" s="198">
        <f t="shared" si="241"/>
        <v>0</v>
      </c>
      <c r="J399" s="84">
        <f>IF(OR(J1="物理",J1="化學",J1="生物",J1="組合科學(物理、化學)",J1="組合科學(生物、化學)",J1="組合科學(物理、生物)",J1="綜合科學",J1="健康管理及社會關懷"),J11*1.2,J11)</f>
        <v>6E-10</v>
      </c>
      <c r="K399" s="84">
        <f>IF(OR(K1="物理",K1="化學",K1="生物",K1="組合科學(物理、化學)",K1="組合科學(生物、化學)",K1="組合科學(物理、生物)",K1="綜合科學",K1="健康管理及社會關懷"),K11*1.2,K11)</f>
        <v>6.9999999999999996E-10</v>
      </c>
      <c r="L399" s="84">
        <f>IF(OR(L1="物理",L1="化學",L1="生物",L1="組合科學(物理、化學)",L1="組合科學(生物、化學)",L1="組合科學(物理、生物)",L1="綜合科學",L1="健康管理及社會關懷"),L11*1.2,L11)</f>
        <v>8.0000000000000003E-10</v>
      </c>
      <c r="M399" s="84">
        <f>IF(OR(M1="物理",M1="化學",M1="生物",M1="組合科學(物理、化學)",M1="組合科學(生物、化學)",M1="組合科學(物理、生物)",M1="綜合科學",M1="健康管理及社會關懷"),M11*1.2,M11)</f>
        <v>8.9999999999999999E-10</v>
      </c>
      <c r="N399" s="84">
        <f>N11</f>
        <v>9.5000000000000003E-10</v>
      </c>
      <c r="P399" s="204"/>
      <c r="Q399" s="204">
        <f>IF(OR(J1="生物",J1="組合科學(物理、生物)",J1="組合科學(生物、化學)"),J13,0)</f>
        <v>0</v>
      </c>
      <c r="R399" s="204">
        <f>IF(OR(K1="生物",K1="組合科學(物理、生物)",K1="組合科學(生物、化學)"),K13,0)</f>
        <v>0</v>
      </c>
      <c r="S399" s="204">
        <f>IF(OR(L1="生物",L1="組合科學(物理、生物)",L1="組合科學(生物、化學)"),L13,0)</f>
        <v>0</v>
      </c>
      <c r="T399" s="204">
        <f>IF(OR(M1="生物",M1="組合科學(物理、生物)",M1="組合科學(生物、化學)"),M13,0)</f>
        <v>0</v>
      </c>
      <c r="U399" s="204"/>
    </row>
    <row r="400" spans="1:36" s="198" customFormat="1">
      <c r="A400" s="84" t="s">
        <v>1989</v>
      </c>
      <c r="B400" s="85" t="s">
        <v>1977</v>
      </c>
      <c r="C400" s="198" t="s">
        <v>59</v>
      </c>
      <c r="D400" s="198">
        <f>LARGE(E400:N400,1)+LARGE(E400:N400,2)+LARGE(E400:N400,3)+LARGE(E400:N400,4)+LARGE(E400:N400,5)</f>
        <v>3.9500000000000006E-9</v>
      </c>
      <c r="E400" s="198">
        <f>E11*2</f>
        <v>2.0000000000000001E-10</v>
      </c>
      <c r="F400" s="198">
        <f>F11*2</f>
        <v>4.0000000000000001E-10</v>
      </c>
      <c r="G400" s="198">
        <f>G11</f>
        <v>3E-10</v>
      </c>
      <c r="H400" s="198">
        <f>H11</f>
        <v>4.0000000000000001E-10</v>
      </c>
      <c r="I400" s="198">
        <f t="shared" si="241"/>
        <v>0</v>
      </c>
      <c r="J400" s="198">
        <f>IF(OR(J1="物理",J1="生物",J1="組合科學(物理、生物)"),J11*2,J11)</f>
        <v>6E-10</v>
      </c>
      <c r="K400" s="198">
        <f>IF(OR(K1="物理",K1="生物",K1="組合科學(物理、生物)"),K11*2,K11)</f>
        <v>6.9999999999999996E-10</v>
      </c>
      <c r="L400" s="198">
        <f>IF(OR(L1="物理",L1="生物",L1="組合科學(物理、生物)"),L11*2,L11)</f>
        <v>8.0000000000000003E-10</v>
      </c>
      <c r="M400" s="198">
        <f>IF(OR(M1="物理",M1="生物",M1="組合科學(物理、生物)"),M11*2,M11)</f>
        <v>8.9999999999999999E-10</v>
      </c>
      <c r="N400" s="198">
        <f>N11</f>
        <v>9.5000000000000003E-10</v>
      </c>
      <c r="P400" s="204"/>
      <c r="Q400" s="204"/>
      <c r="R400" s="204"/>
      <c r="S400" s="204"/>
      <c r="T400" s="204"/>
      <c r="U400" s="204"/>
      <c r="AE400" s="84"/>
      <c r="AF400" s="84"/>
      <c r="AG400" s="84"/>
      <c r="AH400" s="84"/>
      <c r="AI400" s="84"/>
      <c r="AJ400" s="84"/>
    </row>
    <row r="401" spans="1:36">
      <c r="A401" s="84" t="s">
        <v>1192</v>
      </c>
      <c r="B401" s="85" t="s">
        <v>1193</v>
      </c>
      <c r="C401" s="84" t="s">
        <v>1155</v>
      </c>
      <c r="D401" s="84">
        <f t="shared" si="233"/>
        <v>1.9500000000000001E-9</v>
      </c>
      <c r="E401" s="84">
        <f>E11</f>
        <v>1E-10</v>
      </c>
      <c r="F401" s="84">
        <f>F11</f>
        <v>2.0000000000000001E-10</v>
      </c>
      <c r="G401" s="84">
        <f>G11</f>
        <v>3E-10</v>
      </c>
      <c r="H401" s="84">
        <f>H11</f>
        <v>4.0000000000000001E-10</v>
      </c>
      <c r="I401" s="198">
        <f t="shared" si="241"/>
        <v>0</v>
      </c>
      <c r="J401" s="84">
        <f>J11</f>
        <v>6E-10</v>
      </c>
      <c r="K401" s="84">
        <f>K11</f>
        <v>6.9999999999999996E-10</v>
      </c>
      <c r="L401" s="84">
        <f>L11</f>
        <v>8.0000000000000003E-10</v>
      </c>
      <c r="M401" s="84">
        <f>M11</f>
        <v>8.9999999999999999E-10</v>
      </c>
      <c r="N401" s="84">
        <f>N11</f>
        <v>9.5000000000000003E-10</v>
      </c>
    </row>
    <row r="402" spans="1:36">
      <c r="A402" s="84" t="s">
        <v>1194</v>
      </c>
      <c r="B402" s="85" t="s">
        <v>1195</v>
      </c>
      <c r="C402" s="84" t="s">
        <v>1155</v>
      </c>
      <c r="D402" s="84">
        <f t="shared" si="233"/>
        <v>1.9500000000000001E-9</v>
      </c>
      <c r="E402" s="84">
        <f>E11</f>
        <v>1E-10</v>
      </c>
      <c r="F402" s="84">
        <f>F11</f>
        <v>2.0000000000000001E-10</v>
      </c>
      <c r="G402" s="84">
        <f>G11</f>
        <v>3E-10</v>
      </c>
      <c r="H402" s="84">
        <f>H11</f>
        <v>4.0000000000000001E-10</v>
      </c>
      <c r="I402" s="198">
        <f t="shared" si="241"/>
        <v>0</v>
      </c>
      <c r="J402" s="84">
        <f>J11</f>
        <v>6E-10</v>
      </c>
      <c r="K402" s="84">
        <f>K11</f>
        <v>6.9999999999999996E-10</v>
      </c>
      <c r="L402" s="84">
        <f>L11</f>
        <v>8.0000000000000003E-10</v>
      </c>
      <c r="M402" s="84">
        <f>M11</f>
        <v>8.9999999999999999E-10</v>
      </c>
      <c r="N402" s="84">
        <f>N11</f>
        <v>9.5000000000000003E-10</v>
      </c>
    </row>
    <row r="403" spans="1:36" s="198" customFormat="1">
      <c r="A403" s="84" t="s">
        <v>1914</v>
      </c>
      <c r="B403" s="85" t="s">
        <v>1978</v>
      </c>
      <c r="C403" s="198" t="s">
        <v>1156</v>
      </c>
      <c r="D403" s="198">
        <f>SUM(E403:H403)+LARGE(I403:N403,1)</f>
        <v>1.9500000000000001E-9</v>
      </c>
      <c r="E403" s="198">
        <f>E11</f>
        <v>1E-10</v>
      </c>
      <c r="F403" s="198">
        <f>F11</f>
        <v>2.0000000000000001E-10</v>
      </c>
      <c r="G403" s="198">
        <f>G11</f>
        <v>3E-10</v>
      </c>
      <c r="H403" s="198">
        <f>H11</f>
        <v>4.0000000000000001E-10</v>
      </c>
      <c r="I403" s="198">
        <f>$I$11</f>
        <v>0</v>
      </c>
      <c r="J403" s="198">
        <f>J11</f>
        <v>6E-10</v>
      </c>
      <c r="K403" s="198">
        <f>K11</f>
        <v>6.9999999999999996E-10</v>
      </c>
      <c r="L403" s="198">
        <f>L11</f>
        <v>8.0000000000000003E-10</v>
      </c>
      <c r="M403" s="198">
        <f>M11</f>
        <v>8.9999999999999999E-10</v>
      </c>
      <c r="N403" s="198">
        <f>N11</f>
        <v>9.5000000000000003E-10</v>
      </c>
      <c r="T403" s="200"/>
      <c r="AE403" s="84"/>
      <c r="AF403" s="84"/>
      <c r="AG403" s="84"/>
      <c r="AH403" s="84"/>
      <c r="AI403" s="84"/>
      <c r="AJ403" s="84"/>
    </row>
    <row r="404" spans="1:36" s="198" customFormat="1">
      <c r="A404" s="84" t="s">
        <v>1918</v>
      </c>
      <c r="B404" s="85" t="s">
        <v>1980</v>
      </c>
      <c r="C404" s="198" t="s">
        <v>1156</v>
      </c>
      <c r="D404" s="198">
        <f t="shared" si="233"/>
        <v>1.9500000000000001E-9</v>
      </c>
      <c r="E404" s="198">
        <f>E11</f>
        <v>1E-10</v>
      </c>
      <c r="F404" s="198">
        <f>F11</f>
        <v>2.0000000000000001E-10</v>
      </c>
      <c r="G404" s="198">
        <f>G11</f>
        <v>3E-10</v>
      </c>
      <c r="H404" s="198">
        <f>H11</f>
        <v>4.0000000000000001E-10</v>
      </c>
      <c r="I404" s="198">
        <f t="shared" ref="I404:I409" si="242">$I$11</f>
        <v>0</v>
      </c>
      <c r="J404" s="198">
        <f>J11</f>
        <v>6E-10</v>
      </c>
      <c r="K404" s="198">
        <f>K11</f>
        <v>6.9999999999999996E-10</v>
      </c>
      <c r="L404" s="198">
        <f>L11</f>
        <v>8.0000000000000003E-10</v>
      </c>
      <c r="M404" s="198">
        <f>M11</f>
        <v>8.9999999999999999E-10</v>
      </c>
      <c r="N404" s="198">
        <f>N11</f>
        <v>9.5000000000000003E-10</v>
      </c>
      <c r="T404" s="200"/>
      <c r="AE404" s="84"/>
      <c r="AF404" s="84"/>
      <c r="AG404" s="84"/>
      <c r="AH404" s="84"/>
      <c r="AI404" s="84"/>
      <c r="AJ404" s="84"/>
    </row>
    <row r="405" spans="1:36">
      <c r="A405" s="84" t="s">
        <v>1196</v>
      </c>
      <c r="B405" s="85" t="s">
        <v>1197</v>
      </c>
      <c r="C405" s="84" t="s">
        <v>189</v>
      </c>
      <c r="D405" s="84">
        <f>LARGE(E405:N405,1)+LARGE(E405:N405,2)+LARGE(E405:N405,3)+LARGE(E405:N405,4)+LARGE(E405:N405,5)</f>
        <v>3.9500000000000006E-9</v>
      </c>
      <c r="E405" s="84">
        <f>E11</f>
        <v>1E-10</v>
      </c>
      <c r="F405" s="84">
        <f>F11</f>
        <v>2.0000000000000001E-10</v>
      </c>
      <c r="G405" s="84">
        <f>G11</f>
        <v>3E-10</v>
      </c>
      <c r="H405" s="84">
        <f>H11</f>
        <v>4.0000000000000001E-10</v>
      </c>
      <c r="I405" s="198">
        <f t="shared" si="242"/>
        <v>0</v>
      </c>
      <c r="J405" s="84">
        <f>J11</f>
        <v>6E-10</v>
      </c>
      <c r="K405" s="84">
        <f>K11</f>
        <v>6.9999999999999996E-10</v>
      </c>
      <c r="L405" s="84">
        <f>L11</f>
        <v>8.0000000000000003E-10</v>
      </c>
      <c r="M405" s="84">
        <f>M11</f>
        <v>8.9999999999999999E-10</v>
      </c>
      <c r="N405" s="84">
        <f>N11</f>
        <v>9.5000000000000003E-10</v>
      </c>
    </row>
    <row r="406" spans="1:36">
      <c r="A406" s="84" t="s">
        <v>1198</v>
      </c>
      <c r="B406" s="85" t="s">
        <v>1199</v>
      </c>
      <c r="C406" s="84" t="s">
        <v>189</v>
      </c>
      <c r="D406" s="84">
        <f t="shared" ref="D406:D410" si="243">LARGE(E406:N406,1)+LARGE(E406:N406,2)+LARGE(E406:N406,3)+LARGE(E406:N406,4)+LARGE(E406:N406,5)</f>
        <v>3.9500000000000006E-9</v>
      </c>
      <c r="E406" s="84">
        <f>E11</f>
        <v>1E-10</v>
      </c>
      <c r="F406" s="84">
        <f>F11</f>
        <v>2.0000000000000001E-10</v>
      </c>
      <c r="G406" s="84">
        <f>G11</f>
        <v>3E-10</v>
      </c>
      <c r="H406" s="84">
        <f>H11</f>
        <v>4.0000000000000001E-10</v>
      </c>
      <c r="I406" s="198">
        <f t="shared" si="242"/>
        <v>0</v>
      </c>
      <c r="J406" s="84">
        <f>J11</f>
        <v>6E-10</v>
      </c>
      <c r="K406" s="84">
        <f>K11</f>
        <v>6.9999999999999996E-10</v>
      </c>
      <c r="L406" s="84">
        <f>L11</f>
        <v>8.0000000000000003E-10</v>
      </c>
      <c r="M406" s="84">
        <f>M11</f>
        <v>8.9999999999999999E-10</v>
      </c>
      <c r="N406" s="84">
        <f>N11</f>
        <v>9.5000000000000003E-10</v>
      </c>
    </row>
    <row r="407" spans="1:36">
      <c r="A407" s="84" t="s">
        <v>1200</v>
      </c>
      <c r="B407" s="85" t="s">
        <v>1201</v>
      </c>
      <c r="C407" s="84" t="s">
        <v>189</v>
      </c>
      <c r="D407" s="84">
        <f t="shared" si="243"/>
        <v>3.9500000000000006E-9</v>
      </c>
      <c r="E407" s="84">
        <f>E11</f>
        <v>1E-10</v>
      </c>
      <c r="F407" s="84">
        <f>F11</f>
        <v>2.0000000000000001E-10</v>
      </c>
      <c r="G407" s="84">
        <f>G11</f>
        <v>3E-10</v>
      </c>
      <c r="H407" s="84">
        <f>H11</f>
        <v>4.0000000000000001E-10</v>
      </c>
      <c r="I407" s="198">
        <f t="shared" si="242"/>
        <v>0</v>
      </c>
      <c r="J407" s="84">
        <f>J11</f>
        <v>6E-10</v>
      </c>
      <c r="K407" s="84">
        <f>K11</f>
        <v>6.9999999999999996E-10</v>
      </c>
      <c r="L407" s="84">
        <f>L11</f>
        <v>8.0000000000000003E-10</v>
      </c>
      <c r="M407" s="84">
        <f>M11</f>
        <v>8.9999999999999999E-10</v>
      </c>
      <c r="N407" s="84">
        <f>N11</f>
        <v>9.5000000000000003E-10</v>
      </c>
    </row>
    <row r="408" spans="1:36">
      <c r="A408" s="84" t="s">
        <v>1202</v>
      </c>
      <c r="B408" s="85" t="s">
        <v>1203</v>
      </c>
      <c r="C408" s="84" t="s">
        <v>189</v>
      </c>
      <c r="D408" s="84">
        <f t="shared" si="243"/>
        <v>3.9500000000000006E-9</v>
      </c>
      <c r="E408" s="84">
        <f>E11</f>
        <v>1E-10</v>
      </c>
      <c r="F408" s="84">
        <f>F11</f>
        <v>2.0000000000000001E-10</v>
      </c>
      <c r="G408" s="84">
        <f>G11</f>
        <v>3E-10</v>
      </c>
      <c r="H408" s="84">
        <f>H11</f>
        <v>4.0000000000000001E-10</v>
      </c>
      <c r="I408" s="198">
        <f t="shared" si="242"/>
        <v>0</v>
      </c>
      <c r="J408" s="84">
        <f>J11</f>
        <v>6E-10</v>
      </c>
      <c r="K408" s="84">
        <f>K11</f>
        <v>6.9999999999999996E-10</v>
      </c>
      <c r="L408" s="84">
        <f>L11</f>
        <v>8.0000000000000003E-10</v>
      </c>
      <c r="M408" s="84">
        <f>M11</f>
        <v>8.9999999999999999E-10</v>
      </c>
      <c r="N408" s="84">
        <f>N11</f>
        <v>9.5000000000000003E-10</v>
      </c>
    </row>
    <row r="409" spans="1:36">
      <c r="A409" s="84" t="s">
        <v>1204</v>
      </c>
      <c r="B409" s="85" t="s">
        <v>1205</v>
      </c>
      <c r="C409" s="84" t="s">
        <v>189</v>
      </c>
      <c r="D409" s="84">
        <f t="shared" si="243"/>
        <v>3.9500000000000006E-9</v>
      </c>
      <c r="E409" s="84">
        <f>E11</f>
        <v>1E-10</v>
      </c>
      <c r="F409" s="84">
        <f>F11</f>
        <v>2.0000000000000001E-10</v>
      </c>
      <c r="G409" s="84">
        <f>G11</f>
        <v>3E-10</v>
      </c>
      <c r="H409" s="84">
        <f>H11</f>
        <v>4.0000000000000001E-10</v>
      </c>
      <c r="I409" s="198">
        <f t="shared" si="242"/>
        <v>0</v>
      </c>
      <c r="J409" s="84">
        <f>J11</f>
        <v>6E-10</v>
      </c>
      <c r="K409" s="84">
        <f>K11</f>
        <v>6.9999999999999996E-10</v>
      </c>
      <c r="L409" s="84">
        <f>L11</f>
        <v>8.0000000000000003E-10</v>
      </c>
      <c r="M409" s="84">
        <f>M11</f>
        <v>8.9999999999999999E-10</v>
      </c>
      <c r="N409" s="84">
        <f>N11</f>
        <v>9.5000000000000003E-10</v>
      </c>
    </row>
    <row r="410" spans="1:36">
      <c r="A410" s="84" t="s">
        <v>1206</v>
      </c>
      <c r="B410" s="85" t="s">
        <v>1207</v>
      </c>
      <c r="C410" s="84" t="s">
        <v>189</v>
      </c>
      <c r="D410" s="84">
        <f t="shared" si="243"/>
        <v>3.9500000000000006E-9</v>
      </c>
      <c r="E410" s="84">
        <f t="shared" ref="E410:M410" si="244">E11</f>
        <v>1E-10</v>
      </c>
      <c r="F410" s="84">
        <f t="shared" si="244"/>
        <v>2.0000000000000001E-10</v>
      </c>
      <c r="G410" s="84">
        <f t="shared" si="244"/>
        <v>3E-10</v>
      </c>
      <c r="H410" s="84">
        <f t="shared" si="244"/>
        <v>4.0000000000000001E-10</v>
      </c>
      <c r="I410" s="84">
        <f t="shared" si="244"/>
        <v>0</v>
      </c>
      <c r="J410" s="84">
        <f t="shared" si="244"/>
        <v>6E-10</v>
      </c>
      <c r="K410" s="84">
        <f t="shared" si="244"/>
        <v>6.9999999999999996E-10</v>
      </c>
      <c r="L410" s="84">
        <f t="shared" si="244"/>
        <v>8.0000000000000003E-10</v>
      </c>
      <c r="M410" s="84">
        <f t="shared" si="244"/>
        <v>8.9999999999999999E-10</v>
      </c>
      <c r="N410" s="84">
        <f>O11</f>
        <v>9.5000000000000003E-10</v>
      </c>
    </row>
    <row r="411" spans="1:36">
      <c r="A411" s="84" t="s">
        <v>1208</v>
      </c>
      <c r="B411" s="85" t="s">
        <v>1209</v>
      </c>
      <c r="C411" s="84" t="s">
        <v>1155</v>
      </c>
      <c r="D411" s="84">
        <f t="shared" ref="D411:D420" si="245">SUM(E411:H411)+LARGE(I411:N411,1)</f>
        <v>1.9500000000000001E-9</v>
      </c>
      <c r="E411" s="84">
        <f t="shared" ref="E411:M411" si="246">E11</f>
        <v>1E-10</v>
      </c>
      <c r="F411" s="84">
        <f t="shared" si="246"/>
        <v>2.0000000000000001E-10</v>
      </c>
      <c r="G411" s="84">
        <f t="shared" si="246"/>
        <v>3E-10</v>
      </c>
      <c r="H411" s="84">
        <f t="shared" si="246"/>
        <v>4.0000000000000001E-10</v>
      </c>
      <c r="I411" s="84">
        <f t="shared" si="246"/>
        <v>0</v>
      </c>
      <c r="J411" s="84">
        <f t="shared" si="246"/>
        <v>6E-10</v>
      </c>
      <c r="K411" s="84">
        <f t="shared" si="246"/>
        <v>6.9999999999999996E-10</v>
      </c>
      <c r="L411" s="84">
        <f t="shared" si="246"/>
        <v>8.0000000000000003E-10</v>
      </c>
      <c r="M411" s="84">
        <f t="shared" si="246"/>
        <v>8.9999999999999999E-10</v>
      </c>
      <c r="N411" s="84">
        <f>O11</f>
        <v>9.5000000000000003E-10</v>
      </c>
    </row>
    <row r="412" spans="1:36">
      <c r="A412" s="84" t="s">
        <v>1210</v>
      </c>
      <c r="B412" s="85" t="s">
        <v>1211</v>
      </c>
      <c r="C412" s="84" t="s">
        <v>1155</v>
      </c>
      <c r="D412" s="84">
        <f t="shared" si="245"/>
        <v>1.9500000000000001E-9</v>
      </c>
      <c r="E412" s="84">
        <f t="shared" ref="E412:M412" si="247">E11</f>
        <v>1E-10</v>
      </c>
      <c r="F412" s="84">
        <f t="shared" si="247"/>
        <v>2.0000000000000001E-10</v>
      </c>
      <c r="G412" s="84">
        <f t="shared" si="247"/>
        <v>3E-10</v>
      </c>
      <c r="H412" s="84">
        <f t="shared" si="247"/>
        <v>4.0000000000000001E-10</v>
      </c>
      <c r="I412" s="84">
        <f t="shared" si="247"/>
        <v>0</v>
      </c>
      <c r="J412" s="84">
        <f t="shared" si="247"/>
        <v>6E-10</v>
      </c>
      <c r="K412" s="84">
        <f t="shared" si="247"/>
        <v>6.9999999999999996E-10</v>
      </c>
      <c r="L412" s="84">
        <f t="shared" si="247"/>
        <v>8.0000000000000003E-10</v>
      </c>
      <c r="M412" s="84">
        <f t="shared" si="247"/>
        <v>8.9999999999999999E-10</v>
      </c>
      <c r="N412" s="84">
        <f>O11</f>
        <v>9.5000000000000003E-10</v>
      </c>
    </row>
    <row r="413" spans="1:36">
      <c r="A413" s="84" t="s">
        <v>1212</v>
      </c>
      <c r="B413" s="85" t="s">
        <v>1213</v>
      </c>
      <c r="C413" s="84" t="s">
        <v>1155</v>
      </c>
      <c r="D413" s="84">
        <f t="shared" si="245"/>
        <v>1.9500000000000001E-9</v>
      </c>
      <c r="E413" s="84">
        <f t="shared" ref="E413:M413" si="248">E11</f>
        <v>1E-10</v>
      </c>
      <c r="F413" s="84">
        <f t="shared" si="248"/>
        <v>2.0000000000000001E-10</v>
      </c>
      <c r="G413" s="84">
        <f t="shared" si="248"/>
        <v>3E-10</v>
      </c>
      <c r="H413" s="84">
        <f t="shared" si="248"/>
        <v>4.0000000000000001E-10</v>
      </c>
      <c r="I413" s="84">
        <f t="shared" si="248"/>
        <v>0</v>
      </c>
      <c r="J413" s="84">
        <f t="shared" si="248"/>
        <v>6E-10</v>
      </c>
      <c r="K413" s="84">
        <f t="shared" si="248"/>
        <v>6.9999999999999996E-10</v>
      </c>
      <c r="L413" s="84">
        <f t="shared" si="248"/>
        <v>8.0000000000000003E-10</v>
      </c>
      <c r="M413" s="84">
        <f t="shared" si="248"/>
        <v>8.9999999999999999E-10</v>
      </c>
      <c r="N413" s="84">
        <f>O11</f>
        <v>9.5000000000000003E-10</v>
      </c>
    </row>
    <row r="414" spans="1:36">
      <c r="A414" s="84" t="s">
        <v>1214</v>
      </c>
      <c r="B414" s="85" t="s">
        <v>1215</v>
      </c>
      <c r="C414" s="84" t="s">
        <v>1155</v>
      </c>
      <c r="D414" s="84">
        <f>SUM(E414:H414)+LARGE(I414:N414,1)</f>
        <v>1.9500000000000001E-9</v>
      </c>
      <c r="E414" s="84">
        <f t="shared" ref="E414:M414" si="249">E11</f>
        <v>1E-10</v>
      </c>
      <c r="F414" s="84">
        <f t="shared" si="249"/>
        <v>2.0000000000000001E-10</v>
      </c>
      <c r="G414" s="84">
        <f t="shared" si="249"/>
        <v>3E-10</v>
      </c>
      <c r="H414" s="84">
        <f t="shared" si="249"/>
        <v>4.0000000000000001E-10</v>
      </c>
      <c r="I414" s="84">
        <f t="shared" si="249"/>
        <v>0</v>
      </c>
      <c r="J414" s="84">
        <f t="shared" si="249"/>
        <v>6E-10</v>
      </c>
      <c r="K414" s="84">
        <f t="shared" si="249"/>
        <v>6.9999999999999996E-10</v>
      </c>
      <c r="L414" s="84">
        <f t="shared" si="249"/>
        <v>8.0000000000000003E-10</v>
      </c>
      <c r="M414" s="84">
        <f t="shared" si="249"/>
        <v>8.9999999999999999E-10</v>
      </c>
      <c r="N414" s="84">
        <f>O11</f>
        <v>9.5000000000000003E-10</v>
      </c>
      <c r="P414" s="84" t="s">
        <v>2320</v>
      </c>
      <c r="Q414" s="84" t="s">
        <v>2321</v>
      </c>
      <c r="T414" s="84">
        <f>IF(LARGE(Q274:U274,1)&gt;2,1,0)</f>
        <v>0</v>
      </c>
    </row>
    <row r="415" spans="1:36">
      <c r="A415" s="84" t="s">
        <v>1216</v>
      </c>
      <c r="B415" s="85" t="s">
        <v>1217</v>
      </c>
      <c r="C415" s="84" t="s">
        <v>1155</v>
      </c>
      <c r="D415" s="84">
        <f t="shared" si="245"/>
        <v>1.9500000000000001E-9</v>
      </c>
      <c r="E415" s="84">
        <f t="shared" ref="E415:M415" si="250">E11</f>
        <v>1E-10</v>
      </c>
      <c r="F415" s="84">
        <f t="shared" si="250"/>
        <v>2.0000000000000001E-10</v>
      </c>
      <c r="G415" s="84">
        <f t="shared" si="250"/>
        <v>3E-10</v>
      </c>
      <c r="H415" s="84">
        <f t="shared" si="250"/>
        <v>4.0000000000000001E-10</v>
      </c>
      <c r="I415" s="84">
        <f t="shared" si="250"/>
        <v>0</v>
      </c>
      <c r="J415" s="84">
        <f t="shared" si="250"/>
        <v>6E-10</v>
      </c>
      <c r="K415" s="84">
        <f t="shared" si="250"/>
        <v>6.9999999999999996E-10</v>
      </c>
      <c r="L415" s="84">
        <f t="shared" si="250"/>
        <v>8.0000000000000003E-10</v>
      </c>
      <c r="M415" s="84">
        <f t="shared" si="250"/>
        <v>8.9999999999999999E-10</v>
      </c>
      <c r="N415" s="84">
        <f>O11</f>
        <v>9.5000000000000003E-10</v>
      </c>
    </row>
    <row r="416" spans="1:36">
      <c r="A416" s="84" t="s">
        <v>1218</v>
      </c>
      <c r="B416" s="85" t="s">
        <v>1219</v>
      </c>
      <c r="C416" s="84" t="s">
        <v>1155</v>
      </c>
      <c r="D416" s="84">
        <f t="shared" si="245"/>
        <v>1.9500000000000001E-9</v>
      </c>
      <c r="E416" s="84">
        <f t="shared" ref="E416:M416" si="251">E11</f>
        <v>1E-10</v>
      </c>
      <c r="F416" s="84">
        <f t="shared" si="251"/>
        <v>2.0000000000000001E-10</v>
      </c>
      <c r="G416" s="84">
        <f t="shared" si="251"/>
        <v>3E-10</v>
      </c>
      <c r="H416" s="84">
        <f t="shared" si="251"/>
        <v>4.0000000000000001E-10</v>
      </c>
      <c r="I416" s="84">
        <f t="shared" si="251"/>
        <v>0</v>
      </c>
      <c r="J416" s="84">
        <f t="shared" si="251"/>
        <v>6E-10</v>
      </c>
      <c r="K416" s="84">
        <f t="shared" si="251"/>
        <v>6.9999999999999996E-10</v>
      </c>
      <c r="L416" s="84">
        <f t="shared" si="251"/>
        <v>8.0000000000000003E-10</v>
      </c>
      <c r="M416" s="84">
        <f t="shared" si="251"/>
        <v>8.9999999999999999E-10</v>
      </c>
      <c r="N416" s="84">
        <f>O11</f>
        <v>9.5000000000000003E-10</v>
      </c>
    </row>
    <row r="417" spans="1:36">
      <c r="A417" s="84" t="s">
        <v>1220</v>
      </c>
      <c r="B417" s="85" t="s">
        <v>1221</v>
      </c>
      <c r="C417" s="84" t="s">
        <v>1155</v>
      </c>
      <c r="D417" s="84">
        <f t="shared" si="245"/>
        <v>1.9500000000000001E-9</v>
      </c>
      <c r="E417" s="84">
        <f>E11</f>
        <v>1E-10</v>
      </c>
      <c r="F417" s="84">
        <f>F11</f>
        <v>2.0000000000000001E-10</v>
      </c>
      <c r="G417" s="84">
        <f>G11</f>
        <v>3E-10</v>
      </c>
      <c r="H417" s="84">
        <f>H11</f>
        <v>4.0000000000000001E-10</v>
      </c>
      <c r="I417" s="84">
        <f>I11</f>
        <v>0</v>
      </c>
      <c r="J417" s="84">
        <f>IF(J1="體育",J11*2,J11)</f>
        <v>6E-10</v>
      </c>
      <c r="K417" s="84">
        <f>IF(K1="體育",K11*2,K11)</f>
        <v>6.9999999999999996E-10</v>
      </c>
      <c r="L417" s="84">
        <f>IF(L1="體育",L11*2,L11)</f>
        <v>8.0000000000000003E-10</v>
      </c>
      <c r="M417" s="84">
        <f>IF(M1="體育",M11*2,M11)</f>
        <v>8.9999999999999999E-10</v>
      </c>
      <c r="N417" s="84">
        <f>O11</f>
        <v>9.5000000000000003E-10</v>
      </c>
    </row>
    <row r="418" spans="1:36">
      <c r="A418" s="84" t="s">
        <v>1222</v>
      </c>
      <c r="B418" s="85" t="s">
        <v>1223</v>
      </c>
      <c r="C418" s="84" t="s">
        <v>1155</v>
      </c>
      <c r="D418" s="84">
        <f t="shared" si="245"/>
        <v>1.9500000000000001E-9</v>
      </c>
      <c r="E418" s="84">
        <f t="shared" ref="E418:M418" si="252">E11</f>
        <v>1E-10</v>
      </c>
      <c r="F418" s="84">
        <f t="shared" si="252"/>
        <v>2.0000000000000001E-10</v>
      </c>
      <c r="G418" s="84">
        <f t="shared" si="252"/>
        <v>3E-10</v>
      </c>
      <c r="H418" s="84">
        <f t="shared" si="252"/>
        <v>4.0000000000000001E-10</v>
      </c>
      <c r="I418" s="84">
        <f t="shared" si="252"/>
        <v>0</v>
      </c>
      <c r="J418" s="84">
        <f t="shared" si="252"/>
        <v>6E-10</v>
      </c>
      <c r="K418" s="84">
        <f t="shared" si="252"/>
        <v>6.9999999999999996E-10</v>
      </c>
      <c r="L418" s="84">
        <f t="shared" si="252"/>
        <v>8.0000000000000003E-10</v>
      </c>
      <c r="M418" s="84">
        <f t="shared" si="252"/>
        <v>8.9999999999999999E-10</v>
      </c>
      <c r="N418" s="84">
        <f>O11</f>
        <v>9.5000000000000003E-10</v>
      </c>
    </row>
    <row r="419" spans="1:36" s="198" customFormat="1">
      <c r="A419" s="84" t="s">
        <v>1224</v>
      </c>
      <c r="B419" s="85" t="s">
        <v>1225</v>
      </c>
      <c r="C419" s="84" t="s">
        <v>1155</v>
      </c>
      <c r="D419" s="84">
        <f>SUM(E419:H419)+LARGE(I419:N419,1)</f>
        <v>1.9500000000000001E-9</v>
      </c>
      <c r="E419" s="84">
        <f t="shared" ref="E419:M419" si="253">E11</f>
        <v>1E-10</v>
      </c>
      <c r="F419" s="84">
        <f t="shared" si="253"/>
        <v>2.0000000000000001E-10</v>
      </c>
      <c r="G419" s="84">
        <f t="shared" si="253"/>
        <v>3E-10</v>
      </c>
      <c r="H419" s="84">
        <f t="shared" si="253"/>
        <v>4.0000000000000001E-10</v>
      </c>
      <c r="I419" s="84">
        <f t="shared" si="253"/>
        <v>0</v>
      </c>
      <c r="J419" s="84">
        <f t="shared" si="253"/>
        <v>6E-10</v>
      </c>
      <c r="K419" s="84">
        <f t="shared" si="253"/>
        <v>6.9999999999999996E-10</v>
      </c>
      <c r="L419" s="84">
        <f t="shared" si="253"/>
        <v>8.0000000000000003E-10</v>
      </c>
      <c r="M419" s="84">
        <f t="shared" si="253"/>
        <v>8.9999999999999999E-10</v>
      </c>
      <c r="N419" s="84">
        <f>O11</f>
        <v>9.5000000000000003E-10</v>
      </c>
      <c r="T419" s="200"/>
      <c r="AE419" s="84"/>
      <c r="AF419" s="84"/>
      <c r="AG419" s="84"/>
      <c r="AH419" s="84"/>
      <c r="AI419" s="84"/>
      <c r="AJ419" s="84"/>
    </row>
    <row r="420" spans="1:36" s="198" customFormat="1">
      <c r="A420" s="84" t="s">
        <v>1967</v>
      </c>
      <c r="B420" s="85" t="s">
        <v>1983</v>
      </c>
      <c r="D420" s="198">
        <f t="shared" si="245"/>
        <v>1.9500000000000001E-9</v>
      </c>
      <c r="E420" s="198">
        <f>E$11</f>
        <v>1E-10</v>
      </c>
      <c r="F420" s="198">
        <f>F$11</f>
        <v>2.0000000000000001E-10</v>
      </c>
      <c r="G420" s="198">
        <f t="shared" ref="G420:N420" si="254">G$11</f>
        <v>3E-10</v>
      </c>
      <c r="H420" s="198">
        <f t="shared" si="254"/>
        <v>4.0000000000000001E-10</v>
      </c>
      <c r="I420" s="198">
        <f t="shared" si="254"/>
        <v>0</v>
      </c>
      <c r="J420" s="198">
        <f t="shared" si="254"/>
        <v>6E-10</v>
      </c>
      <c r="K420" s="198">
        <f t="shared" si="254"/>
        <v>6.9999999999999996E-10</v>
      </c>
      <c r="L420" s="198">
        <f t="shared" si="254"/>
        <v>8.0000000000000003E-10</v>
      </c>
      <c r="M420" s="198">
        <f t="shared" si="254"/>
        <v>8.9999999999999999E-10</v>
      </c>
      <c r="N420" s="198">
        <f t="shared" si="254"/>
        <v>9.5000000000000003E-10</v>
      </c>
      <c r="T420" s="200"/>
      <c r="AE420" s="84"/>
      <c r="AF420" s="84"/>
      <c r="AG420" s="84"/>
      <c r="AH420" s="84"/>
      <c r="AI420" s="84"/>
      <c r="AJ420" s="84"/>
    </row>
    <row r="421" spans="1:36">
      <c r="A421" s="84" t="s">
        <v>1970</v>
      </c>
      <c r="B421" s="84" t="s">
        <v>1985</v>
      </c>
      <c r="C421" s="84" t="s">
        <v>1156</v>
      </c>
      <c r="D421" s="198">
        <f>SUM(E421:H421)+LARGE(I421:N421,1)</f>
        <v>1.9500000000000001E-9</v>
      </c>
      <c r="E421" s="198">
        <f>E$11</f>
        <v>1E-10</v>
      </c>
      <c r="F421" s="198">
        <f>F$11</f>
        <v>2.0000000000000001E-10</v>
      </c>
      <c r="G421" s="198">
        <f t="shared" ref="G421:N421" si="255">G$11</f>
        <v>3E-10</v>
      </c>
      <c r="H421" s="198">
        <f t="shared" si="255"/>
        <v>4.0000000000000001E-10</v>
      </c>
      <c r="I421" s="198">
        <f t="shared" si="255"/>
        <v>0</v>
      </c>
      <c r="J421" s="198">
        <f t="shared" si="255"/>
        <v>6E-10</v>
      </c>
      <c r="K421" s="198">
        <f t="shared" si="255"/>
        <v>6.9999999999999996E-10</v>
      </c>
      <c r="L421" s="198">
        <f t="shared" si="255"/>
        <v>8.0000000000000003E-10</v>
      </c>
      <c r="M421" s="198">
        <f t="shared" si="255"/>
        <v>8.9999999999999999E-10</v>
      </c>
      <c r="N421" s="198">
        <f t="shared" si="255"/>
        <v>9.5000000000000003E-10</v>
      </c>
      <c r="P421" s="84" t="s">
        <v>2322</v>
      </c>
      <c r="Q421" s="84" t="s">
        <v>2323</v>
      </c>
      <c r="T421" s="90">
        <f>IF(LARGE(Q422:T422,1)&gt;3,1,0)</f>
        <v>0</v>
      </c>
    </row>
    <row r="422" spans="1:36">
      <c r="Q422" s="84">
        <f>IF(OR(J1="資訊及通訊科技"),J13,0)</f>
        <v>0</v>
      </c>
      <c r="R422" s="198">
        <f>IF(OR(K1="資訊及通訊科技"),K13,0)</f>
        <v>0</v>
      </c>
      <c r="S422" s="198">
        <f>IF(OR(L1="資訊及通訊科技"),L13,0)</f>
        <v>0</v>
      </c>
      <c r="T422" s="198">
        <f>IF(OR(M1="資訊及通訊科技"),M13,0)</f>
        <v>0</v>
      </c>
    </row>
  </sheetData>
  <phoneticPr fontId="2" type="noConversion"/>
  <conditionalFormatting sqref="A77:N105">
    <cfRule type="expression" dxfId="279" priority="30">
      <formula>MOD(ROW(),2)=0</formula>
    </cfRule>
  </conditionalFormatting>
  <conditionalFormatting sqref="A377:N421">
    <cfRule type="expression" dxfId="278" priority="29">
      <formula>MOD(ROW(),2)=0</formula>
    </cfRule>
  </conditionalFormatting>
  <conditionalFormatting sqref="A108:N162">
    <cfRule type="expression" dxfId="277" priority="28">
      <formula>MOD(ROW(),2)=0</formula>
    </cfRule>
  </conditionalFormatting>
  <conditionalFormatting sqref="A228:N252 A254:N255 A256:B298 D256:N298 A300:N312">
    <cfRule type="expression" dxfId="276" priority="27">
      <formula>MOD(ROW(),2)=0</formula>
    </cfRule>
  </conditionalFormatting>
  <conditionalFormatting sqref="A25:B74 D25:N74">
    <cfRule type="expression" dxfId="275" priority="26">
      <formula>MOD(ROW(),2)=0</formula>
    </cfRule>
  </conditionalFormatting>
  <conditionalFormatting sqref="A315:N337 A340:N374">
    <cfRule type="expression" dxfId="274" priority="25">
      <formula>MOD(ROW(),2)=0</formula>
    </cfRule>
  </conditionalFormatting>
  <conditionalFormatting sqref="A301:N312">
    <cfRule type="expression" dxfId="273" priority="24">
      <formula>MOD(ROW(),2)=0</formula>
    </cfRule>
  </conditionalFormatting>
  <conditionalFormatting sqref="A256:O298 A300:N312">
    <cfRule type="expression" dxfId="272" priority="14">
      <formula>MOD(ROW(),2)=0</formula>
    </cfRule>
  </conditionalFormatting>
  <conditionalFormatting sqref="C25:C74">
    <cfRule type="expression" dxfId="271" priority="8">
      <formula>MOD(ROW(),2)=0</formula>
    </cfRule>
  </conditionalFormatting>
  <conditionalFormatting sqref="C261:C267">
    <cfRule type="expression" dxfId="270" priority="1">
      <formula>MOD(ROW(),2)=0</formula>
    </cfRule>
  </conditionalFormatting>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10"/>
  <dimension ref="A1:AJ71"/>
  <sheetViews>
    <sheetView zoomScaleNormal="100" workbookViewId="0">
      <pane ySplit="1" topLeftCell="A2" activePane="bottomLeft" state="frozen"/>
      <selection activeCell="C1" sqref="C1"/>
      <selection pane="bottomLeft"/>
    </sheetView>
  </sheetViews>
  <sheetFormatPr defaultColWidth="0" defaultRowHeight="13.8" zeroHeight="1"/>
  <cols>
    <col min="1" max="1" width="7.109375" style="175" customWidth="1"/>
    <col min="2" max="2" width="9.109375" style="175" customWidth="1"/>
    <col min="3" max="3" width="25.77734375" style="175" customWidth="1"/>
    <col min="4" max="4" width="10.6640625" style="175" hidden="1" customWidth="1"/>
    <col min="5" max="5" width="7.77734375" style="333" customWidth="1"/>
    <col min="6" max="8" width="7.77734375" style="325" customWidth="1"/>
    <col min="9" max="9" width="7.77734375" style="338" customWidth="1"/>
    <col min="10" max="10" width="7.6640625" style="27" customWidth="1"/>
    <col min="11" max="11" width="7.6640625" style="186" customWidth="1"/>
    <col min="12" max="12" width="4.88671875" style="325" customWidth="1"/>
    <col min="13" max="13" width="4.6640625" style="175" customWidth="1"/>
    <col min="14" max="14" width="9.77734375" style="325" customWidth="1"/>
    <col min="15" max="20" width="2.21875" style="325" customWidth="1"/>
    <col min="21" max="21" width="8.88671875" style="325" customWidth="1"/>
    <col min="22" max="22" width="6.33203125" style="325" customWidth="1"/>
    <col min="23" max="23" width="6.33203125" style="182" customWidth="1"/>
    <col min="24" max="27" width="6.33203125" style="325" customWidth="1"/>
    <col min="28" max="28" width="8.88671875" style="325" customWidth="1"/>
    <col min="29" max="34" width="6.33203125" style="325" customWidth="1"/>
    <col min="35" max="35" width="3.109375" style="175" customWidth="1"/>
    <col min="36" max="36" width="8.109375" style="325" customWidth="1"/>
    <col min="37" max="16384" width="9" style="175" hidden="1"/>
  </cols>
  <sheetData>
    <row r="1" spans="1:36" s="38" customFormat="1" ht="18" customHeight="1">
      <c r="A1" s="38" t="s">
        <v>203</v>
      </c>
      <c r="B1" s="38" t="s">
        <v>298</v>
      </c>
      <c r="C1" s="38" t="s">
        <v>367</v>
      </c>
      <c r="E1" s="337" t="s">
        <v>204</v>
      </c>
      <c r="F1" s="337" t="s">
        <v>368</v>
      </c>
      <c r="G1" s="337" t="s">
        <v>300</v>
      </c>
      <c r="H1" s="337" t="s">
        <v>301</v>
      </c>
      <c r="I1" s="337" t="s">
        <v>205</v>
      </c>
      <c r="J1" s="508" t="s">
        <v>790</v>
      </c>
      <c r="K1" s="508"/>
      <c r="L1" s="324" t="s">
        <v>361</v>
      </c>
      <c r="M1" s="38" t="s">
        <v>376</v>
      </c>
      <c r="N1" s="324" t="s">
        <v>2189</v>
      </c>
      <c r="O1" s="324" t="s">
        <v>369</v>
      </c>
      <c r="P1" s="324" t="s">
        <v>370</v>
      </c>
      <c r="Q1" s="324" t="s">
        <v>371</v>
      </c>
      <c r="R1" s="324" t="s">
        <v>372</v>
      </c>
      <c r="S1" s="324" t="s">
        <v>373</v>
      </c>
      <c r="T1" s="324" t="s">
        <v>374</v>
      </c>
      <c r="U1" s="324" t="s">
        <v>2029</v>
      </c>
      <c r="V1" s="324" t="s">
        <v>2027</v>
      </c>
      <c r="W1" s="324" t="s">
        <v>2021</v>
      </c>
      <c r="X1" s="324" t="s">
        <v>2022</v>
      </c>
      <c r="Y1" s="324" t="s">
        <v>2023</v>
      </c>
      <c r="Z1" s="324" t="s">
        <v>2024</v>
      </c>
      <c r="AA1" s="324" t="s">
        <v>2025</v>
      </c>
      <c r="AB1" s="324" t="s">
        <v>2038</v>
      </c>
      <c r="AC1" s="324" t="s">
        <v>2027</v>
      </c>
      <c r="AD1" s="324" t="s">
        <v>2021</v>
      </c>
      <c r="AE1" s="324" t="s">
        <v>2022</v>
      </c>
      <c r="AF1" s="324" t="s">
        <v>2023</v>
      </c>
      <c r="AG1" s="324" t="s">
        <v>2024</v>
      </c>
      <c r="AH1" s="324" t="s">
        <v>2025</v>
      </c>
      <c r="AJ1" s="324"/>
    </row>
    <row r="2" spans="1:36" ht="18" customHeight="1">
      <c r="A2" s="175" t="s">
        <v>206</v>
      </c>
      <c r="B2" s="175" t="s">
        <v>377</v>
      </c>
      <c r="C2" s="175" t="s">
        <v>207</v>
      </c>
      <c r="D2" s="175" t="s">
        <v>1713</v>
      </c>
      <c r="E2" s="338" t="s">
        <v>58</v>
      </c>
      <c r="F2" s="176">
        <v>36</v>
      </c>
      <c r="G2" s="176">
        <v>35</v>
      </c>
      <c r="H2" s="176">
        <v>33</v>
      </c>
      <c r="I2" s="193">
        <f>計分版!D256</f>
        <v>4.450000000000001E-9</v>
      </c>
      <c r="J2" s="188">
        <f t="shared" ref="J2:J21" si="0">IF(J$1="差距(Median)",I2-G2,IF(J$1="差距(UQ)",I2-F2,IF(J$1="差距(LQ)",I2-H2)))</f>
        <v>-32.999999995549999</v>
      </c>
      <c r="K2" s="189">
        <f t="shared" ref="K2:K21" si="1">IF(J$1="差距(Median)",(I2-G2)/I2,IF(J$1="差距(UQ)",(I2-F2)/I2,IF(J$1="差距(LQ)",(I2-H2)/I2)))</f>
        <v>-7415730336.0786495</v>
      </c>
      <c r="L2" s="322">
        <v>53</v>
      </c>
      <c r="M2" s="125">
        <f>入學要求!S239</f>
        <v>0</v>
      </c>
      <c r="N2" s="371" t="s">
        <v>2194</v>
      </c>
      <c r="O2" s="182">
        <v>3</v>
      </c>
      <c r="P2" s="182">
        <v>3</v>
      </c>
      <c r="Q2" s="182">
        <v>2</v>
      </c>
      <c r="R2" s="182">
        <v>2</v>
      </c>
      <c r="S2" s="182">
        <v>3</v>
      </c>
      <c r="T2" s="182">
        <v>3</v>
      </c>
      <c r="U2" s="501" t="s">
        <v>2030</v>
      </c>
      <c r="V2" s="322">
        <f>IF($U$2="2018年",'Offer Statistics'!CW2,IF($U$2="2019年",'Offer Statistics'!CW46,IF($U$2="2020年",'Offer Statistics'!CW90)))</f>
        <v>41</v>
      </c>
      <c r="W2" s="284">
        <f>IF($U$2="2018年",'Offer Statistics'!CR2,IF($U$2="2019年",'Offer Statistics'!CR46,IF($U$2="2020年",'Offer Statistics'!CR90)))</f>
        <v>41</v>
      </c>
      <c r="X2" s="284">
        <f>IF($U$2="2018年",'Offer Statistics'!CS2,IF($U$2="2019年",'Offer Statistics'!CS46,IF($U$2="2020年",'Offer Statistics'!CS90)))</f>
        <v>0</v>
      </c>
      <c r="Y2" s="284">
        <f>IF($U$2="2018年",'Offer Statistics'!CT2,IF($U$2="2019年",'Offer Statistics'!CT46,IF($U$2="2020年",'Offer Statistics'!CT90)))</f>
        <v>0</v>
      </c>
      <c r="Z2" s="284">
        <f>IF($U$2="2018年",'Offer Statistics'!CU2,IF($U$2="2019年",'Offer Statistics'!CU46,IF($U$2="2020年",'Offer Statistics'!CU90)))</f>
        <v>0</v>
      </c>
      <c r="AA2" s="284">
        <f>IF($U$2="2018年",'Offer Statistics'!CV2,IF($U$2="2019年",'Offer Statistics'!CV46,IF($U$2="2020年",'Offer Statistics'!CV90)))</f>
        <v>0</v>
      </c>
      <c r="AB2" s="501" t="str">
        <f>U2</f>
        <v>2020年</v>
      </c>
      <c r="AC2" s="322">
        <f>IF($U$2="2018年",'Offer Statistics'!CO2,IF($U$2="2019年",'Offer Statistics'!CO46,IF($U$2="2020年",'Offer Statistics'!CO90)))</f>
        <v>674</v>
      </c>
      <c r="AD2" s="284">
        <f>IF($U$2="2018年",'Offer Statistics'!CJ2,IF($U$2="2019年",'Offer Statistics'!CJ46,IF($U$2="2020年",'Offer Statistics'!CJ90)))</f>
        <v>110</v>
      </c>
      <c r="AE2" s="284">
        <f>IF($U$2="2018年",'Offer Statistics'!CK2,IF($U$2="2019年",'Offer Statistics'!CK46,IF($U$2="2020年",'Offer Statistics'!CK90)))</f>
        <v>66</v>
      </c>
      <c r="AF2" s="284">
        <f>IF($U$2="2018年",'Offer Statistics'!CL2,IF($U$2="2019年",'Offer Statistics'!CL46,IF($U$2="2020年",'Offer Statistics'!CL90)))</f>
        <v>116</v>
      </c>
      <c r="AG2" s="284">
        <f>IF($U$2="2018年",'Offer Statistics'!CM2,IF($U$2="2019年",'Offer Statistics'!CM46,IF($U$2="2020年",'Offer Statistics'!CM90)))</f>
        <v>187</v>
      </c>
      <c r="AH2" s="284">
        <f>IF($U$2="2018年",'Offer Statistics'!CN2,IF($U$2="2019年",'Offer Statistics'!CN46,IF($U$2="2020年",'Offer Statistics'!CN90)))</f>
        <v>195</v>
      </c>
      <c r="AJ2" s="325" t="str">
        <f>A2</f>
        <v>JS6004</v>
      </c>
    </row>
    <row r="3" spans="1:36" ht="18" customHeight="1">
      <c r="A3" s="175" t="s">
        <v>208</v>
      </c>
      <c r="B3" s="175" t="s">
        <v>377</v>
      </c>
      <c r="C3" s="175" t="s">
        <v>209</v>
      </c>
      <c r="D3" s="175" t="s">
        <v>2048</v>
      </c>
      <c r="E3" s="338" t="s">
        <v>59</v>
      </c>
      <c r="F3" s="176">
        <v>32</v>
      </c>
      <c r="G3" s="176">
        <v>31</v>
      </c>
      <c r="H3" s="176">
        <v>29</v>
      </c>
      <c r="I3" s="193">
        <f>計分版!D257</f>
        <v>3.9500000000000006E-9</v>
      </c>
      <c r="J3" s="188">
        <f t="shared" si="0"/>
        <v>-28.999999996050001</v>
      </c>
      <c r="K3" s="189">
        <f t="shared" si="1"/>
        <v>-7341772150.8987331</v>
      </c>
      <c r="L3" s="322">
        <v>43</v>
      </c>
      <c r="M3" s="203">
        <f>入學要求!S240</f>
        <v>0</v>
      </c>
      <c r="N3" s="325" t="s">
        <v>360</v>
      </c>
      <c r="O3" s="182">
        <v>3</v>
      </c>
      <c r="P3" s="182">
        <v>3</v>
      </c>
      <c r="Q3" s="182">
        <v>2</v>
      </c>
      <c r="R3" s="182">
        <v>2</v>
      </c>
      <c r="S3" s="182">
        <v>3</v>
      </c>
      <c r="T3" s="182">
        <v>3</v>
      </c>
      <c r="U3" s="501"/>
      <c r="V3" s="322">
        <f>IF($U$2="2018年",'Offer Statistics'!CW3,IF($U$2="2019年",'Offer Statistics'!CW47,IF($U$2="2020年",'Offer Statistics'!CW91)))</f>
        <v>47</v>
      </c>
      <c r="W3" s="284">
        <f>IF($U$2="2018年",'Offer Statistics'!CR3,IF($U$2="2019年",'Offer Statistics'!CR47,IF($U$2="2020年",'Offer Statistics'!CR91)))</f>
        <v>47</v>
      </c>
      <c r="X3" s="284">
        <f>IF($U$2="2018年",'Offer Statistics'!CS3,IF($U$2="2019年",'Offer Statistics'!CS47,IF($U$2="2020年",'Offer Statistics'!CS91)))</f>
        <v>0</v>
      </c>
      <c r="Y3" s="284">
        <f>IF($U$2="2018年",'Offer Statistics'!CT3,IF($U$2="2019年",'Offer Statistics'!CT47,IF($U$2="2020年",'Offer Statistics'!CT91)))</f>
        <v>0</v>
      </c>
      <c r="Z3" s="284">
        <f>IF($U$2="2018年",'Offer Statistics'!CU3,IF($U$2="2019年",'Offer Statistics'!CU47,IF($U$2="2020年",'Offer Statistics'!CU91)))</f>
        <v>0</v>
      </c>
      <c r="AA3" s="284">
        <f>IF($U$2="2018年",'Offer Statistics'!CV3,IF($U$2="2019年",'Offer Statistics'!CV47,IF($U$2="2020年",'Offer Statistics'!CV91)))</f>
        <v>0</v>
      </c>
      <c r="AB3" s="501"/>
      <c r="AC3" s="322">
        <f>IF($U$2="2018年",'Offer Statistics'!CO3,IF($U$2="2019年",'Offer Statistics'!CO47,IF($U$2="2020年",'Offer Statistics'!CO91)))</f>
        <v>701</v>
      </c>
      <c r="AD3" s="284">
        <f>IF($U$2="2018年",'Offer Statistics'!CJ3,IF($U$2="2019年",'Offer Statistics'!CJ47,IF($U$2="2020年",'Offer Statistics'!CJ91)))</f>
        <v>86</v>
      </c>
      <c r="AE3" s="284">
        <f>IF($U$2="2018年",'Offer Statistics'!CK3,IF($U$2="2019年",'Offer Statistics'!CK47,IF($U$2="2020年",'Offer Statistics'!CK91)))</f>
        <v>58</v>
      </c>
      <c r="AF3" s="284">
        <f>IF($U$2="2018年",'Offer Statistics'!CL3,IF($U$2="2019年",'Offer Statistics'!CL47,IF($U$2="2020年",'Offer Statistics'!CL91)))</f>
        <v>137</v>
      </c>
      <c r="AG3" s="284">
        <f>IF($U$2="2018年",'Offer Statistics'!CM3,IF($U$2="2019年",'Offer Statistics'!CM47,IF($U$2="2020年",'Offer Statistics'!CM91)))</f>
        <v>211</v>
      </c>
      <c r="AH3" s="284">
        <f>IF($U$2="2018年",'Offer Statistics'!CN3,IF($U$2="2019年",'Offer Statistics'!CN47,IF($U$2="2020年",'Offer Statistics'!CN91)))</f>
        <v>209</v>
      </c>
      <c r="AJ3" s="338" t="str">
        <f t="shared" ref="AJ3:AJ44" si="2">A3</f>
        <v>JS6016</v>
      </c>
    </row>
    <row r="4" spans="1:36" ht="18" customHeight="1">
      <c r="A4" s="175" t="s">
        <v>210</v>
      </c>
      <c r="B4" s="175" t="s">
        <v>377</v>
      </c>
      <c r="C4" s="175" t="s">
        <v>211</v>
      </c>
      <c r="D4" s="175" t="s">
        <v>2049</v>
      </c>
      <c r="E4" s="338" t="s">
        <v>189</v>
      </c>
      <c r="F4" s="176">
        <v>28</v>
      </c>
      <c r="G4" s="176">
        <v>28</v>
      </c>
      <c r="H4" s="176">
        <v>28</v>
      </c>
      <c r="I4" s="193">
        <f>計分版!D258</f>
        <v>3.9500000000000006E-9</v>
      </c>
      <c r="J4" s="188">
        <f t="shared" si="0"/>
        <v>-27.999999996050001</v>
      </c>
      <c r="K4" s="189">
        <f t="shared" si="1"/>
        <v>-7088607593.9367075</v>
      </c>
      <c r="L4" s="322">
        <v>12</v>
      </c>
      <c r="M4" s="203">
        <f>入學要求!S241</f>
        <v>0</v>
      </c>
      <c r="N4" s="41" t="s">
        <v>360</v>
      </c>
      <c r="O4" s="182">
        <v>3</v>
      </c>
      <c r="P4" s="182">
        <v>3</v>
      </c>
      <c r="Q4" s="182">
        <v>2</v>
      </c>
      <c r="R4" s="182">
        <v>2</v>
      </c>
      <c r="S4" s="182">
        <v>3</v>
      </c>
      <c r="T4" s="182">
        <v>3</v>
      </c>
      <c r="U4" s="501"/>
      <c r="V4" s="322">
        <f>IF($U$2="2018年",'Offer Statistics'!CW4,IF($U$2="2019年",'Offer Statistics'!CW48,IF($U$2="2020年",'Offer Statistics'!CW92)))</f>
        <v>7</v>
      </c>
      <c r="W4" s="284">
        <f>IF($U$2="2018年",'Offer Statistics'!CR4,IF($U$2="2019年",'Offer Statistics'!CR48,IF($U$2="2020年",'Offer Statistics'!CR92)))</f>
        <v>7</v>
      </c>
      <c r="X4" s="284">
        <f>IF($U$2="2018年",'Offer Statistics'!CS4,IF($U$2="2019年",'Offer Statistics'!CS48,IF($U$2="2020年",'Offer Statistics'!CS92)))</f>
        <v>0</v>
      </c>
      <c r="Y4" s="284">
        <f>IF($U$2="2018年",'Offer Statistics'!CT4,IF($U$2="2019年",'Offer Statistics'!CT48,IF($U$2="2020年",'Offer Statistics'!CT92)))</f>
        <v>0</v>
      </c>
      <c r="Z4" s="284">
        <f>IF($U$2="2018年",'Offer Statistics'!CU4,IF($U$2="2019年",'Offer Statistics'!CU48,IF($U$2="2020年",'Offer Statistics'!CU92)))</f>
        <v>0</v>
      </c>
      <c r="AA4" s="284">
        <f>IF($U$2="2018年",'Offer Statistics'!CV4,IF($U$2="2019年",'Offer Statistics'!CV48,IF($U$2="2020年",'Offer Statistics'!CV92)))</f>
        <v>0</v>
      </c>
      <c r="AB4" s="501"/>
      <c r="AC4" s="322">
        <f>IF($U$2="2018年",'Offer Statistics'!CO4,IF($U$2="2019年",'Offer Statistics'!CO48,IF($U$2="2020年",'Offer Statistics'!CO92)))</f>
        <v>404</v>
      </c>
      <c r="AD4" s="284">
        <f>IF($U$2="2018年",'Offer Statistics'!CJ4,IF($U$2="2019年",'Offer Statistics'!CJ48,IF($U$2="2020年",'Offer Statistics'!CJ92)))</f>
        <v>45</v>
      </c>
      <c r="AE4" s="284">
        <f>IF($U$2="2018年",'Offer Statistics'!CK4,IF($U$2="2019年",'Offer Statistics'!CK48,IF($U$2="2020年",'Offer Statistics'!CK92)))</f>
        <v>33</v>
      </c>
      <c r="AF4" s="284">
        <f>IF($U$2="2018年",'Offer Statistics'!CL4,IF($U$2="2019年",'Offer Statistics'!CL48,IF($U$2="2020年",'Offer Statistics'!CL92)))</f>
        <v>57</v>
      </c>
      <c r="AG4" s="284">
        <f>IF($U$2="2018年",'Offer Statistics'!CM4,IF($U$2="2019年",'Offer Statistics'!CM48,IF($U$2="2020年",'Offer Statistics'!CM92)))</f>
        <v>128</v>
      </c>
      <c r="AH4" s="284">
        <f>IF($U$2="2018年",'Offer Statistics'!CN4,IF($U$2="2019年",'Offer Statistics'!CN48,IF($U$2="2020年",'Offer Statistics'!CN92)))</f>
        <v>141</v>
      </c>
      <c r="AJ4" s="338" t="str">
        <f t="shared" si="2"/>
        <v>JS6028</v>
      </c>
    </row>
    <row r="5" spans="1:36" ht="18" customHeight="1">
      <c r="A5" s="175" t="s">
        <v>212</v>
      </c>
      <c r="B5" s="175" t="s">
        <v>377</v>
      </c>
      <c r="C5" s="175" t="s">
        <v>213</v>
      </c>
      <c r="D5" s="175" t="s">
        <v>2050</v>
      </c>
      <c r="E5" s="404" t="s">
        <v>189</v>
      </c>
      <c r="F5" s="176">
        <v>31</v>
      </c>
      <c r="G5" s="176">
        <v>29</v>
      </c>
      <c r="H5" s="176">
        <v>28</v>
      </c>
      <c r="I5" s="193">
        <f>計分版!D259</f>
        <v>3.9500000000000006E-9</v>
      </c>
      <c r="J5" s="188">
        <f t="shared" si="0"/>
        <v>-27.999999996050001</v>
      </c>
      <c r="K5" s="189">
        <f t="shared" si="1"/>
        <v>-7088607593.9367075</v>
      </c>
      <c r="L5" s="322">
        <v>17</v>
      </c>
      <c r="M5" s="203">
        <f>入學要求!S242</f>
        <v>0</v>
      </c>
      <c r="N5" s="371" t="s">
        <v>2194</v>
      </c>
      <c r="O5" s="182">
        <v>3</v>
      </c>
      <c r="P5" s="182">
        <v>3</v>
      </c>
      <c r="Q5" s="182">
        <v>2</v>
      </c>
      <c r="R5" s="182">
        <v>2</v>
      </c>
      <c r="S5" s="182">
        <v>3</v>
      </c>
      <c r="T5" s="182">
        <v>3</v>
      </c>
      <c r="U5" s="501"/>
      <c r="V5" s="322">
        <f>IF($U$2="2018年",'Offer Statistics'!CW5,IF($U$2="2019年",'Offer Statistics'!CW49,IF($U$2="2020年",'Offer Statistics'!CW93)))</f>
        <v>22</v>
      </c>
      <c r="W5" s="284">
        <f>IF($U$2="2018年",'Offer Statistics'!CR5,IF($U$2="2019年",'Offer Statistics'!CR49,IF($U$2="2020年",'Offer Statistics'!CR93)))</f>
        <v>22</v>
      </c>
      <c r="X5" s="284">
        <f>IF($U$2="2018年",'Offer Statistics'!CS5,IF($U$2="2019年",'Offer Statistics'!CS49,IF($U$2="2020年",'Offer Statistics'!CS93)))</f>
        <v>0</v>
      </c>
      <c r="Y5" s="284">
        <f>IF($U$2="2018年",'Offer Statistics'!CT5,IF($U$2="2019年",'Offer Statistics'!CT49,IF($U$2="2020年",'Offer Statistics'!CT93)))</f>
        <v>0</v>
      </c>
      <c r="Z5" s="284">
        <f>IF($U$2="2018年",'Offer Statistics'!CU5,IF($U$2="2019年",'Offer Statistics'!CU49,IF($U$2="2020年",'Offer Statistics'!CU93)))</f>
        <v>0</v>
      </c>
      <c r="AA5" s="284">
        <f>IF($U$2="2018年",'Offer Statistics'!CV5,IF($U$2="2019年",'Offer Statistics'!CV49,IF($U$2="2020年",'Offer Statistics'!CV93)))</f>
        <v>0</v>
      </c>
      <c r="AB5" s="501"/>
      <c r="AC5" s="322">
        <f>IF($U$2="2018年",'Offer Statistics'!CO5,IF($U$2="2019年",'Offer Statistics'!CO49,IF($U$2="2020年",'Offer Statistics'!CO93)))</f>
        <v>776</v>
      </c>
      <c r="AD5" s="284">
        <f>IF($U$2="2018年",'Offer Statistics'!CJ5,IF($U$2="2019年",'Offer Statistics'!CJ49,IF($U$2="2020年",'Offer Statistics'!CJ93)))</f>
        <v>83</v>
      </c>
      <c r="AE5" s="284">
        <f>IF($U$2="2018年",'Offer Statistics'!CK5,IF($U$2="2019年",'Offer Statistics'!CK49,IF($U$2="2020年",'Offer Statistics'!CK93)))</f>
        <v>63</v>
      </c>
      <c r="AF5" s="284">
        <f>IF($U$2="2018年",'Offer Statistics'!CL5,IF($U$2="2019年",'Offer Statistics'!CL49,IF($U$2="2020年",'Offer Statistics'!CL93)))</f>
        <v>146</v>
      </c>
      <c r="AG5" s="284">
        <f>IF($U$2="2018年",'Offer Statistics'!CM5,IF($U$2="2019年",'Offer Statistics'!CM49,IF($U$2="2020年",'Offer Statistics'!CM93)))</f>
        <v>225</v>
      </c>
      <c r="AH5" s="284">
        <f>IF($U$2="2018年",'Offer Statistics'!CN5,IF($U$2="2019年",'Offer Statistics'!CN49,IF($U$2="2020年",'Offer Statistics'!CN93)))</f>
        <v>259</v>
      </c>
      <c r="AJ5" s="338" t="str">
        <f t="shared" si="2"/>
        <v>JS6042</v>
      </c>
    </row>
    <row r="6" spans="1:36" ht="18" customHeight="1">
      <c r="A6" s="175" t="s">
        <v>214</v>
      </c>
      <c r="B6" s="175" t="s">
        <v>287</v>
      </c>
      <c r="C6" s="175" t="s">
        <v>215</v>
      </c>
      <c r="D6" s="175" t="s">
        <v>2051</v>
      </c>
      <c r="E6" s="338" t="s">
        <v>189</v>
      </c>
      <c r="F6" s="176">
        <v>26</v>
      </c>
      <c r="G6" s="176">
        <v>25</v>
      </c>
      <c r="H6" s="176">
        <v>24</v>
      </c>
      <c r="I6" s="193">
        <f>計分版!D260</f>
        <v>3.5500000000000004E-9</v>
      </c>
      <c r="J6" s="188">
        <f t="shared" si="0"/>
        <v>-23.999999996450001</v>
      </c>
      <c r="K6" s="189">
        <f t="shared" si="1"/>
        <v>-6760563379.2816896</v>
      </c>
      <c r="L6" s="322">
        <v>347</v>
      </c>
      <c r="M6" s="203">
        <f>入學要求!S243</f>
        <v>0</v>
      </c>
      <c r="N6" s="325" t="s">
        <v>360</v>
      </c>
      <c r="O6" s="182">
        <v>3</v>
      </c>
      <c r="P6" s="182">
        <v>3</v>
      </c>
      <c r="Q6" s="182">
        <v>2</v>
      </c>
      <c r="R6" s="182">
        <v>2</v>
      </c>
      <c r="S6" s="182">
        <v>3</v>
      </c>
      <c r="T6" s="182">
        <v>3</v>
      </c>
      <c r="U6" s="501"/>
      <c r="V6" s="322">
        <f>IF($U$2="2018年",'Offer Statistics'!CW6,IF($U$2="2019年",'Offer Statistics'!CW50,IF($U$2="2020年",'Offer Statistics'!CW94)))</f>
        <v>311</v>
      </c>
      <c r="W6" s="284">
        <f>IF($U$2="2018年",'Offer Statistics'!CR6,IF($U$2="2019年",'Offer Statistics'!CR50,IF($U$2="2020年",'Offer Statistics'!CR94)))</f>
        <v>311</v>
      </c>
      <c r="X6" s="284">
        <f>IF($U$2="2018年",'Offer Statistics'!CS6,IF($U$2="2019年",'Offer Statistics'!CS50,IF($U$2="2020年",'Offer Statistics'!CS94)))</f>
        <v>0</v>
      </c>
      <c r="Y6" s="284">
        <f>IF($U$2="2018年",'Offer Statistics'!CT6,IF($U$2="2019年",'Offer Statistics'!CT50,IF($U$2="2020年",'Offer Statistics'!CT94)))</f>
        <v>0</v>
      </c>
      <c r="Z6" s="284">
        <f>IF($U$2="2018年",'Offer Statistics'!CU6,IF($U$2="2019年",'Offer Statistics'!CU50,IF($U$2="2020年",'Offer Statistics'!CU94)))</f>
        <v>0</v>
      </c>
      <c r="AA6" s="284">
        <f>IF($U$2="2018年",'Offer Statistics'!CV6,IF($U$2="2019年",'Offer Statistics'!CV50,IF($U$2="2020年",'Offer Statistics'!CV94)))</f>
        <v>0</v>
      </c>
      <c r="AB6" s="501"/>
      <c r="AC6" s="322">
        <f>IF($U$2="2018年",'Offer Statistics'!CO6,IF($U$2="2019年",'Offer Statistics'!CO50,IF($U$2="2020年",'Offer Statistics'!CO94)))</f>
        <v>3517</v>
      </c>
      <c r="AD6" s="284">
        <f>IF($U$2="2018年",'Offer Statistics'!CJ6,IF($U$2="2019年",'Offer Statistics'!CJ50,IF($U$2="2020年",'Offer Statistics'!CJ94)))</f>
        <v>1091</v>
      </c>
      <c r="AE6" s="284">
        <f>IF($U$2="2018年",'Offer Statistics'!CK6,IF($U$2="2019年",'Offer Statistics'!CK50,IF($U$2="2020年",'Offer Statistics'!CK94)))</f>
        <v>464</v>
      </c>
      <c r="AF6" s="284">
        <f>IF($U$2="2018年",'Offer Statistics'!CL6,IF($U$2="2019年",'Offer Statistics'!CL50,IF($U$2="2020年",'Offer Statistics'!CL94)))</f>
        <v>590</v>
      </c>
      <c r="AG6" s="284">
        <f>IF($U$2="2018年",'Offer Statistics'!CM6,IF($U$2="2019年",'Offer Statistics'!CM50,IF($U$2="2020年",'Offer Statistics'!CM94)))</f>
        <v>739</v>
      </c>
      <c r="AH6" s="284">
        <f>IF($U$2="2018年",'Offer Statistics'!CN6,IF($U$2="2019年",'Offer Statistics'!CN50,IF($U$2="2020年",'Offer Statistics'!CN94)))</f>
        <v>633</v>
      </c>
      <c r="AJ6" s="338" t="str">
        <f t="shared" si="2"/>
        <v>JS6054</v>
      </c>
    </row>
    <row r="7" spans="1:36" ht="18" customHeight="1">
      <c r="A7" s="175" t="s">
        <v>257</v>
      </c>
      <c r="B7" s="175" t="s">
        <v>378</v>
      </c>
      <c r="C7" s="175" t="s">
        <v>258</v>
      </c>
      <c r="D7" s="175" t="s">
        <v>2052</v>
      </c>
      <c r="E7" s="437" t="s">
        <v>58</v>
      </c>
      <c r="F7" s="176">
        <v>37</v>
      </c>
      <c r="G7" s="176">
        <v>36</v>
      </c>
      <c r="H7" s="176">
        <v>34</v>
      </c>
      <c r="I7" s="193">
        <f>計分版!D261</f>
        <v>3.7500000000000005E-9</v>
      </c>
      <c r="J7" s="188">
        <f t="shared" si="0"/>
        <v>-33.999999996249997</v>
      </c>
      <c r="K7" s="189">
        <f t="shared" si="1"/>
        <v>-9066666665.6666641</v>
      </c>
      <c r="L7" s="501" t="s">
        <v>2440</v>
      </c>
      <c r="M7" s="203">
        <f>入學要求!S244</f>
        <v>0</v>
      </c>
      <c r="N7" s="371" t="s">
        <v>2194</v>
      </c>
      <c r="O7" s="182">
        <v>3</v>
      </c>
      <c r="P7" s="182">
        <v>4</v>
      </c>
      <c r="Q7" s="182">
        <v>3</v>
      </c>
      <c r="R7" s="182">
        <v>2</v>
      </c>
      <c r="S7" s="182">
        <v>3</v>
      </c>
      <c r="T7" s="182">
        <v>3</v>
      </c>
      <c r="U7" s="501"/>
      <c r="V7" s="322">
        <f>IF($U$2="2018年",'Offer Statistics'!CW7,IF($U$2="2019年",'Offer Statistics'!CW51,IF($U$2="2020年",'Offer Statistics'!CW95)))</f>
        <v>121</v>
      </c>
      <c r="W7" s="284">
        <f>IF($U$2="2018年",'Offer Statistics'!CR7,IF($U$2="2019年",'Offer Statistics'!CR51,IF($U$2="2020年",'Offer Statistics'!CR95)))</f>
        <v>121</v>
      </c>
      <c r="X7" s="284">
        <f>IF($U$2="2018年",'Offer Statistics'!CS7,IF($U$2="2019年",'Offer Statistics'!CS51,IF($U$2="2020年",'Offer Statistics'!CS95)))</f>
        <v>0</v>
      </c>
      <c r="Y7" s="284">
        <f>IF($U$2="2018年",'Offer Statistics'!CT7,IF($U$2="2019年",'Offer Statistics'!CT51,IF($U$2="2020年",'Offer Statistics'!CT95)))</f>
        <v>0</v>
      </c>
      <c r="Z7" s="284">
        <f>IF($U$2="2018年",'Offer Statistics'!CU7,IF($U$2="2019年",'Offer Statistics'!CU51,IF($U$2="2020年",'Offer Statistics'!CU95)))</f>
        <v>0</v>
      </c>
      <c r="AA7" s="284">
        <f>IF($U$2="2018年",'Offer Statistics'!CV7,IF($U$2="2019年",'Offer Statistics'!CV51,IF($U$2="2020年",'Offer Statistics'!CV95)))</f>
        <v>0</v>
      </c>
      <c r="AB7" s="501"/>
      <c r="AC7" s="322">
        <f>IF($U$2="2018年",'Offer Statistics'!CO7,IF($U$2="2019年",'Offer Statistics'!CO51,IF($U$2="2020年",'Offer Statistics'!CO95)))</f>
        <v>1744</v>
      </c>
      <c r="AD7" s="284">
        <f>IF($U$2="2018年",'Offer Statistics'!CJ7,IF($U$2="2019年",'Offer Statistics'!CJ51,IF($U$2="2020年",'Offer Statistics'!CJ95)))</f>
        <v>361</v>
      </c>
      <c r="AE7" s="284">
        <f>IF($U$2="2018年",'Offer Statistics'!CK7,IF($U$2="2019年",'Offer Statistics'!CK51,IF($U$2="2020年",'Offer Statistics'!CK95)))</f>
        <v>218</v>
      </c>
      <c r="AF7" s="284">
        <f>IF($U$2="2018年",'Offer Statistics'!CL7,IF($U$2="2019年",'Offer Statistics'!CL51,IF($U$2="2020年",'Offer Statistics'!CL95)))</f>
        <v>341</v>
      </c>
      <c r="AG7" s="284">
        <f>IF($U$2="2018年",'Offer Statistics'!CM7,IF($U$2="2019年",'Offer Statistics'!CM51,IF($U$2="2020年",'Offer Statistics'!CM95)))</f>
        <v>443</v>
      </c>
      <c r="AH7" s="284">
        <f>IF($U$2="2018年",'Offer Statistics'!CN7,IF($U$2="2019年",'Offer Statistics'!CN51,IF($U$2="2020年",'Offer Statistics'!CN95)))</f>
        <v>381</v>
      </c>
      <c r="AJ7" s="338" t="str">
        <f t="shared" si="2"/>
        <v>JS6767</v>
      </c>
    </row>
    <row r="8" spans="1:36" ht="18" customHeight="1">
      <c r="A8" s="175" t="s">
        <v>259</v>
      </c>
      <c r="B8" s="175" t="s">
        <v>378</v>
      </c>
      <c r="C8" s="175" t="s">
        <v>260</v>
      </c>
      <c r="D8" s="175" t="s">
        <v>2053</v>
      </c>
      <c r="E8" s="437" t="s">
        <v>58</v>
      </c>
      <c r="F8" s="176">
        <v>39</v>
      </c>
      <c r="G8" s="176">
        <v>36</v>
      </c>
      <c r="H8" s="176">
        <v>35</v>
      </c>
      <c r="I8" s="193">
        <f>計分版!D262</f>
        <v>4.0499999999999999E-9</v>
      </c>
      <c r="J8" s="188">
        <f t="shared" si="0"/>
        <v>-34.999999995949999</v>
      </c>
      <c r="K8" s="189">
        <f t="shared" si="1"/>
        <v>-8641975307.6419754</v>
      </c>
      <c r="L8" s="501"/>
      <c r="M8" s="203">
        <f>入學要求!S245</f>
        <v>0</v>
      </c>
      <c r="N8" s="371" t="s">
        <v>2194</v>
      </c>
      <c r="O8" s="182">
        <v>3</v>
      </c>
      <c r="P8" s="182">
        <v>4</v>
      </c>
      <c r="Q8" s="182">
        <v>3</v>
      </c>
      <c r="R8" s="182">
        <v>2</v>
      </c>
      <c r="S8" s="182">
        <v>3</v>
      </c>
      <c r="T8" s="182">
        <v>3</v>
      </c>
      <c r="U8" s="501"/>
      <c r="V8" s="322">
        <f>IF($U$2="2018年",'Offer Statistics'!CW8,IF($U$2="2019年",'Offer Statistics'!CW52,IF($U$2="2020年",'Offer Statistics'!CW96)))</f>
        <v>157</v>
      </c>
      <c r="W8" s="284">
        <f>IF($U$2="2018年",'Offer Statistics'!CR8,IF($U$2="2019年",'Offer Statistics'!CR52,IF($U$2="2020年",'Offer Statistics'!CR96)))</f>
        <v>157</v>
      </c>
      <c r="X8" s="284">
        <f>IF($U$2="2018年",'Offer Statistics'!CS8,IF($U$2="2019年",'Offer Statistics'!CS52,IF($U$2="2020年",'Offer Statistics'!CS96)))</f>
        <v>0</v>
      </c>
      <c r="Y8" s="284">
        <f>IF($U$2="2018年",'Offer Statistics'!CT8,IF($U$2="2019年",'Offer Statistics'!CT52,IF($U$2="2020年",'Offer Statistics'!CT96)))</f>
        <v>0</v>
      </c>
      <c r="Z8" s="284">
        <f>IF($U$2="2018年",'Offer Statistics'!CU8,IF($U$2="2019年",'Offer Statistics'!CU52,IF($U$2="2020年",'Offer Statistics'!CU96)))</f>
        <v>0</v>
      </c>
      <c r="AA8" s="284">
        <f>IF($U$2="2018年",'Offer Statistics'!CV8,IF($U$2="2019年",'Offer Statistics'!CV52,IF($U$2="2020年",'Offer Statistics'!CV96)))</f>
        <v>0</v>
      </c>
      <c r="AB8" s="501"/>
      <c r="AC8" s="322">
        <f>IF($U$2="2018年",'Offer Statistics'!CO8,IF($U$2="2019年",'Offer Statistics'!CO52,IF($U$2="2020年",'Offer Statistics'!CO96)))</f>
        <v>1973</v>
      </c>
      <c r="AD8" s="284">
        <f>IF($U$2="2018年",'Offer Statistics'!CJ8,IF($U$2="2019年",'Offer Statistics'!CJ52,IF($U$2="2020年",'Offer Statistics'!CJ96)))</f>
        <v>435</v>
      </c>
      <c r="AE8" s="284">
        <f>IF($U$2="2018年",'Offer Statistics'!CK8,IF($U$2="2019年",'Offer Statistics'!CK52,IF($U$2="2020年",'Offer Statistics'!CK96)))</f>
        <v>247</v>
      </c>
      <c r="AF8" s="284">
        <f>IF($U$2="2018年",'Offer Statistics'!CL8,IF($U$2="2019年",'Offer Statistics'!CL52,IF($U$2="2020年",'Offer Statistics'!CL96)))</f>
        <v>360</v>
      </c>
      <c r="AG8" s="284">
        <f>IF($U$2="2018年",'Offer Statistics'!CM8,IF($U$2="2019年",'Offer Statistics'!CM52,IF($U$2="2020年",'Offer Statistics'!CM96)))</f>
        <v>473</v>
      </c>
      <c r="AH8" s="284">
        <f>IF($U$2="2018年",'Offer Statistics'!CN8,IF($U$2="2019年",'Offer Statistics'!CN52,IF($U$2="2020年",'Offer Statistics'!CN96)))</f>
        <v>458</v>
      </c>
      <c r="AJ8" s="338" t="str">
        <f t="shared" si="2"/>
        <v>JS6781</v>
      </c>
    </row>
    <row r="9" spans="1:36" ht="18" customHeight="1">
      <c r="A9" s="175" t="s">
        <v>269</v>
      </c>
      <c r="B9" s="175" t="s">
        <v>378</v>
      </c>
      <c r="C9" s="175" t="s">
        <v>270</v>
      </c>
      <c r="D9" s="175" t="s">
        <v>2054</v>
      </c>
      <c r="E9" s="437" t="s">
        <v>58</v>
      </c>
      <c r="F9" s="176">
        <v>45</v>
      </c>
      <c r="G9" s="176">
        <v>44</v>
      </c>
      <c r="H9" s="176">
        <v>43</v>
      </c>
      <c r="I9" s="193">
        <f>計分版!D265</f>
        <v>4.0499999999999999E-9</v>
      </c>
      <c r="J9" s="188">
        <f t="shared" si="0"/>
        <v>-42.999999995949999</v>
      </c>
      <c r="K9" s="189">
        <f t="shared" si="1"/>
        <v>-10617283949.617285</v>
      </c>
      <c r="L9" s="501"/>
      <c r="M9" s="203">
        <f>入學要求!S246</f>
        <v>0</v>
      </c>
      <c r="N9" s="371" t="s">
        <v>2194</v>
      </c>
      <c r="O9" s="182">
        <v>3</v>
      </c>
      <c r="P9" s="182">
        <v>4</v>
      </c>
      <c r="Q9" s="182">
        <v>3</v>
      </c>
      <c r="R9" s="182">
        <v>2</v>
      </c>
      <c r="S9" s="182">
        <v>3</v>
      </c>
      <c r="T9" s="182">
        <v>3</v>
      </c>
      <c r="U9" s="501"/>
      <c r="V9" s="322">
        <f>IF($U$2="2018年",'Offer Statistics'!CW9,IF($U$2="2019年",'Offer Statistics'!CW53,IF($U$2="2020年",'Offer Statistics'!CW97)))</f>
        <v>24</v>
      </c>
      <c r="W9" s="284">
        <f>IF($U$2="2018年",'Offer Statistics'!CR9,IF($U$2="2019年",'Offer Statistics'!CR53,IF($U$2="2020年",'Offer Statistics'!CR97)))</f>
        <v>24</v>
      </c>
      <c r="X9" s="284">
        <f>IF($U$2="2018年",'Offer Statistics'!CS9,IF($U$2="2019年",'Offer Statistics'!CS53,IF($U$2="2020年",'Offer Statistics'!CS97)))</f>
        <v>0</v>
      </c>
      <c r="Y9" s="284">
        <f>IF($U$2="2018年",'Offer Statistics'!CT9,IF($U$2="2019年",'Offer Statistics'!CT53,IF($U$2="2020年",'Offer Statistics'!CT97)))</f>
        <v>0</v>
      </c>
      <c r="Z9" s="284">
        <f>IF($U$2="2018年",'Offer Statistics'!CU9,IF($U$2="2019年",'Offer Statistics'!CU53,IF($U$2="2020年",'Offer Statistics'!CU97)))</f>
        <v>0</v>
      </c>
      <c r="AA9" s="284">
        <f>IF($U$2="2018年",'Offer Statistics'!CV9,IF($U$2="2019年",'Offer Statistics'!CV53,IF($U$2="2020年",'Offer Statistics'!CV97)))</f>
        <v>0</v>
      </c>
      <c r="AB9" s="501"/>
      <c r="AC9" s="322">
        <f>IF($U$2="2018年",'Offer Statistics'!CO9,IF($U$2="2019年",'Offer Statistics'!CO53,IF($U$2="2020年",'Offer Statistics'!CO97)))</f>
        <v>659</v>
      </c>
      <c r="AD9" s="284">
        <f>IF($U$2="2018年",'Offer Statistics'!CJ9,IF($U$2="2019年",'Offer Statistics'!CJ53,IF($U$2="2020年",'Offer Statistics'!CJ97)))</f>
        <v>97</v>
      </c>
      <c r="AE9" s="284">
        <f>IF($U$2="2018年",'Offer Statistics'!CK9,IF($U$2="2019年",'Offer Statistics'!CK53,IF($U$2="2020年",'Offer Statistics'!CK97)))</f>
        <v>58</v>
      </c>
      <c r="AF9" s="284">
        <f>IF($U$2="2018年",'Offer Statistics'!CL9,IF($U$2="2019年",'Offer Statistics'!CL53,IF($U$2="2020年",'Offer Statistics'!CL97)))</f>
        <v>124</v>
      </c>
      <c r="AG9" s="284">
        <f>IF($U$2="2018年",'Offer Statistics'!CM9,IF($U$2="2019年",'Offer Statistics'!CM53,IF($U$2="2020年",'Offer Statistics'!CM97)))</f>
        <v>191</v>
      </c>
      <c r="AH9" s="284">
        <f>IF($U$2="2018年",'Offer Statistics'!CN9,IF($U$2="2019年",'Offer Statistics'!CN53,IF($U$2="2020年",'Offer Statistics'!CN97)))</f>
        <v>189</v>
      </c>
      <c r="AJ9" s="338" t="str">
        <f t="shared" si="2"/>
        <v>JS6860</v>
      </c>
    </row>
    <row r="10" spans="1:36" ht="18" customHeight="1">
      <c r="A10" s="175" t="s">
        <v>1254</v>
      </c>
      <c r="B10" s="175" t="s">
        <v>378</v>
      </c>
      <c r="C10" s="175" t="s">
        <v>262</v>
      </c>
      <c r="D10" s="175" t="s">
        <v>2055</v>
      </c>
      <c r="E10" s="437" t="s">
        <v>58</v>
      </c>
      <c r="F10" s="176">
        <v>39</v>
      </c>
      <c r="G10" s="176">
        <v>36</v>
      </c>
      <c r="H10" s="176">
        <v>34</v>
      </c>
      <c r="I10" s="193">
        <f>計分版!D263</f>
        <v>4.0499999999999999E-9</v>
      </c>
      <c r="J10" s="188">
        <f t="shared" si="0"/>
        <v>-33.999999995949999</v>
      </c>
      <c r="K10" s="189">
        <f t="shared" si="1"/>
        <v>-8395061727.3950615</v>
      </c>
      <c r="L10" s="322">
        <v>15</v>
      </c>
      <c r="M10" s="203">
        <f>入學要求!S247</f>
        <v>0</v>
      </c>
      <c r="N10" s="371" t="s">
        <v>2194</v>
      </c>
      <c r="O10" s="182">
        <v>3</v>
      </c>
      <c r="P10" s="182">
        <v>4</v>
      </c>
      <c r="Q10" s="182">
        <v>3</v>
      </c>
      <c r="R10" s="182">
        <v>2</v>
      </c>
      <c r="S10" s="182">
        <v>3</v>
      </c>
      <c r="T10" s="182">
        <v>3</v>
      </c>
      <c r="U10" s="501"/>
      <c r="V10" s="322">
        <f>IF($U$2="2018年",'Offer Statistics'!CW10,IF($U$2="2019年",'Offer Statistics'!CW54,IF($U$2="2020年",'Offer Statistics'!CW98)))</f>
        <v>22</v>
      </c>
      <c r="W10" s="284">
        <f>IF($U$2="2018年",'Offer Statistics'!CR10,IF($U$2="2019年",'Offer Statistics'!CR54,IF($U$2="2020年",'Offer Statistics'!CR98)))</f>
        <v>22</v>
      </c>
      <c r="X10" s="284">
        <f>IF($U$2="2018年",'Offer Statistics'!CS10,IF($U$2="2019年",'Offer Statistics'!CS54,IF($U$2="2020年",'Offer Statistics'!CS98)))</f>
        <v>0</v>
      </c>
      <c r="Y10" s="284">
        <f>IF($U$2="2018年",'Offer Statistics'!CT10,IF($U$2="2019年",'Offer Statistics'!CT54,IF($U$2="2020年",'Offer Statistics'!CT98)))</f>
        <v>0</v>
      </c>
      <c r="Z10" s="284">
        <f>IF($U$2="2018年",'Offer Statistics'!CU10,IF($U$2="2019年",'Offer Statistics'!CU54,IF($U$2="2020年",'Offer Statistics'!CU98)))</f>
        <v>0</v>
      </c>
      <c r="AA10" s="284">
        <f>IF($U$2="2018年",'Offer Statistics'!CV10,IF($U$2="2019年",'Offer Statistics'!CV54,IF($U$2="2020年",'Offer Statistics'!CV98)))</f>
        <v>0</v>
      </c>
      <c r="AB10" s="501"/>
      <c r="AC10" s="322">
        <f>IF($U$2="2018年",'Offer Statistics'!CO10,IF($U$2="2019年",'Offer Statistics'!CO54,IF($U$2="2020年",'Offer Statistics'!CO98)))</f>
        <v>675</v>
      </c>
      <c r="AD10" s="284">
        <f>IF($U$2="2018年",'Offer Statistics'!CJ10,IF($U$2="2019年",'Offer Statistics'!CJ54,IF($U$2="2020年",'Offer Statistics'!CJ98)))</f>
        <v>64</v>
      </c>
      <c r="AE10" s="284">
        <f>IF($U$2="2018年",'Offer Statistics'!CK10,IF($U$2="2019年",'Offer Statistics'!CK54,IF($U$2="2020年",'Offer Statistics'!CK98)))</f>
        <v>67</v>
      </c>
      <c r="AF10" s="284">
        <f>IF($U$2="2018年",'Offer Statistics'!CL10,IF($U$2="2019年",'Offer Statistics'!CL54,IF($U$2="2020年",'Offer Statistics'!CL98)))</f>
        <v>128</v>
      </c>
      <c r="AG10" s="284">
        <f>IF($U$2="2018年",'Offer Statistics'!CM10,IF($U$2="2019年",'Offer Statistics'!CM54,IF($U$2="2020年",'Offer Statistics'!CM98)))</f>
        <v>215</v>
      </c>
      <c r="AH10" s="284">
        <f>IF($U$2="2018年",'Offer Statistics'!CN10,IF($U$2="2019年",'Offer Statistics'!CN54,IF($U$2="2020年",'Offer Statistics'!CN98)))</f>
        <v>201</v>
      </c>
      <c r="AJ10" s="338" t="str">
        <f t="shared" si="2"/>
        <v>JS6793</v>
      </c>
    </row>
    <row r="11" spans="1:36" ht="18" customHeight="1">
      <c r="A11" s="175" t="s">
        <v>263</v>
      </c>
      <c r="B11" s="175" t="s">
        <v>378</v>
      </c>
      <c r="C11" s="175" t="s">
        <v>264</v>
      </c>
      <c r="D11" s="175" t="s">
        <v>2056</v>
      </c>
      <c r="E11" s="437" t="s">
        <v>58</v>
      </c>
      <c r="F11" s="176">
        <v>51</v>
      </c>
      <c r="G11" s="176">
        <v>47</v>
      </c>
      <c r="H11" s="176">
        <v>45</v>
      </c>
      <c r="I11" s="193">
        <f>計分版!D264</f>
        <v>3.7500000000000005E-9</v>
      </c>
      <c r="J11" s="188">
        <f>IF(J$1="差距(Median)",I11-G11,IF(J$1="差距(UQ)",I11-F11,IF(J$1="差距(LQ)",I11-H11)))</f>
        <v>-44.999999996249997</v>
      </c>
      <c r="K11" s="189">
        <f>IF(J$1="差距(Median)",(I11-G11)/I11,IF(J$1="差距(UQ)",(I11-F11)/I11,IF(J$1="差距(LQ)",(I11-H11)/I11)))</f>
        <v>-11999999998.999998</v>
      </c>
      <c r="L11" s="322">
        <v>70</v>
      </c>
      <c r="M11" s="203">
        <f>入學要求!S248</f>
        <v>0</v>
      </c>
      <c r="N11" s="371" t="s">
        <v>2194</v>
      </c>
      <c r="O11" s="182">
        <v>4</v>
      </c>
      <c r="P11" s="182">
        <v>5</v>
      </c>
      <c r="Q11" s="182">
        <v>4</v>
      </c>
      <c r="R11" s="182">
        <v>2</v>
      </c>
      <c r="S11" s="182">
        <v>3</v>
      </c>
      <c r="T11" s="182">
        <v>3</v>
      </c>
      <c r="U11" s="501"/>
      <c r="V11" s="322">
        <f>IF($U$2="2018年",'Offer Statistics'!CW11,IF($U$2="2019年",'Offer Statistics'!CW55,IF($U$2="2020年",'Offer Statistics'!CW99)))</f>
        <v>67</v>
      </c>
      <c r="W11" s="284">
        <f>IF($U$2="2018年",'Offer Statistics'!CR11,IF($U$2="2019年",'Offer Statistics'!CR55,IF($U$2="2020年",'Offer Statistics'!CR99)))</f>
        <v>67</v>
      </c>
      <c r="X11" s="284">
        <f>IF($U$2="2018年",'Offer Statistics'!CS11,IF($U$2="2019年",'Offer Statistics'!CS55,IF($U$2="2020年",'Offer Statistics'!CS99)))</f>
        <v>0</v>
      </c>
      <c r="Y11" s="284">
        <f>IF($U$2="2018年",'Offer Statistics'!CT11,IF($U$2="2019年",'Offer Statistics'!CT55,IF($U$2="2020年",'Offer Statistics'!CT99)))</f>
        <v>0</v>
      </c>
      <c r="Z11" s="284">
        <f>IF($U$2="2018年",'Offer Statistics'!CU11,IF($U$2="2019年",'Offer Statistics'!CU55,IF($U$2="2020年",'Offer Statistics'!CU99)))</f>
        <v>0</v>
      </c>
      <c r="AA11" s="284">
        <f>IF($U$2="2018年",'Offer Statistics'!CV11,IF($U$2="2019年",'Offer Statistics'!CV55,IF($U$2="2020年",'Offer Statistics'!CV99)))</f>
        <v>0</v>
      </c>
      <c r="AB11" s="501"/>
      <c r="AC11" s="322">
        <f>IF($U$2="2018年",'Offer Statistics'!CO11,IF($U$2="2019年",'Offer Statistics'!CO55,IF($U$2="2020年",'Offer Statistics'!CO99)))</f>
        <v>529</v>
      </c>
      <c r="AD11" s="284">
        <f>IF($U$2="2018年",'Offer Statistics'!CJ11,IF($U$2="2019年",'Offer Statistics'!CJ55,IF($U$2="2020年",'Offer Statistics'!CJ99)))</f>
        <v>126</v>
      </c>
      <c r="AE11" s="284">
        <f>IF($U$2="2018年",'Offer Statistics'!CK11,IF($U$2="2019年",'Offer Statistics'!CK55,IF($U$2="2020年",'Offer Statistics'!CK99)))</f>
        <v>65</v>
      </c>
      <c r="AF11" s="284">
        <f>IF($U$2="2018年",'Offer Statistics'!CL11,IF($U$2="2019年",'Offer Statistics'!CL55,IF($U$2="2020年",'Offer Statistics'!CL99)))</f>
        <v>85</v>
      </c>
      <c r="AG11" s="284">
        <f>IF($U$2="2018年",'Offer Statistics'!CM11,IF($U$2="2019年",'Offer Statistics'!CM55,IF($U$2="2020年",'Offer Statistics'!CM99)))</f>
        <v>118</v>
      </c>
      <c r="AH11" s="284">
        <f>IF($U$2="2018年",'Offer Statistics'!CN11,IF($U$2="2019年",'Offer Statistics'!CN55,IF($U$2="2020年",'Offer Statistics'!CN99)))</f>
        <v>135</v>
      </c>
      <c r="AJ11" s="338" t="str">
        <f t="shared" si="2"/>
        <v>JS6808</v>
      </c>
    </row>
    <row r="12" spans="1:36" ht="18" customHeight="1">
      <c r="A12" s="175" t="s">
        <v>271</v>
      </c>
      <c r="B12" s="175" t="s">
        <v>378</v>
      </c>
      <c r="C12" s="175" t="s">
        <v>272</v>
      </c>
      <c r="D12" s="175" t="s">
        <v>2057</v>
      </c>
      <c r="E12" s="437" t="s">
        <v>58</v>
      </c>
      <c r="F12" s="176">
        <v>48</v>
      </c>
      <c r="G12" s="176">
        <v>46</v>
      </c>
      <c r="H12" s="176">
        <v>44</v>
      </c>
      <c r="I12" s="193">
        <f>計分版!D266</f>
        <v>3.7E-9</v>
      </c>
      <c r="J12" s="188">
        <f t="shared" si="0"/>
        <v>-43.999999996299998</v>
      </c>
      <c r="K12" s="189">
        <f t="shared" si="1"/>
        <v>-11891891890.891891</v>
      </c>
      <c r="L12" s="322">
        <v>25</v>
      </c>
      <c r="M12" s="203">
        <f>入學要求!S249</f>
        <v>0</v>
      </c>
      <c r="N12" s="371" t="s">
        <v>2194</v>
      </c>
      <c r="O12" s="182">
        <v>3</v>
      </c>
      <c r="P12" s="182">
        <v>4</v>
      </c>
      <c r="Q12" s="182">
        <v>3</v>
      </c>
      <c r="R12" s="182">
        <v>2</v>
      </c>
      <c r="S12" s="182">
        <v>3</v>
      </c>
      <c r="T12" s="182">
        <v>3</v>
      </c>
      <c r="U12" s="501"/>
      <c r="V12" s="322">
        <f>IF($U$2="2018年",'Offer Statistics'!CW12,IF($U$2="2019年",'Offer Statistics'!CW56,IF($U$2="2020年",'Offer Statistics'!CW100)))</f>
        <v>20</v>
      </c>
      <c r="W12" s="284">
        <f>IF($U$2="2018年",'Offer Statistics'!CR12,IF($U$2="2019年",'Offer Statistics'!CR56,IF($U$2="2020年",'Offer Statistics'!CR100)))</f>
        <v>20</v>
      </c>
      <c r="X12" s="284">
        <f>IF($U$2="2018年",'Offer Statistics'!CS12,IF($U$2="2019年",'Offer Statistics'!CS56,IF($U$2="2020年",'Offer Statistics'!CS100)))</f>
        <v>0</v>
      </c>
      <c r="Y12" s="284">
        <f>IF($U$2="2018年",'Offer Statistics'!CT12,IF($U$2="2019年",'Offer Statistics'!CT56,IF($U$2="2020年",'Offer Statistics'!CT100)))</f>
        <v>0</v>
      </c>
      <c r="Z12" s="284">
        <f>IF($U$2="2018年",'Offer Statistics'!CU12,IF($U$2="2019年",'Offer Statistics'!CU56,IF($U$2="2020年",'Offer Statistics'!CU100)))</f>
        <v>0</v>
      </c>
      <c r="AA12" s="284">
        <f>IF($U$2="2018年",'Offer Statistics'!CV12,IF($U$2="2019年",'Offer Statistics'!CV56,IF($U$2="2020年",'Offer Statistics'!CV100)))</f>
        <v>0</v>
      </c>
      <c r="AB12" s="501"/>
      <c r="AC12" s="322">
        <f>IF($U$2="2018年",'Offer Statistics'!CO12,IF($U$2="2019年",'Offer Statistics'!CO56,IF($U$2="2020年",'Offer Statistics'!CO100)))</f>
        <v>426</v>
      </c>
      <c r="AD12" s="284">
        <f>IF($U$2="2018年",'Offer Statistics'!CJ12,IF($U$2="2019年",'Offer Statistics'!CJ56,IF($U$2="2020年",'Offer Statistics'!CJ100)))</f>
        <v>65</v>
      </c>
      <c r="AE12" s="284">
        <f>IF($U$2="2018年",'Offer Statistics'!CK12,IF($U$2="2019年",'Offer Statistics'!CK56,IF($U$2="2020年",'Offer Statistics'!CK100)))</f>
        <v>46</v>
      </c>
      <c r="AF12" s="284">
        <f>IF($U$2="2018年",'Offer Statistics'!CL12,IF($U$2="2019年",'Offer Statistics'!CL56,IF($U$2="2020年",'Offer Statistics'!CL100)))</f>
        <v>81</v>
      </c>
      <c r="AG12" s="284">
        <f>IF($U$2="2018年",'Offer Statistics'!CM12,IF($U$2="2019年",'Offer Statistics'!CM56,IF($U$2="2020年",'Offer Statistics'!CM100)))</f>
        <v>112</v>
      </c>
      <c r="AH12" s="284">
        <f>IF($U$2="2018年",'Offer Statistics'!CN12,IF($U$2="2019年",'Offer Statistics'!CN56,IF($U$2="2020年",'Offer Statistics'!CN100)))</f>
        <v>122</v>
      </c>
      <c r="AJ12" s="338" t="str">
        <f t="shared" si="2"/>
        <v>JS6884</v>
      </c>
    </row>
    <row r="13" spans="1:36" ht="18" customHeight="1">
      <c r="A13" s="175" t="s">
        <v>273</v>
      </c>
      <c r="B13" s="175" t="s">
        <v>378</v>
      </c>
      <c r="C13" s="175" t="s">
        <v>274</v>
      </c>
      <c r="D13" s="175" t="s">
        <v>1776</v>
      </c>
      <c r="E13" s="437" t="s">
        <v>58</v>
      </c>
      <c r="F13" s="176">
        <v>54</v>
      </c>
      <c r="G13" s="176">
        <v>52</v>
      </c>
      <c r="H13" s="176">
        <v>51</v>
      </c>
      <c r="I13" s="193">
        <f>計分版!D267</f>
        <v>4.0499999999999999E-9</v>
      </c>
      <c r="J13" s="188">
        <f t="shared" si="0"/>
        <v>-50.999999995949999</v>
      </c>
      <c r="K13" s="189">
        <f t="shared" si="1"/>
        <v>-12592592591.592592</v>
      </c>
      <c r="L13" s="322">
        <v>31</v>
      </c>
      <c r="M13" s="203">
        <f>入學要求!S250</f>
        <v>0</v>
      </c>
      <c r="N13" s="371" t="s">
        <v>2194</v>
      </c>
      <c r="O13" s="182">
        <v>3</v>
      </c>
      <c r="P13" s="182">
        <v>5</v>
      </c>
      <c r="Q13" s="182">
        <v>4</v>
      </c>
      <c r="R13" s="182">
        <v>2</v>
      </c>
      <c r="S13" s="182">
        <v>3</v>
      </c>
      <c r="T13" s="182">
        <v>3</v>
      </c>
      <c r="U13" s="501"/>
      <c r="V13" s="322">
        <f>IF($U$2="2018年",'Offer Statistics'!CW13,IF($U$2="2019年",'Offer Statistics'!CW57,IF($U$2="2020年",'Offer Statistics'!CW101)))</f>
        <v>6</v>
      </c>
      <c r="W13" s="284">
        <f>IF($U$2="2018年",'Offer Statistics'!CR13,IF($U$2="2019年",'Offer Statistics'!CR57,IF($U$2="2020年",'Offer Statistics'!CR101)))</f>
        <v>6</v>
      </c>
      <c r="X13" s="284">
        <f>IF($U$2="2018年",'Offer Statistics'!CS13,IF($U$2="2019年",'Offer Statistics'!CS57,IF($U$2="2020年",'Offer Statistics'!CS101)))</f>
        <v>0</v>
      </c>
      <c r="Y13" s="284">
        <f>IF($U$2="2018年",'Offer Statistics'!CT13,IF($U$2="2019年",'Offer Statistics'!CT57,IF($U$2="2020年",'Offer Statistics'!CT101)))</f>
        <v>0</v>
      </c>
      <c r="Z13" s="284">
        <f>IF($U$2="2018年",'Offer Statistics'!CU13,IF($U$2="2019年",'Offer Statistics'!CU57,IF($U$2="2020年",'Offer Statistics'!CU101)))</f>
        <v>0</v>
      </c>
      <c r="AA13" s="284">
        <f>IF($U$2="2018年",'Offer Statistics'!CV13,IF($U$2="2019年",'Offer Statistics'!CV57,IF($U$2="2020年",'Offer Statistics'!CV101)))</f>
        <v>0</v>
      </c>
      <c r="AB13" s="501"/>
      <c r="AC13" s="322">
        <f>IF($U$2="2018年",'Offer Statistics'!CO13,IF($U$2="2019年",'Offer Statistics'!CO57,IF($U$2="2020年",'Offer Statistics'!CO101)))</f>
        <v>497</v>
      </c>
      <c r="AD13" s="284">
        <f>IF($U$2="2018年",'Offer Statistics'!CJ13,IF($U$2="2019年",'Offer Statistics'!CJ57,IF($U$2="2020年",'Offer Statistics'!CJ101)))</f>
        <v>47</v>
      </c>
      <c r="AE13" s="284">
        <f>IF($U$2="2018年",'Offer Statistics'!CK13,IF($U$2="2019年",'Offer Statistics'!CK57,IF($U$2="2020年",'Offer Statistics'!CK101)))</f>
        <v>37</v>
      </c>
      <c r="AF13" s="284">
        <f>IF($U$2="2018年",'Offer Statistics'!CL13,IF($U$2="2019年",'Offer Statistics'!CL57,IF($U$2="2020年",'Offer Statistics'!CL101)))</f>
        <v>97</v>
      </c>
      <c r="AG13" s="284">
        <f>IF($U$2="2018年",'Offer Statistics'!CM13,IF($U$2="2019年",'Offer Statistics'!CM57,IF($U$2="2020年",'Offer Statistics'!CM101)))</f>
        <v>136</v>
      </c>
      <c r="AH13" s="284">
        <f>IF($U$2="2018年",'Offer Statistics'!CN13,IF($U$2="2019年",'Offer Statistics'!CN57,IF($U$2="2020年",'Offer Statistics'!CN101)))</f>
        <v>180</v>
      </c>
      <c r="AJ13" s="338" t="str">
        <f t="shared" si="2"/>
        <v>JS6896</v>
      </c>
    </row>
    <row r="14" spans="1:36" ht="18" customHeight="1">
      <c r="A14" s="175" t="s">
        <v>224</v>
      </c>
      <c r="B14" s="175" t="s">
        <v>1011</v>
      </c>
      <c r="C14" s="175" t="s">
        <v>225</v>
      </c>
      <c r="D14" s="175" t="s">
        <v>1729</v>
      </c>
      <c r="E14" s="437" t="s">
        <v>58</v>
      </c>
      <c r="F14" s="176">
        <v>49</v>
      </c>
      <c r="G14" s="176">
        <v>46</v>
      </c>
      <c r="H14" s="176">
        <v>45</v>
      </c>
      <c r="I14" s="193">
        <f>計分版!D268</f>
        <v>3.0999999999999996E-9</v>
      </c>
      <c r="J14" s="188">
        <f t="shared" si="0"/>
        <v>-44.999999996900002</v>
      </c>
      <c r="K14" s="189">
        <f t="shared" si="1"/>
        <v>-14516129031.258066</v>
      </c>
      <c r="L14" s="322">
        <v>80</v>
      </c>
      <c r="M14" s="203">
        <f>入學要求!S251</f>
        <v>0</v>
      </c>
      <c r="N14" s="377" t="s">
        <v>2193</v>
      </c>
      <c r="O14" s="182">
        <v>3</v>
      </c>
      <c r="P14" s="182">
        <v>4</v>
      </c>
      <c r="Q14" s="182">
        <v>3</v>
      </c>
      <c r="R14" s="182">
        <v>3</v>
      </c>
      <c r="S14" s="182">
        <v>3</v>
      </c>
      <c r="T14" s="182">
        <v>3</v>
      </c>
      <c r="U14" s="501"/>
      <c r="V14" s="322">
        <f>IF($U$2="2018年",'Offer Statistics'!CW14,IF($U$2="2019年",'Offer Statistics'!CW58,IF($U$2="2020年",'Offer Statistics'!CW102)))</f>
        <v>56</v>
      </c>
      <c r="W14" s="284">
        <f>IF($U$2="2018年",'Offer Statistics'!CR14,IF($U$2="2019年",'Offer Statistics'!CR58,IF($U$2="2020年",'Offer Statistics'!CR102)))</f>
        <v>56</v>
      </c>
      <c r="X14" s="284">
        <f>IF($U$2="2018年",'Offer Statistics'!CS14,IF($U$2="2019年",'Offer Statistics'!CS58,IF($U$2="2020年",'Offer Statistics'!CS102)))</f>
        <v>0</v>
      </c>
      <c r="Y14" s="284">
        <f>IF($U$2="2018年",'Offer Statistics'!CT14,IF($U$2="2019年",'Offer Statistics'!CT58,IF($U$2="2020年",'Offer Statistics'!CT102)))</f>
        <v>0</v>
      </c>
      <c r="Z14" s="284">
        <f>IF($U$2="2018年",'Offer Statistics'!CU14,IF($U$2="2019年",'Offer Statistics'!CU58,IF($U$2="2020年",'Offer Statistics'!CU102)))</f>
        <v>0</v>
      </c>
      <c r="AA14" s="284">
        <f>IF($U$2="2018年",'Offer Statistics'!CV14,IF($U$2="2019年",'Offer Statistics'!CV58,IF($U$2="2020年",'Offer Statistics'!CV102)))</f>
        <v>0</v>
      </c>
      <c r="AB14" s="501"/>
      <c r="AC14" s="322">
        <f>IF($U$2="2018年",'Offer Statistics'!CO14,IF($U$2="2019年",'Offer Statistics'!CO58,IF($U$2="2020年",'Offer Statistics'!CO102)))</f>
        <v>953</v>
      </c>
      <c r="AD14" s="284">
        <f>IF($U$2="2018年",'Offer Statistics'!CJ14,IF($U$2="2019年",'Offer Statistics'!CJ58,IF($U$2="2020年",'Offer Statistics'!CJ102)))</f>
        <v>208</v>
      </c>
      <c r="AE14" s="284">
        <f>IF($U$2="2018年",'Offer Statistics'!CK14,IF($U$2="2019年",'Offer Statistics'!CK58,IF($U$2="2020年",'Offer Statistics'!CK102)))</f>
        <v>92</v>
      </c>
      <c r="AF14" s="284">
        <f>IF($U$2="2018年",'Offer Statistics'!CL14,IF($U$2="2019年",'Offer Statistics'!CL58,IF($U$2="2020年",'Offer Statistics'!CL102)))</f>
        <v>150</v>
      </c>
      <c r="AG14" s="284">
        <f>IF($U$2="2018年",'Offer Statistics'!CM14,IF($U$2="2019年",'Offer Statistics'!CM58,IF($U$2="2020年",'Offer Statistics'!CM102)))</f>
        <v>191</v>
      </c>
      <c r="AH14" s="284">
        <f>IF($U$2="2018年",'Offer Statistics'!CN14,IF($U$2="2019年",'Offer Statistics'!CN58,IF($U$2="2020年",'Offer Statistics'!CN102)))</f>
        <v>312</v>
      </c>
      <c r="AJ14" s="338" t="str">
        <f t="shared" si="2"/>
        <v>JS6107</v>
      </c>
    </row>
    <row r="15" spans="1:36" ht="18" customHeight="1">
      <c r="A15" s="175" t="s">
        <v>216</v>
      </c>
      <c r="B15" s="175" t="s">
        <v>379</v>
      </c>
      <c r="C15" s="175" t="s">
        <v>217</v>
      </c>
      <c r="D15" s="175" t="s">
        <v>1721</v>
      </c>
      <c r="E15" s="437" t="s">
        <v>189</v>
      </c>
      <c r="F15" s="176">
        <v>33</v>
      </c>
      <c r="G15" s="176">
        <v>30</v>
      </c>
      <c r="H15" s="176">
        <v>28</v>
      </c>
      <c r="I15" s="193">
        <f>計分版!D269</f>
        <v>3.1800000000000002E-9</v>
      </c>
      <c r="J15" s="188">
        <f t="shared" si="0"/>
        <v>-27.999999996820002</v>
      </c>
      <c r="K15" s="189">
        <f t="shared" si="1"/>
        <v>-8805031445.5408802</v>
      </c>
      <c r="L15" s="322">
        <v>26</v>
      </c>
      <c r="M15" s="203">
        <f>入學要求!S252</f>
        <v>0</v>
      </c>
      <c r="N15" s="377" t="s">
        <v>2193</v>
      </c>
      <c r="O15" s="182">
        <v>3</v>
      </c>
      <c r="P15" s="182">
        <v>3</v>
      </c>
      <c r="Q15" s="182">
        <v>2</v>
      </c>
      <c r="R15" s="182">
        <v>2</v>
      </c>
      <c r="S15" s="182">
        <v>3</v>
      </c>
      <c r="T15" s="182">
        <v>3</v>
      </c>
      <c r="U15" s="501"/>
      <c r="V15" s="322">
        <f>IF($U$2="2018年",'Offer Statistics'!CW15,IF($U$2="2019年",'Offer Statistics'!CW59,IF($U$2="2020年",'Offer Statistics'!CW103)))</f>
        <v>26</v>
      </c>
      <c r="W15" s="284">
        <f>IF($U$2="2018年",'Offer Statistics'!CR15,IF($U$2="2019年",'Offer Statistics'!CR59,IF($U$2="2020年",'Offer Statistics'!CR103)))</f>
        <v>26</v>
      </c>
      <c r="X15" s="284">
        <f>IF($U$2="2018年",'Offer Statistics'!CS15,IF($U$2="2019年",'Offer Statistics'!CS59,IF($U$2="2020年",'Offer Statistics'!CS103)))</f>
        <v>0</v>
      </c>
      <c r="Y15" s="284">
        <f>IF($U$2="2018年",'Offer Statistics'!CT15,IF($U$2="2019年",'Offer Statistics'!CT59,IF($U$2="2020年",'Offer Statistics'!CT103)))</f>
        <v>0</v>
      </c>
      <c r="Z15" s="284">
        <f>IF($U$2="2018年",'Offer Statistics'!CU15,IF($U$2="2019年",'Offer Statistics'!CU59,IF($U$2="2020年",'Offer Statistics'!CU103)))</f>
        <v>0</v>
      </c>
      <c r="AA15" s="284">
        <f>IF($U$2="2018年",'Offer Statistics'!CV15,IF($U$2="2019年",'Offer Statistics'!CV59,IF($U$2="2020年",'Offer Statistics'!CV103)))</f>
        <v>0</v>
      </c>
      <c r="AB15" s="501"/>
      <c r="AC15" s="322">
        <f>IF($U$2="2018年",'Offer Statistics'!CO15,IF($U$2="2019年",'Offer Statistics'!CO59,IF($U$2="2020年",'Offer Statistics'!CO103)))</f>
        <v>1256</v>
      </c>
      <c r="AD15" s="284">
        <f>IF($U$2="2018年",'Offer Statistics'!CJ15,IF($U$2="2019年",'Offer Statistics'!CJ59,IF($U$2="2020年",'Offer Statistics'!CJ103)))</f>
        <v>244</v>
      </c>
      <c r="AE15" s="284">
        <f>IF($U$2="2018年",'Offer Statistics'!CK15,IF($U$2="2019年",'Offer Statistics'!CK59,IF($U$2="2020年",'Offer Statistics'!CK103)))</f>
        <v>189</v>
      </c>
      <c r="AF15" s="284">
        <f>IF($U$2="2018年",'Offer Statistics'!CL15,IF($U$2="2019年",'Offer Statistics'!CL59,IF($U$2="2020年",'Offer Statistics'!CL103)))</f>
        <v>248</v>
      </c>
      <c r="AG15" s="284">
        <f>IF($U$2="2018年",'Offer Statistics'!CM15,IF($U$2="2019年",'Offer Statistics'!CM59,IF($U$2="2020年",'Offer Statistics'!CM103)))</f>
        <v>302</v>
      </c>
      <c r="AH15" s="284">
        <f>IF($U$2="2018年",'Offer Statistics'!CN15,IF($U$2="2019年",'Offer Statistics'!CN59,IF($U$2="2020年",'Offer Statistics'!CN103)))</f>
        <v>273</v>
      </c>
      <c r="AJ15" s="338" t="str">
        <f t="shared" si="2"/>
        <v>JS6066</v>
      </c>
    </row>
    <row r="16" spans="1:36" ht="18" customHeight="1">
      <c r="A16" s="175" t="s">
        <v>220</v>
      </c>
      <c r="B16" s="175" t="s">
        <v>379</v>
      </c>
      <c r="C16" s="175" t="s">
        <v>221</v>
      </c>
      <c r="D16" s="175" t="s">
        <v>2058</v>
      </c>
      <c r="E16" s="437" t="s">
        <v>189</v>
      </c>
      <c r="F16" s="176">
        <v>33</v>
      </c>
      <c r="G16" s="176">
        <v>31</v>
      </c>
      <c r="H16" s="176">
        <v>31</v>
      </c>
      <c r="I16" s="193">
        <f>計分版!D270</f>
        <v>3.0300000000000001E-9</v>
      </c>
      <c r="J16" s="188">
        <f t="shared" si="0"/>
        <v>-30.999999996970001</v>
      </c>
      <c r="K16" s="189">
        <f t="shared" si="1"/>
        <v>-10231023101.31023</v>
      </c>
      <c r="L16" s="322">
        <v>23</v>
      </c>
      <c r="M16" s="203">
        <f>入學要求!S253</f>
        <v>0</v>
      </c>
      <c r="N16" s="377" t="s">
        <v>2193</v>
      </c>
      <c r="O16" s="182">
        <v>3</v>
      </c>
      <c r="P16" s="182">
        <v>3</v>
      </c>
      <c r="Q16" s="182">
        <v>2</v>
      </c>
      <c r="R16" s="182">
        <v>2</v>
      </c>
      <c r="S16" s="182">
        <v>3</v>
      </c>
      <c r="T16" s="182">
        <v>3</v>
      </c>
      <c r="U16" s="501"/>
      <c r="V16" s="322">
        <f>IF($U$2="2018年",'Offer Statistics'!CW16,IF($U$2="2019年",'Offer Statistics'!CW60,IF($U$2="2020年",'Offer Statistics'!CW104)))</f>
        <v>21</v>
      </c>
      <c r="W16" s="284">
        <f>IF($U$2="2018年",'Offer Statistics'!CR16,IF($U$2="2019年",'Offer Statistics'!CR60,IF($U$2="2020年",'Offer Statistics'!CR104)))</f>
        <v>21</v>
      </c>
      <c r="X16" s="284">
        <f>IF($U$2="2018年",'Offer Statistics'!CS16,IF($U$2="2019年",'Offer Statistics'!CS60,IF($U$2="2020年",'Offer Statistics'!CS104)))</f>
        <v>0</v>
      </c>
      <c r="Y16" s="284">
        <f>IF($U$2="2018年",'Offer Statistics'!CT16,IF($U$2="2019年",'Offer Statistics'!CT60,IF($U$2="2020年",'Offer Statistics'!CT104)))</f>
        <v>0</v>
      </c>
      <c r="Z16" s="284">
        <f>IF($U$2="2018年",'Offer Statistics'!CU16,IF($U$2="2019年",'Offer Statistics'!CU60,IF($U$2="2020年",'Offer Statistics'!CU104)))</f>
        <v>0</v>
      </c>
      <c r="AA16" s="284">
        <f>IF($U$2="2018年",'Offer Statistics'!CV16,IF($U$2="2019年",'Offer Statistics'!CV60,IF($U$2="2020年",'Offer Statistics'!CV104)))</f>
        <v>0</v>
      </c>
      <c r="AB16" s="501"/>
      <c r="AC16" s="322">
        <f>IF($U$2="2018年",'Offer Statistics'!CO16,IF($U$2="2019年",'Offer Statistics'!CO60,IF($U$2="2020年",'Offer Statistics'!CO104)))</f>
        <v>901</v>
      </c>
      <c r="AD16" s="284">
        <f>IF($U$2="2018年",'Offer Statistics'!CJ16,IF($U$2="2019年",'Offer Statistics'!CJ60,IF($U$2="2020年",'Offer Statistics'!CJ104)))</f>
        <v>118</v>
      </c>
      <c r="AE16" s="284">
        <f>IF($U$2="2018年",'Offer Statistics'!CK16,IF($U$2="2019年",'Offer Statistics'!CK60,IF($U$2="2020年",'Offer Statistics'!CK104)))</f>
        <v>95</v>
      </c>
      <c r="AF16" s="284">
        <f>IF($U$2="2018年",'Offer Statistics'!CL16,IF($U$2="2019年",'Offer Statistics'!CL60,IF($U$2="2020年",'Offer Statistics'!CL104)))</f>
        <v>192</v>
      </c>
      <c r="AG16" s="284">
        <f>IF($U$2="2018年",'Offer Statistics'!CM16,IF($U$2="2019年",'Offer Statistics'!CM60,IF($U$2="2020年",'Offer Statistics'!CM104)))</f>
        <v>251</v>
      </c>
      <c r="AH16" s="284">
        <f>IF($U$2="2018年",'Offer Statistics'!CN16,IF($U$2="2019年",'Offer Statistics'!CN60,IF($U$2="2020年",'Offer Statistics'!CN104)))</f>
        <v>245</v>
      </c>
      <c r="AJ16" s="338" t="str">
        <f t="shared" si="2"/>
        <v>JS6080</v>
      </c>
    </row>
    <row r="17" spans="1:36" ht="18" customHeight="1">
      <c r="A17" s="175" t="s">
        <v>222</v>
      </c>
      <c r="B17" s="175" t="s">
        <v>379</v>
      </c>
      <c r="C17" s="175" t="s">
        <v>223</v>
      </c>
      <c r="D17" s="175" t="s">
        <v>2059</v>
      </c>
      <c r="E17" s="437" t="s">
        <v>189</v>
      </c>
      <c r="F17" s="176">
        <v>28</v>
      </c>
      <c r="G17" s="176">
        <v>27</v>
      </c>
      <c r="H17" s="176">
        <v>26</v>
      </c>
      <c r="I17" s="193">
        <f>計分版!D271</f>
        <v>2.8200000000000002E-9</v>
      </c>
      <c r="J17" s="188">
        <f t="shared" si="0"/>
        <v>-25.999999997180002</v>
      </c>
      <c r="K17" s="189">
        <f t="shared" si="1"/>
        <v>-9219858155.028368</v>
      </c>
      <c r="L17" s="322">
        <v>18</v>
      </c>
      <c r="M17" s="203">
        <f>入學要求!S254</f>
        <v>0</v>
      </c>
      <c r="N17" s="377" t="s">
        <v>2193</v>
      </c>
      <c r="O17" s="182">
        <v>3</v>
      </c>
      <c r="P17" s="182">
        <v>3</v>
      </c>
      <c r="Q17" s="182">
        <v>2</v>
      </c>
      <c r="R17" s="182">
        <v>2</v>
      </c>
      <c r="S17" s="182">
        <v>3</v>
      </c>
      <c r="T17" s="182">
        <v>3</v>
      </c>
      <c r="U17" s="501"/>
      <c r="V17" s="322">
        <f>IF($U$2="2018年",'Offer Statistics'!CW17,IF($U$2="2019年",'Offer Statistics'!CW61,IF($U$2="2020年",'Offer Statistics'!CW105)))</f>
        <v>19</v>
      </c>
      <c r="W17" s="284">
        <f>IF($U$2="2018年",'Offer Statistics'!CR17,IF($U$2="2019年",'Offer Statistics'!CR61,IF($U$2="2020年",'Offer Statistics'!CR105)))</f>
        <v>19</v>
      </c>
      <c r="X17" s="284">
        <f>IF($U$2="2018年",'Offer Statistics'!CS17,IF($U$2="2019年",'Offer Statistics'!CS61,IF($U$2="2020年",'Offer Statistics'!CS105)))</f>
        <v>0</v>
      </c>
      <c r="Y17" s="284">
        <f>IF($U$2="2018年",'Offer Statistics'!CT17,IF($U$2="2019年",'Offer Statistics'!CT61,IF($U$2="2020年",'Offer Statistics'!CT105)))</f>
        <v>0</v>
      </c>
      <c r="Z17" s="284">
        <f>IF($U$2="2018年",'Offer Statistics'!CU17,IF($U$2="2019年",'Offer Statistics'!CU61,IF($U$2="2020年",'Offer Statistics'!CU105)))</f>
        <v>0</v>
      </c>
      <c r="AA17" s="284">
        <f>IF($U$2="2018年",'Offer Statistics'!CV17,IF($U$2="2019年",'Offer Statistics'!CV61,IF($U$2="2020年",'Offer Statistics'!CV105)))</f>
        <v>0</v>
      </c>
      <c r="AB17" s="501"/>
      <c r="AC17" s="322">
        <f>IF($U$2="2018年",'Offer Statistics'!CO17,IF($U$2="2019年",'Offer Statistics'!CO61,IF($U$2="2020年",'Offer Statistics'!CO105)))</f>
        <v>3220</v>
      </c>
      <c r="AD17" s="284">
        <f>IF($U$2="2018年",'Offer Statistics'!CJ17,IF($U$2="2019年",'Offer Statistics'!CJ61,IF($U$2="2020年",'Offer Statistics'!CJ105)))</f>
        <v>288</v>
      </c>
      <c r="AE17" s="284">
        <f>IF($U$2="2018年",'Offer Statistics'!CK17,IF($U$2="2019年",'Offer Statistics'!CK61,IF($U$2="2020年",'Offer Statistics'!CK105)))</f>
        <v>468</v>
      </c>
      <c r="AF17" s="284">
        <f>IF($U$2="2018年",'Offer Statistics'!CL17,IF($U$2="2019年",'Offer Statistics'!CL61,IF($U$2="2020年",'Offer Statistics'!CL105)))</f>
        <v>727</v>
      </c>
      <c r="AG17" s="284">
        <f>IF($U$2="2018年",'Offer Statistics'!CM17,IF($U$2="2019年",'Offer Statistics'!CM61,IF($U$2="2020年",'Offer Statistics'!CM105)))</f>
        <v>967</v>
      </c>
      <c r="AH17" s="284">
        <f>IF($U$2="2018年",'Offer Statistics'!CN17,IF($U$2="2019年",'Offer Statistics'!CN61,IF($U$2="2020年",'Offer Statistics'!CN105)))</f>
        <v>770</v>
      </c>
      <c r="AJ17" s="338" t="str">
        <f t="shared" si="2"/>
        <v>JS6092</v>
      </c>
    </row>
    <row r="18" spans="1:36" ht="18" customHeight="1">
      <c r="A18" s="175" t="s">
        <v>226</v>
      </c>
      <c r="B18" s="175" t="s">
        <v>379</v>
      </c>
      <c r="C18" s="175" t="s">
        <v>227</v>
      </c>
      <c r="D18" s="175" t="s">
        <v>2060</v>
      </c>
      <c r="E18" s="437" t="s">
        <v>189</v>
      </c>
      <c r="F18" s="176">
        <v>56</v>
      </c>
      <c r="G18" s="176">
        <v>53</v>
      </c>
      <c r="H18" s="176">
        <v>52</v>
      </c>
      <c r="I18" s="193">
        <f>計分版!D272</f>
        <v>3.0249999999999998E-9</v>
      </c>
      <c r="J18" s="188">
        <f t="shared" si="0"/>
        <v>-51.999999996974999</v>
      </c>
      <c r="K18" s="189">
        <f t="shared" si="1"/>
        <v>-17190082643.628101</v>
      </c>
      <c r="L18" s="322">
        <v>16</v>
      </c>
      <c r="M18" s="203">
        <f>入學要求!S255</f>
        <v>0</v>
      </c>
      <c r="N18" s="371" t="s">
        <v>360</v>
      </c>
      <c r="O18" s="182">
        <v>3</v>
      </c>
      <c r="P18" s="182">
        <v>3</v>
      </c>
      <c r="Q18" s="182">
        <v>2</v>
      </c>
      <c r="R18" s="182">
        <v>2</v>
      </c>
      <c r="S18" s="182">
        <v>3</v>
      </c>
      <c r="T18" s="182">
        <v>3</v>
      </c>
      <c r="U18" s="501"/>
      <c r="V18" s="322">
        <f>IF($U$2="2018年",'Offer Statistics'!CW18,IF($U$2="2019年",'Offer Statistics'!CW62,IF($U$2="2020年",'Offer Statistics'!CW106)))</f>
        <v>18</v>
      </c>
      <c r="W18" s="284">
        <f>IF($U$2="2018年",'Offer Statistics'!CR18,IF($U$2="2019年",'Offer Statistics'!CR62,IF($U$2="2020年",'Offer Statistics'!CR106)))</f>
        <v>18</v>
      </c>
      <c r="X18" s="284">
        <f>IF($U$2="2018年",'Offer Statistics'!CS18,IF($U$2="2019年",'Offer Statistics'!CS62,IF($U$2="2020年",'Offer Statistics'!CS106)))</f>
        <v>0</v>
      </c>
      <c r="Y18" s="284">
        <f>IF($U$2="2018年",'Offer Statistics'!CT18,IF($U$2="2019年",'Offer Statistics'!CT62,IF($U$2="2020年",'Offer Statistics'!CT106)))</f>
        <v>0</v>
      </c>
      <c r="Z18" s="284">
        <f>IF($U$2="2018年",'Offer Statistics'!CU18,IF($U$2="2019年",'Offer Statistics'!CU62,IF($U$2="2020年",'Offer Statistics'!CU106)))</f>
        <v>0</v>
      </c>
      <c r="AA18" s="284">
        <f>IF($U$2="2018年",'Offer Statistics'!CV18,IF($U$2="2019年",'Offer Statistics'!CV62,IF($U$2="2020年",'Offer Statistics'!CV106)))</f>
        <v>0</v>
      </c>
      <c r="AB18" s="501"/>
      <c r="AC18" s="322">
        <f>IF($U$2="2018年",'Offer Statistics'!CO18,IF($U$2="2019年",'Offer Statistics'!CO62,IF($U$2="2020年",'Offer Statistics'!CO106)))</f>
        <v>948</v>
      </c>
      <c r="AD18" s="284">
        <f>IF($U$2="2018年",'Offer Statistics'!CJ18,IF($U$2="2019年",'Offer Statistics'!CJ62,IF($U$2="2020年",'Offer Statistics'!CJ106)))</f>
        <v>101</v>
      </c>
      <c r="AE18" s="284">
        <f>IF($U$2="2018年",'Offer Statistics'!CK18,IF($U$2="2019年",'Offer Statistics'!CK62,IF($U$2="2020年",'Offer Statistics'!CK106)))</f>
        <v>122</v>
      </c>
      <c r="AF18" s="284">
        <f>IF($U$2="2018年",'Offer Statistics'!CL18,IF($U$2="2019年",'Offer Statistics'!CL62,IF($U$2="2020年",'Offer Statistics'!CL106)))</f>
        <v>209</v>
      </c>
      <c r="AG18" s="284">
        <f>IF($U$2="2018年",'Offer Statistics'!CM18,IF($U$2="2019年",'Offer Statistics'!CM62,IF($U$2="2020年",'Offer Statistics'!CM106)))</f>
        <v>277</v>
      </c>
      <c r="AH18" s="284">
        <f>IF($U$2="2018年",'Offer Statistics'!CN18,IF($U$2="2019年",'Offer Statistics'!CN62,IF($U$2="2020年",'Offer Statistics'!CN106)))</f>
        <v>239</v>
      </c>
      <c r="AJ18" s="338" t="str">
        <f t="shared" si="2"/>
        <v>JS6119</v>
      </c>
    </row>
    <row r="19" spans="1:36" ht="18" customHeight="1">
      <c r="A19" s="175" t="s">
        <v>228</v>
      </c>
      <c r="B19" s="175" t="s">
        <v>379</v>
      </c>
      <c r="C19" s="175" t="s">
        <v>229</v>
      </c>
      <c r="D19" s="175" t="s">
        <v>2061</v>
      </c>
      <c r="E19" s="338" t="s">
        <v>58</v>
      </c>
      <c r="F19" s="176">
        <v>39</v>
      </c>
      <c r="G19" s="176">
        <v>38</v>
      </c>
      <c r="H19" s="176">
        <v>36</v>
      </c>
      <c r="I19" s="193">
        <f>計分版!D273</f>
        <v>3.7E-9</v>
      </c>
      <c r="J19" s="188">
        <f t="shared" si="0"/>
        <v>-35.999999996299998</v>
      </c>
      <c r="K19" s="189">
        <f t="shared" si="1"/>
        <v>-9729729728.7297287</v>
      </c>
      <c r="L19" s="322">
        <v>48</v>
      </c>
      <c r="M19" s="203">
        <f>入學要求!S256</f>
        <v>0</v>
      </c>
      <c r="N19" s="371" t="s">
        <v>2194</v>
      </c>
      <c r="O19" s="182">
        <v>3</v>
      </c>
      <c r="P19" s="182">
        <v>3</v>
      </c>
      <c r="Q19" s="182">
        <v>2</v>
      </c>
      <c r="R19" s="182">
        <v>2</v>
      </c>
      <c r="S19" s="182">
        <v>3</v>
      </c>
      <c r="T19" s="182">
        <v>3</v>
      </c>
      <c r="U19" s="501"/>
      <c r="V19" s="322">
        <f>IF($U$2="2018年",'Offer Statistics'!CW19,IF($U$2="2019年",'Offer Statistics'!CW63,IF($U$2="2020年",'Offer Statistics'!CW107)))</f>
        <v>50</v>
      </c>
      <c r="W19" s="284">
        <f>IF($U$2="2018年",'Offer Statistics'!CR19,IF($U$2="2019年",'Offer Statistics'!CR63,IF($U$2="2020年",'Offer Statistics'!CR107)))</f>
        <v>50</v>
      </c>
      <c r="X19" s="284">
        <f>IF($U$2="2018年",'Offer Statistics'!CS19,IF($U$2="2019年",'Offer Statistics'!CS63,IF($U$2="2020年",'Offer Statistics'!CS107)))</f>
        <v>0</v>
      </c>
      <c r="Y19" s="284">
        <f>IF($U$2="2018年",'Offer Statistics'!CT19,IF($U$2="2019年",'Offer Statistics'!CT63,IF($U$2="2020年",'Offer Statistics'!CT107)))</f>
        <v>0</v>
      </c>
      <c r="Z19" s="284">
        <f>IF($U$2="2018年",'Offer Statistics'!CU19,IF($U$2="2019年",'Offer Statistics'!CU63,IF($U$2="2020年",'Offer Statistics'!CU107)))</f>
        <v>0</v>
      </c>
      <c r="AA19" s="284">
        <f>IF($U$2="2018年",'Offer Statistics'!CV19,IF($U$2="2019年",'Offer Statistics'!CV63,IF($U$2="2020年",'Offer Statistics'!CV107)))</f>
        <v>0</v>
      </c>
      <c r="AB19" s="501"/>
      <c r="AC19" s="322">
        <f>IF($U$2="2018年",'Offer Statistics'!CO19,IF($U$2="2019年",'Offer Statistics'!CO63,IF($U$2="2020年",'Offer Statistics'!CO107)))</f>
        <v>814</v>
      </c>
      <c r="AD19" s="284">
        <f>IF($U$2="2018年",'Offer Statistics'!CJ19,IF($U$2="2019年",'Offer Statistics'!CJ63,IF($U$2="2020年",'Offer Statistics'!CJ107)))</f>
        <v>218</v>
      </c>
      <c r="AE19" s="284">
        <f>IF($U$2="2018年",'Offer Statistics'!CK19,IF($U$2="2019年",'Offer Statistics'!CK63,IF($U$2="2020年",'Offer Statistics'!CK107)))</f>
        <v>82</v>
      </c>
      <c r="AF19" s="284">
        <f>IF($U$2="2018年",'Offer Statistics'!CL19,IF($U$2="2019年",'Offer Statistics'!CL63,IF($U$2="2020年",'Offer Statistics'!CL107)))</f>
        <v>141</v>
      </c>
      <c r="AG19" s="284">
        <f>IF($U$2="2018年",'Offer Statistics'!CM19,IF($U$2="2019年",'Offer Statistics'!CM63,IF($U$2="2020年",'Offer Statistics'!CM107)))</f>
        <v>189</v>
      </c>
      <c r="AH19" s="284">
        <f>IF($U$2="2018年",'Offer Statistics'!CN19,IF($U$2="2019年",'Offer Statistics'!CN63,IF($U$2="2020年",'Offer Statistics'!CN107)))</f>
        <v>184</v>
      </c>
      <c r="AJ19" s="338" t="str">
        <f t="shared" si="2"/>
        <v>JS6157</v>
      </c>
    </row>
    <row r="20" spans="1:36" ht="18" customHeight="1">
      <c r="A20" s="175" t="s">
        <v>230</v>
      </c>
      <c r="B20" s="175" t="s">
        <v>379</v>
      </c>
      <c r="C20" s="175" t="s">
        <v>231</v>
      </c>
      <c r="D20" s="175" t="s">
        <v>1735</v>
      </c>
      <c r="E20" s="404" t="s">
        <v>59</v>
      </c>
      <c r="F20" s="176">
        <v>32</v>
      </c>
      <c r="G20" s="176">
        <v>31</v>
      </c>
      <c r="H20" s="176">
        <v>31</v>
      </c>
      <c r="I20" s="193">
        <f>計分版!D274</f>
        <v>3.9500000000000006E-9</v>
      </c>
      <c r="J20" s="188">
        <f t="shared" si="0"/>
        <v>-30.999999996050001</v>
      </c>
      <c r="K20" s="189">
        <f t="shared" si="1"/>
        <v>-7848101264.8227835</v>
      </c>
      <c r="L20" s="322">
        <v>6</v>
      </c>
      <c r="M20" s="203">
        <f>入學要求!S257</f>
        <v>0</v>
      </c>
      <c r="N20" s="371" t="s">
        <v>360</v>
      </c>
      <c r="O20" s="182">
        <v>3</v>
      </c>
      <c r="P20" s="182">
        <v>3</v>
      </c>
      <c r="Q20" s="182">
        <v>2</v>
      </c>
      <c r="R20" s="182">
        <v>2</v>
      </c>
      <c r="S20" s="182">
        <v>3</v>
      </c>
      <c r="T20" s="182">
        <v>3</v>
      </c>
      <c r="U20" s="501"/>
      <c r="V20" s="322">
        <f>IF($U$2="2018年",'Offer Statistics'!CW20,IF($U$2="2019年",'Offer Statistics'!CW64,IF($U$2="2020年",'Offer Statistics'!CW108)))</f>
        <v>8</v>
      </c>
      <c r="W20" s="284">
        <f>IF($U$2="2018年",'Offer Statistics'!CR20,IF($U$2="2019年",'Offer Statistics'!CR64,IF($U$2="2020年",'Offer Statistics'!CR108)))</f>
        <v>8</v>
      </c>
      <c r="X20" s="284">
        <f>IF($U$2="2018年",'Offer Statistics'!CS20,IF($U$2="2019年",'Offer Statistics'!CS64,IF($U$2="2020年",'Offer Statistics'!CS108)))</f>
        <v>0</v>
      </c>
      <c r="Y20" s="284">
        <f>IF($U$2="2018年",'Offer Statistics'!CT20,IF($U$2="2019年",'Offer Statistics'!CT64,IF($U$2="2020年",'Offer Statistics'!CT108)))</f>
        <v>0</v>
      </c>
      <c r="Z20" s="284">
        <f>IF($U$2="2018年",'Offer Statistics'!CU20,IF($U$2="2019年",'Offer Statistics'!CU64,IF($U$2="2020年",'Offer Statistics'!CU108)))</f>
        <v>0</v>
      </c>
      <c r="AA20" s="284">
        <f>IF($U$2="2018年",'Offer Statistics'!CV20,IF($U$2="2019年",'Offer Statistics'!CV64,IF($U$2="2020年",'Offer Statistics'!CV108)))</f>
        <v>0</v>
      </c>
      <c r="AB20" s="501"/>
      <c r="AC20" s="322">
        <f>IF($U$2="2018年",'Offer Statistics'!CO20,IF($U$2="2019年",'Offer Statistics'!CO64,IF($U$2="2020年",'Offer Statistics'!CO108)))</f>
        <v>752</v>
      </c>
      <c r="AD20" s="284">
        <f>IF($U$2="2018年",'Offer Statistics'!CJ20,IF($U$2="2019年",'Offer Statistics'!CJ64,IF($U$2="2020年",'Offer Statistics'!CJ108)))</f>
        <v>36</v>
      </c>
      <c r="AE20" s="284">
        <f>IF($U$2="2018年",'Offer Statistics'!CK20,IF($U$2="2019年",'Offer Statistics'!CK64,IF($U$2="2020年",'Offer Statistics'!CK108)))</f>
        <v>76</v>
      </c>
      <c r="AF20" s="284">
        <f>IF($U$2="2018年",'Offer Statistics'!CL20,IF($U$2="2019年",'Offer Statistics'!CL64,IF($U$2="2020年",'Offer Statistics'!CL108)))</f>
        <v>143</v>
      </c>
      <c r="AG20" s="284">
        <f>IF($U$2="2018年",'Offer Statistics'!CM20,IF($U$2="2019年",'Offer Statistics'!CM64,IF($U$2="2020年",'Offer Statistics'!CM108)))</f>
        <v>235</v>
      </c>
      <c r="AH20" s="284">
        <f>IF($U$2="2018年",'Offer Statistics'!CN20,IF($U$2="2019年",'Offer Statistics'!CN64,IF($U$2="2020年",'Offer Statistics'!CN108)))</f>
        <v>262</v>
      </c>
      <c r="AJ20" s="338" t="str">
        <f t="shared" si="2"/>
        <v>JS6195</v>
      </c>
    </row>
    <row r="21" spans="1:36" ht="18" customHeight="1">
      <c r="A21" s="175" t="s">
        <v>277</v>
      </c>
      <c r="B21" s="175" t="s">
        <v>381</v>
      </c>
      <c r="C21" s="175" t="s">
        <v>278</v>
      </c>
      <c r="D21" s="175" t="s">
        <v>2062</v>
      </c>
      <c r="E21" s="404" t="s">
        <v>189</v>
      </c>
      <c r="F21" s="176">
        <v>31</v>
      </c>
      <c r="G21" s="176">
        <v>29</v>
      </c>
      <c r="H21" s="176">
        <v>28</v>
      </c>
      <c r="I21" s="193">
        <f>計分版!D275</f>
        <v>3.1500000000000005E-9</v>
      </c>
      <c r="J21" s="188">
        <f t="shared" si="0"/>
        <v>-27.999999996850001</v>
      </c>
      <c r="K21" s="189">
        <f t="shared" si="1"/>
        <v>-8888888887.8888874</v>
      </c>
      <c r="L21" s="322">
        <v>23</v>
      </c>
      <c r="M21" s="203">
        <f>入學要求!S258</f>
        <v>0</v>
      </c>
      <c r="N21" s="371" t="s">
        <v>2194</v>
      </c>
      <c r="O21" s="182">
        <v>3</v>
      </c>
      <c r="P21" s="182">
        <v>3</v>
      </c>
      <c r="Q21" s="182">
        <v>2</v>
      </c>
      <c r="R21" s="182">
        <v>2</v>
      </c>
      <c r="S21" s="182">
        <v>3</v>
      </c>
      <c r="T21" s="182">
        <v>3</v>
      </c>
      <c r="U21" s="501"/>
      <c r="V21" s="322">
        <f>IF($U$2="2018年",'Offer Statistics'!CW21,IF($U$2="2019年",'Offer Statistics'!CW65,IF($U$2="2020年",'Offer Statistics'!CW109)))</f>
        <v>21</v>
      </c>
      <c r="W21" s="284">
        <f>IF($U$2="2018年",'Offer Statistics'!CR21,IF($U$2="2019年",'Offer Statistics'!CR65,IF($U$2="2020年",'Offer Statistics'!CR109)))</f>
        <v>21</v>
      </c>
      <c r="X21" s="284">
        <f>IF($U$2="2018年",'Offer Statistics'!CS21,IF($U$2="2019年",'Offer Statistics'!CS65,IF($U$2="2020年",'Offer Statistics'!CS109)))</f>
        <v>0</v>
      </c>
      <c r="Y21" s="284">
        <f>IF($U$2="2018年",'Offer Statistics'!CT21,IF($U$2="2019年",'Offer Statistics'!CT65,IF($U$2="2020年",'Offer Statistics'!CT109)))</f>
        <v>0</v>
      </c>
      <c r="Z21" s="284">
        <f>IF($U$2="2018年",'Offer Statistics'!CU21,IF($U$2="2019年",'Offer Statistics'!CU65,IF($U$2="2020年",'Offer Statistics'!CU109)))</f>
        <v>0</v>
      </c>
      <c r="AA21" s="284">
        <f>IF($U$2="2018年",'Offer Statistics'!CV21,IF($U$2="2019年",'Offer Statistics'!CV65,IF($U$2="2020年",'Offer Statistics'!CV109)))</f>
        <v>0</v>
      </c>
      <c r="AB21" s="501"/>
      <c r="AC21" s="322">
        <f>IF($U$2="2018年",'Offer Statistics'!CO21,IF($U$2="2019年",'Offer Statistics'!CO65,IF($U$2="2020年",'Offer Statistics'!CO109)))</f>
        <v>996</v>
      </c>
      <c r="AD21" s="284">
        <f>IF($U$2="2018年",'Offer Statistics'!CJ21,IF($U$2="2019年",'Offer Statistics'!CJ65,IF($U$2="2020年",'Offer Statistics'!CJ109)))</f>
        <v>77</v>
      </c>
      <c r="AE21" s="284">
        <f>IF($U$2="2018年",'Offer Statistics'!CK21,IF($U$2="2019年",'Offer Statistics'!CK65,IF($U$2="2020年",'Offer Statistics'!CK109)))</f>
        <v>102</v>
      </c>
      <c r="AF21" s="284">
        <f>IF($U$2="2018年",'Offer Statistics'!CL21,IF($U$2="2019年",'Offer Statistics'!CL65,IF($U$2="2020年",'Offer Statistics'!CL109)))</f>
        <v>212</v>
      </c>
      <c r="AG21" s="284">
        <f>IF($U$2="2018年",'Offer Statistics'!CM21,IF($U$2="2019年",'Offer Statistics'!CM65,IF($U$2="2020年",'Offer Statistics'!CM109)))</f>
        <v>330</v>
      </c>
      <c r="AH21" s="284">
        <f>IF($U$2="2018年",'Offer Statistics'!CN21,IF($U$2="2019年",'Offer Statistics'!CN65,IF($U$2="2020年",'Offer Statistics'!CN109)))</f>
        <v>275</v>
      </c>
      <c r="AJ21" s="338" t="str">
        <f t="shared" si="2"/>
        <v>JS6925</v>
      </c>
    </row>
    <row r="22" spans="1:36" ht="18" customHeight="1">
      <c r="A22" s="175" t="s">
        <v>279</v>
      </c>
      <c r="B22" s="175" t="s">
        <v>381</v>
      </c>
      <c r="C22" s="175" t="s">
        <v>280</v>
      </c>
      <c r="D22" s="175" t="s">
        <v>1782</v>
      </c>
      <c r="E22" s="404" t="s">
        <v>189</v>
      </c>
      <c r="F22" s="176">
        <v>34</v>
      </c>
      <c r="G22" s="176">
        <v>32</v>
      </c>
      <c r="H22" s="176">
        <v>31</v>
      </c>
      <c r="I22" s="193">
        <f>計分版!D276</f>
        <v>3.1500000000000005E-9</v>
      </c>
      <c r="J22" s="188">
        <f t="shared" ref="J22" si="3">IF(J$1="差距(Median)",I22-G22,IF(J$1="差距(UQ)",I22-F22,IF(J$1="差距(LQ)",I22-H22)))</f>
        <v>-30.999999996850001</v>
      </c>
      <c r="K22" s="189">
        <f t="shared" ref="K22" si="4">IF(J$1="差距(Median)",(I22-G22)/I22,IF(J$1="差距(UQ)",(I22-F22)/I22,IF(J$1="差距(LQ)",(I22-H22)/I22)))</f>
        <v>-9841269840.2698402</v>
      </c>
      <c r="L22" s="322">
        <v>14</v>
      </c>
      <c r="M22" s="203">
        <f>入學要求!S259</f>
        <v>0</v>
      </c>
      <c r="N22" s="371" t="s">
        <v>2194</v>
      </c>
      <c r="O22" s="182">
        <v>3</v>
      </c>
      <c r="P22" s="182">
        <v>4</v>
      </c>
      <c r="Q22" s="182">
        <v>4</v>
      </c>
      <c r="R22" s="182">
        <v>2</v>
      </c>
      <c r="S22" s="182">
        <v>3</v>
      </c>
      <c r="T22" s="182">
        <v>3</v>
      </c>
      <c r="U22" s="501"/>
      <c r="V22" s="322">
        <f>IF($U$2="2018年",'Offer Statistics'!CW22,IF($U$2="2019年",'Offer Statistics'!CW66,IF($U$2="2020年",'Offer Statistics'!CW110)))</f>
        <v>16</v>
      </c>
      <c r="W22" s="284">
        <f>IF($U$2="2018年",'Offer Statistics'!CR22,IF($U$2="2019年",'Offer Statistics'!CR66,IF($U$2="2020年",'Offer Statistics'!CR110)))</f>
        <v>16</v>
      </c>
      <c r="X22" s="284">
        <f>IF($U$2="2018年",'Offer Statistics'!CS22,IF($U$2="2019年",'Offer Statistics'!CS66,IF($U$2="2020年",'Offer Statistics'!CS110)))</f>
        <v>0</v>
      </c>
      <c r="Y22" s="284">
        <f>IF($U$2="2018年",'Offer Statistics'!CT22,IF($U$2="2019年",'Offer Statistics'!CT66,IF($U$2="2020年",'Offer Statistics'!CT110)))</f>
        <v>0</v>
      </c>
      <c r="Z22" s="284">
        <f>IF($U$2="2018年",'Offer Statistics'!CU22,IF($U$2="2019年",'Offer Statistics'!CU66,IF($U$2="2020年",'Offer Statistics'!CU110)))</f>
        <v>0</v>
      </c>
      <c r="AA22" s="284">
        <f>IF($U$2="2018年",'Offer Statistics'!CV22,IF($U$2="2019年",'Offer Statistics'!CV66,IF($U$2="2020年",'Offer Statistics'!CV110)))</f>
        <v>0</v>
      </c>
      <c r="AB22" s="501"/>
      <c r="AC22" s="322">
        <f>IF($U$2="2018年",'Offer Statistics'!CO22,IF($U$2="2019年",'Offer Statistics'!CO66,IF($U$2="2020年",'Offer Statistics'!CO110)))</f>
        <v>139</v>
      </c>
      <c r="AD22" s="284">
        <f>IF($U$2="2018年",'Offer Statistics'!CJ22,IF($U$2="2019年",'Offer Statistics'!CJ66,IF($U$2="2020年",'Offer Statistics'!CJ110)))</f>
        <v>48</v>
      </c>
      <c r="AE22" s="284">
        <f>IF($U$2="2018年",'Offer Statistics'!CK22,IF($U$2="2019年",'Offer Statistics'!CK66,IF($U$2="2020年",'Offer Statistics'!CK110)))</f>
        <v>14</v>
      </c>
      <c r="AF22" s="284">
        <f>IF($U$2="2018年",'Offer Statistics'!CL22,IF($U$2="2019年",'Offer Statistics'!CL66,IF($U$2="2020年",'Offer Statistics'!CL110)))</f>
        <v>16</v>
      </c>
      <c r="AG22" s="284">
        <f>IF($U$2="2018年",'Offer Statistics'!CM22,IF($U$2="2019年",'Offer Statistics'!CM66,IF($U$2="2020年",'Offer Statistics'!CM110)))</f>
        <v>14</v>
      </c>
      <c r="AH22" s="284">
        <f>IF($U$2="2018年",'Offer Statistics'!CN22,IF($U$2="2019年",'Offer Statistics'!CN66,IF($U$2="2020年",'Offer Statistics'!CN110)))</f>
        <v>47</v>
      </c>
      <c r="AJ22" s="338" t="str">
        <f t="shared" si="2"/>
        <v>JS6937</v>
      </c>
    </row>
    <row r="23" spans="1:36" ht="18" customHeight="1">
      <c r="A23" s="175" t="s">
        <v>283</v>
      </c>
      <c r="B23" s="175" t="s">
        <v>381</v>
      </c>
      <c r="C23" s="175" t="s">
        <v>284</v>
      </c>
      <c r="D23" s="175" t="s">
        <v>2063</v>
      </c>
      <c r="E23" s="404" t="s">
        <v>189</v>
      </c>
      <c r="F23" s="176">
        <v>28</v>
      </c>
      <c r="G23" s="176">
        <v>26</v>
      </c>
      <c r="H23" s="176">
        <v>25</v>
      </c>
      <c r="I23" s="193">
        <f>計分版!D277</f>
        <v>3.1500000000000005E-9</v>
      </c>
      <c r="J23" s="188">
        <f t="shared" ref="J23" si="5">IF(J$1="差距(Median)",I23-G23,IF(J$1="差距(UQ)",I23-F23,IF(J$1="差距(LQ)",I23-H23)))</f>
        <v>-24.999999996850001</v>
      </c>
      <c r="K23" s="189">
        <f t="shared" ref="K23" si="6">IF(J$1="差距(Median)",(I23-G23)/I23,IF(J$1="差距(UQ)",(I23-F23)/I23,IF(J$1="差距(LQ)",(I23-H23)/I23)))</f>
        <v>-7936507935.5079355</v>
      </c>
      <c r="L23" s="322">
        <v>20</v>
      </c>
      <c r="M23" s="203">
        <f>入學要求!S260</f>
        <v>0</v>
      </c>
      <c r="N23" s="371" t="s">
        <v>2194</v>
      </c>
      <c r="O23" s="182">
        <v>3</v>
      </c>
      <c r="P23" s="182">
        <v>3</v>
      </c>
      <c r="Q23" s="182">
        <v>2</v>
      </c>
      <c r="R23" s="182">
        <v>2</v>
      </c>
      <c r="S23" s="182">
        <v>3</v>
      </c>
      <c r="T23" s="182">
        <v>3</v>
      </c>
      <c r="U23" s="501"/>
      <c r="V23" s="322">
        <f>IF($U$2="2018年",'Offer Statistics'!CW23,IF($U$2="2019年",'Offer Statistics'!CW67,IF($U$2="2020年",'Offer Statistics'!CW111)))</f>
        <v>14</v>
      </c>
      <c r="W23" s="284">
        <f>IF($U$2="2018年",'Offer Statistics'!CR23,IF($U$2="2019年",'Offer Statistics'!CR67,IF($U$2="2020年",'Offer Statistics'!CR111)))</f>
        <v>14</v>
      </c>
      <c r="X23" s="284">
        <f>IF($U$2="2018年",'Offer Statistics'!CS23,IF($U$2="2019年",'Offer Statistics'!CS67,IF($U$2="2020年",'Offer Statistics'!CS111)))</f>
        <v>0</v>
      </c>
      <c r="Y23" s="284">
        <f>IF($U$2="2018年",'Offer Statistics'!CT23,IF($U$2="2019年",'Offer Statistics'!CT67,IF($U$2="2020年",'Offer Statistics'!CT111)))</f>
        <v>0</v>
      </c>
      <c r="Z23" s="284">
        <f>IF($U$2="2018年",'Offer Statistics'!CU23,IF($U$2="2019年",'Offer Statistics'!CU67,IF($U$2="2020年",'Offer Statistics'!CU111)))</f>
        <v>0</v>
      </c>
      <c r="AA23" s="284">
        <f>IF($U$2="2018年",'Offer Statistics'!CV23,IF($U$2="2019年",'Offer Statistics'!CV67,IF($U$2="2020年",'Offer Statistics'!CV111)))</f>
        <v>0</v>
      </c>
      <c r="AB23" s="501"/>
      <c r="AC23" s="322">
        <f>IF($U$2="2018年",'Offer Statistics'!CO23,IF($U$2="2019年",'Offer Statistics'!CO67,IF($U$2="2020年",'Offer Statistics'!CO111)))</f>
        <v>1366</v>
      </c>
      <c r="AD23" s="284">
        <f>IF($U$2="2018年",'Offer Statistics'!CJ23,IF($U$2="2019年",'Offer Statistics'!CJ67,IF($U$2="2020年",'Offer Statistics'!CJ111)))</f>
        <v>90</v>
      </c>
      <c r="AE23" s="284">
        <f>IF($U$2="2018年",'Offer Statistics'!CK23,IF($U$2="2019年",'Offer Statistics'!CK67,IF($U$2="2020年",'Offer Statistics'!CK111)))</f>
        <v>139</v>
      </c>
      <c r="AF23" s="284">
        <f>IF($U$2="2018年",'Offer Statistics'!CL23,IF($U$2="2019年",'Offer Statistics'!CL67,IF($U$2="2020年",'Offer Statistics'!CL111)))</f>
        <v>298</v>
      </c>
      <c r="AG23" s="284">
        <f>IF($U$2="2018年",'Offer Statistics'!CM23,IF($U$2="2019年",'Offer Statistics'!CM67,IF($U$2="2020年",'Offer Statistics'!CM111)))</f>
        <v>461</v>
      </c>
      <c r="AH23" s="284">
        <f>IF($U$2="2018年",'Offer Statistics'!CN23,IF($U$2="2019年",'Offer Statistics'!CN67,IF($U$2="2020年",'Offer Statistics'!CN111)))</f>
        <v>378</v>
      </c>
      <c r="AJ23" s="338" t="str">
        <f t="shared" si="2"/>
        <v>JS6951</v>
      </c>
    </row>
    <row r="24" spans="1:36" ht="18" customHeight="1">
      <c r="A24" s="175" t="s">
        <v>285</v>
      </c>
      <c r="B24" s="175" t="s">
        <v>381</v>
      </c>
      <c r="C24" s="175" t="s">
        <v>286</v>
      </c>
      <c r="D24" s="175" t="s">
        <v>2064</v>
      </c>
      <c r="E24" s="404" t="s">
        <v>189</v>
      </c>
      <c r="F24" s="176">
        <v>26</v>
      </c>
      <c r="G24" s="176">
        <v>25</v>
      </c>
      <c r="H24" s="176">
        <v>23</v>
      </c>
      <c r="I24" s="193">
        <f>計分版!D278</f>
        <v>3.1500000000000005E-9</v>
      </c>
      <c r="J24" s="188">
        <f t="shared" ref="J24:J44" si="7">IF(J$1="差距(Median)",I24-G24,IF(J$1="差距(UQ)",I24-F24,IF(J$1="差距(LQ)",I24-H24)))</f>
        <v>-22.999999996850001</v>
      </c>
      <c r="K24" s="189">
        <f t="shared" ref="K24:K44" si="8">IF(J$1="差距(Median)",(I24-G24)/I24,IF(J$1="差距(UQ)",(I24-F24)/I24,IF(J$1="差距(LQ)",(I24-H24)/I24)))</f>
        <v>-7301587300.5873003</v>
      </c>
      <c r="L24" s="322">
        <v>383</v>
      </c>
      <c r="M24" s="203">
        <f>入學要求!S261</f>
        <v>0</v>
      </c>
      <c r="N24" s="371" t="s">
        <v>2194</v>
      </c>
      <c r="O24" s="182">
        <v>3</v>
      </c>
      <c r="P24" s="182">
        <v>3</v>
      </c>
      <c r="Q24" s="182">
        <v>2</v>
      </c>
      <c r="R24" s="182">
        <v>2</v>
      </c>
      <c r="S24" s="182">
        <v>3</v>
      </c>
      <c r="T24" s="182">
        <v>3</v>
      </c>
      <c r="U24" s="501"/>
      <c r="V24" s="322">
        <f>IF($U$2="2018年",'Offer Statistics'!CW24,IF($U$2="2019年",'Offer Statistics'!CW68,IF($U$2="2020年",'Offer Statistics'!CW112)))</f>
        <v>325</v>
      </c>
      <c r="W24" s="284">
        <f>IF($U$2="2018年",'Offer Statistics'!CR24,IF($U$2="2019年",'Offer Statistics'!CR68,IF($U$2="2020年",'Offer Statistics'!CR112)))</f>
        <v>323</v>
      </c>
      <c r="X24" s="284">
        <f>IF($U$2="2018年",'Offer Statistics'!CS24,IF($U$2="2019年",'Offer Statistics'!CS68,IF($U$2="2020年",'Offer Statistics'!CS112)))</f>
        <v>2</v>
      </c>
      <c r="Y24" s="284">
        <f>IF($U$2="2018年",'Offer Statistics'!CT24,IF($U$2="2019年",'Offer Statistics'!CT68,IF($U$2="2020年",'Offer Statistics'!CT112)))</f>
        <v>0</v>
      </c>
      <c r="Z24" s="284">
        <f>IF($U$2="2018年",'Offer Statistics'!CU24,IF($U$2="2019年",'Offer Statistics'!CU68,IF($U$2="2020年",'Offer Statistics'!CU112)))</f>
        <v>0</v>
      </c>
      <c r="AA24" s="284">
        <f>IF($U$2="2018年",'Offer Statistics'!CV24,IF($U$2="2019年",'Offer Statistics'!CV68,IF($U$2="2020年",'Offer Statistics'!CV112)))</f>
        <v>0</v>
      </c>
      <c r="AB24" s="501"/>
      <c r="AC24" s="322">
        <f>IF($U$2="2018年",'Offer Statistics'!CO24,IF($U$2="2019年",'Offer Statistics'!CO68,IF($U$2="2020年",'Offer Statistics'!CO112)))</f>
        <v>3188</v>
      </c>
      <c r="AD24" s="284">
        <f>IF($U$2="2018年",'Offer Statistics'!CJ24,IF($U$2="2019年",'Offer Statistics'!CJ68,IF($U$2="2020年",'Offer Statistics'!CJ112)))</f>
        <v>917</v>
      </c>
      <c r="AE24" s="284">
        <f>IF($U$2="2018年",'Offer Statistics'!CK24,IF($U$2="2019年",'Offer Statistics'!CK68,IF($U$2="2020年",'Offer Statistics'!CK112)))</f>
        <v>550</v>
      </c>
      <c r="AF24" s="284">
        <f>IF($U$2="2018年",'Offer Statistics'!CL24,IF($U$2="2019年",'Offer Statistics'!CL68,IF($U$2="2020年",'Offer Statistics'!CL112)))</f>
        <v>619</v>
      </c>
      <c r="AG24" s="284">
        <f>IF($U$2="2018年",'Offer Statistics'!CM24,IF($U$2="2019年",'Offer Statistics'!CM68,IF($U$2="2020年",'Offer Statistics'!CM112)))</f>
        <v>595</v>
      </c>
      <c r="AH24" s="284">
        <f>IF($U$2="2018年",'Offer Statistics'!CN24,IF($U$2="2019年",'Offer Statistics'!CN68,IF($U$2="2020年",'Offer Statistics'!CN112)))</f>
        <v>507</v>
      </c>
      <c r="AJ24" s="338" t="str">
        <f t="shared" si="2"/>
        <v>JS6963</v>
      </c>
    </row>
    <row r="25" spans="1:36" ht="18" customHeight="1">
      <c r="A25" s="175" t="s">
        <v>218</v>
      </c>
      <c r="B25" s="175" t="s">
        <v>380</v>
      </c>
      <c r="C25" s="175" t="s">
        <v>219</v>
      </c>
      <c r="D25" s="175" t="s">
        <v>2065</v>
      </c>
      <c r="E25" s="338" t="s">
        <v>58</v>
      </c>
      <c r="F25" s="176">
        <v>44</v>
      </c>
      <c r="G25" s="176">
        <v>41</v>
      </c>
      <c r="H25" s="176">
        <v>39</v>
      </c>
      <c r="I25" s="193">
        <f>計分版!D279</f>
        <v>3.6E-9</v>
      </c>
      <c r="J25" s="188">
        <f t="shared" si="7"/>
        <v>-38.9999999964</v>
      </c>
      <c r="K25" s="189">
        <f t="shared" si="8"/>
        <v>-10833333332.333334</v>
      </c>
      <c r="L25" s="322">
        <v>20</v>
      </c>
      <c r="M25" s="203">
        <f>入學要求!S262</f>
        <v>0</v>
      </c>
      <c r="N25" s="325" t="s">
        <v>360</v>
      </c>
      <c r="O25" s="182">
        <v>4</v>
      </c>
      <c r="P25" s="182">
        <v>5</v>
      </c>
      <c r="Q25" s="182">
        <v>3</v>
      </c>
      <c r="R25" s="182">
        <v>3</v>
      </c>
      <c r="S25" s="182">
        <v>3</v>
      </c>
      <c r="T25" s="182">
        <v>3</v>
      </c>
      <c r="U25" s="501"/>
      <c r="V25" s="322">
        <f>IF($U$2="2018年",'Offer Statistics'!CW25,IF($U$2="2019年",'Offer Statistics'!CW69,IF($U$2="2020年",'Offer Statistics'!CW113)))</f>
        <v>18</v>
      </c>
      <c r="W25" s="284">
        <f>IF($U$2="2018年",'Offer Statistics'!CR25,IF($U$2="2019年",'Offer Statistics'!CR69,IF($U$2="2020年",'Offer Statistics'!CR113)))</f>
        <v>18</v>
      </c>
      <c r="X25" s="284">
        <f>IF($U$2="2018年",'Offer Statistics'!CS25,IF($U$2="2019年",'Offer Statistics'!CS69,IF($U$2="2020年",'Offer Statistics'!CS113)))</f>
        <v>0</v>
      </c>
      <c r="Y25" s="284">
        <f>IF($U$2="2018年",'Offer Statistics'!CT25,IF($U$2="2019年",'Offer Statistics'!CT69,IF($U$2="2020年",'Offer Statistics'!CT113)))</f>
        <v>0</v>
      </c>
      <c r="Z25" s="284">
        <f>IF($U$2="2018年",'Offer Statistics'!CU25,IF($U$2="2019年",'Offer Statistics'!CU69,IF($U$2="2020年",'Offer Statistics'!CU113)))</f>
        <v>0</v>
      </c>
      <c r="AA25" s="284">
        <f>IF($U$2="2018年",'Offer Statistics'!CV25,IF($U$2="2019年",'Offer Statistics'!CV69,IF($U$2="2020年",'Offer Statistics'!CV113)))</f>
        <v>0</v>
      </c>
      <c r="AB25" s="501"/>
      <c r="AC25" s="322">
        <f>IF($U$2="2018年",'Offer Statistics'!CO25,IF($U$2="2019年",'Offer Statistics'!CO69,IF($U$2="2020年",'Offer Statistics'!CO113)))</f>
        <v>328</v>
      </c>
      <c r="AD25" s="284">
        <f>IF($U$2="2018年",'Offer Statistics'!CJ25,IF($U$2="2019年",'Offer Statistics'!CJ69,IF($U$2="2020年",'Offer Statistics'!CJ113)))</f>
        <v>37</v>
      </c>
      <c r="AE25" s="284">
        <f>IF($U$2="2018年",'Offer Statistics'!CK25,IF($U$2="2019年",'Offer Statistics'!CK69,IF($U$2="2020年",'Offer Statistics'!CK113)))</f>
        <v>34</v>
      </c>
      <c r="AF25" s="284">
        <f>IF($U$2="2018年",'Offer Statistics'!CL25,IF($U$2="2019年",'Offer Statistics'!CL69,IF($U$2="2020年",'Offer Statistics'!CL113)))</f>
        <v>65</v>
      </c>
      <c r="AG25" s="284">
        <f>IF($U$2="2018年",'Offer Statistics'!CM25,IF($U$2="2019年",'Offer Statistics'!CM69,IF($U$2="2020年",'Offer Statistics'!CM113)))</f>
        <v>88</v>
      </c>
      <c r="AH25" s="284">
        <f>IF($U$2="2018年",'Offer Statistics'!CN25,IF($U$2="2019年",'Offer Statistics'!CN69,IF($U$2="2020年",'Offer Statistics'!CN113)))</f>
        <v>104</v>
      </c>
      <c r="AJ25" s="338" t="str">
        <f t="shared" si="2"/>
        <v>JS6078</v>
      </c>
    </row>
    <row r="26" spans="1:36" ht="18" customHeight="1">
      <c r="A26" s="175" t="s">
        <v>242</v>
      </c>
      <c r="B26" s="175" t="s">
        <v>380</v>
      </c>
      <c r="C26" s="175" t="s">
        <v>144</v>
      </c>
      <c r="D26" s="175" t="s">
        <v>2066</v>
      </c>
      <c r="E26" s="404" t="s">
        <v>58</v>
      </c>
      <c r="F26" s="176">
        <v>39</v>
      </c>
      <c r="G26" s="176">
        <v>38</v>
      </c>
      <c r="H26" s="176">
        <v>36</v>
      </c>
      <c r="I26" s="193">
        <f>計分版!D280</f>
        <v>3.6E-9</v>
      </c>
      <c r="J26" s="188">
        <f t="shared" si="7"/>
        <v>-35.9999999964</v>
      </c>
      <c r="K26" s="189">
        <f t="shared" si="8"/>
        <v>-9999999999</v>
      </c>
      <c r="L26" s="322">
        <v>98</v>
      </c>
      <c r="M26" s="203">
        <f>入學要求!S263</f>
        <v>0</v>
      </c>
      <c r="N26" s="325" t="s">
        <v>360</v>
      </c>
      <c r="O26" s="182">
        <v>4</v>
      </c>
      <c r="P26" s="182">
        <v>5</v>
      </c>
      <c r="Q26" s="182">
        <v>3</v>
      </c>
      <c r="R26" s="182">
        <v>3</v>
      </c>
      <c r="S26" s="182">
        <v>3</v>
      </c>
      <c r="T26" s="182">
        <v>3</v>
      </c>
      <c r="U26" s="501"/>
      <c r="V26" s="322">
        <f>IF($U$2="2018年",'Offer Statistics'!CW26,IF($U$2="2019年",'Offer Statistics'!CW70,IF($U$2="2020年",'Offer Statistics'!CW114)))</f>
        <v>72</v>
      </c>
      <c r="W26" s="284">
        <f>IF($U$2="2018年",'Offer Statistics'!CR26,IF($U$2="2019年",'Offer Statistics'!CR70,IF($U$2="2020年",'Offer Statistics'!CR114)))</f>
        <v>71</v>
      </c>
      <c r="X26" s="284">
        <f>IF($U$2="2018年",'Offer Statistics'!CS26,IF($U$2="2019年",'Offer Statistics'!CS70,IF($U$2="2020年",'Offer Statistics'!CS114)))</f>
        <v>1</v>
      </c>
      <c r="Y26" s="284">
        <f>IF($U$2="2018年",'Offer Statistics'!CT26,IF($U$2="2019年",'Offer Statistics'!CT70,IF($U$2="2020年",'Offer Statistics'!CT114)))</f>
        <v>0</v>
      </c>
      <c r="Z26" s="284">
        <f>IF($U$2="2018年",'Offer Statistics'!CU26,IF($U$2="2019年",'Offer Statistics'!CU70,IF($U$2="2020年",'Offer Statistics'!CU114)))</f>
        <v>0</v>
      </c>
      <c r="AA26" s="284">
        <f>IF($U$2="2018年",'Offer Statistics'!CV26,IF($U$2="2019年",'Offer Statistics'!CV70,IF($U$2="2020年",'Offer Statistics'!CV114)))</f>
        <v>0</v>
      </c>
      <c r="AB26" s="501"/>
      <c r="AC26" s="322">
        <f>IF($U$2="2018年",'Offer Statistics'!CO26,IF($U$2="2019年",'Offer Statistics'!CO70,IF($U$2="2020年",'Offer Statistics'!CO114)))</f>
        <v>894</v>
      </c>
      <c r="AD26" s="284">
        <f>IF($U$2="2018年",'Offer Statistics'!CJ26,IF($U$2="2019年",'Offer Statistics'!CJ70,IF($U$2="2020年",'Offer Statistics'!CJ114)))</f>
        <v>232</v>
      </c>
      <c r="AE26" s="284">
        <f>IF($U$2="2018年",'Offer Statistics'!CK26,IF($U$2="2019年",'Offer Statistics'!CK70,IF($U$2="2020年",'Offer Statistics'!CK114)))</f>
        <v>85</v>
      </c>
      <c r="AF26" s="284">
        <f>IF($U$2="2018年",'Offer Statistics'!CL26,IF($U$2="2019年",'Offer Statistics'!CL70,IF($U$2="2020年",'Offer Statistics'!CL114)))</f>
        <v>133</v>
      </c>
      <c r="AG26" s="284">
        <f>IF($U$2="2018年",'Offer Statistics'!CM26,IF($U$2="2019年",'Offer Statistics'!CM70,IF($U$2="2020年",'Offer Statistics'!CM114)))</f>
        <v>179</v>
      </c>
      <c r="AH26" s="284">
        <f>IF($U$2="2018年",'Offer Statistics'!CN26,IF($U$2="2019年",'Offer Statistics'!CN70,IF($U$2="2020年",'Offer Statistics'!CN114)))</f>
        <v>265</v>
      </c>
      <c r="AJ26" s="338" t="str">
        <f t="shared" si="2"/>
        <v>JS6406</v>
      </c>
    </row>
    <row r="27" spans="1:36" ht="18" customHeight="1">
      <c r="A27" s="175" t="s">
        <v>2164</v>
      </c>
      <c r="B27" s="175" t="s">
        <v>382</v>
      </c>
      <c r="C27" s="175" t="s">
        <v>2208</v>
      </c>
      <c r="D27" s="175" t="s">
        <v>2165</v>
      </c>
      <c r="E27" s="377" t="s">
        <v>189</v>
      </c>
      <c r="F27" s="176" t="s">
        <v>792</v>
      </c>
      <c r="G27" s="176" t="s">
        <v>792</v>
      </c>
      <c r="H27" s="176" t="s">
        <v>792</v>
      </c>
      <c r="I27" s="193">
        <f>計分版!D281</f>
        <v>3.3999999999999998E-9</v>
      </c>
      <c r="J27" s="177" t="s">
        <v>360</v>
      </c>
      <c r="K27" s="178" t="s">
        <v>360</v>
      </c>
      <c r="L27" s="322">
        <v>15</v>
      </c>
      <c r="M27" s="203">
        <f>入學要求!S264</f>
        <v>0</v>
      </c>
      <c r="N27" s="369" t="s">
        <v>2211</v>
      </c>
      <c r="O27" s="182">
        <v>3</v>
      </c>
      <c r="P27" s="182">
        <v>3</v>
      </c>
      <c r="Q27" s="182">
        <v>2</v>
      </c>
      <c r="R27" s="182">
        <v>2</v>
      </c>
      <c r="S27" s="182">
        <v>3</v>
      </c>
      <c r="T27" s="182">
        <v>3</v>
      </c>
      <c r="U27" s="501"/>
      <c r="V27" s="322" t="str">
        <f>IF($U$2="2018年",'Offer Statistics'!CW27,IF($U$2="2019年",'Offer Statistics'!CW71,IF($U$2="2020年",'Offer Statistics'!CW115)))</f>
        <v>/</v>
      </c>
      <c r="W27" s="284" t="str">
        <f>IF($U$2="2018年",'Offer Statistics'!CR27,IF($U$2="2019年",'Offer Statistics'!CR71,IF($U$2="2020年",'Offer Statistics'!CR115)))</f>
        <v>/</v>
      </c>
      <c r="X27" s="284" t="str">
        <f>IF($U$2="2018年",'Offer Statistics'!CS27,IF($U$2="2019年",'Offer Statistics'!CS71,IF($U$2="2020年",'Offer Statistics'!CS115)))</f>
        <v>/</v>
      </c>
      <c r="Y27" s="284" t="str">
        <f>IF($U$2="2018年",'Offer Statistics'!CT27,IF($U$2="2019年",'Offer Statistics'!CT71,IF($U$2="2020年",'Offer Statistics'!CT115)))</f>
        <v>/</v>
      </c>
      <c r="Z27" s="284" t="str">
        <f>IF($U$2="2018年",'Offer Statistics'!CU27,IF($U$2="2019年",'Offer Statistics'!CU71,IF($U$2="2020年",'Offer Statistics'!CU115)))</f>
        <v>/</v>
      </c>
      <c r="AA27" s="284" t="str">
        <f>IF($U$2="2018年",'Offer Statistics'!CV27,IF($U$2="2019年",'Offer Statistics'!CV71,IF($U$2="2020年",'Offer Statistics'!CV115)))</f>
        <v>/</v>
      </c>
      <c r="AB27" s="501"/>
      <c r="AC27" s="322" t="str">
        <f>IF($U$2="2018年",'Offer Statistics'!CO27,IF($U$2="2019年",'Offer Statistics'!CO71,IF($U$2="2020年",'Offer Statistics'!CO115)))</f>
        <v>/</v>
      </c>
      <c r="AD27" s="284" t="str">
        <f>IF($U$2="2018年",'Offer Statistics'!CJ27,IF($U$2="2019年",'Offer Statistics'!CJ71,IF($U$2="2020年",'Offer Statistics'!CJ115)))</f>
        <v>/</v>
      </c>
      <c r="AE27" s="284" t="str">
        <f>IF($U$2="2018年",'Offer Statistics'!CK27,IF($U$2="2019年",'Offer Statistics'!CK71,IF($U$2="2020年",'Offer Statistics'!CK115)))</f>
        <v>/</v>
      </c>
      <c r="AF27" s="284" t="str">
        <f>IF($U$2="2018年",'Offer Statistics'!CL27,IF($U$2="2019年",'Offer Statistics'!CL71,IF($U$2="2020年",'Offer Statistics'!CL115)))</f>
        <v>/</v>
      </c>
      <c r="AG27" s="284" t="str">
        <f>IF($U$2="2018年",'Offer Statistics'!CM27,IF($U$2="2019年",'Offer Statistics'!CM71,IF($U$2="2020年",'Offer Statistics'!CM115)))</f>
        <v>/</v>
      </c>
      <c r="AH27" s="284" t="str">
        <f>IF($U$2="2018年",'Offer Statistics'!CN27,IF($U$2="2019年",'Offer Statistics'!CN71,IF($U$2="2020年",'Offer Statistics'!CN115)))</f>
        <v>/</v>
      </c>
      <c r="AJ27" s="338" t="str">
        <f t="shared" si="2"/>
        <v>JS6418</v>
      </c>
    </row>
    <row r="28" spans="1:36" ht="18" customHeight="1">
      <c r="A28" s="175" t="s">
        <v>243</v>
      </c>
      <c r="B28" s="175" t="s">
        <v>382</v>
      </c>
      <c r="C28" s="175" t="s">
        <v>244</v>
      </c>
      <c r="D28" s="175" t="s">
        <v>2067</v>
      </c>
      <c r="E28" s="338" t="s">
        <v>58</v>
      </c>
      <c r="F28" s="176">
        <v>48</v>
      </c>
      <c r="G28" s="176">
        <v>45</v>
      </c>
      <c r="H28" s="176">
        <v>44</v>
      </c>
      <c r="I28" s="193">
        <f>計分版!D282</f>
        <v>3.7666666666666665E-9</v>
      </c>
      <c r="J28" s="188">
        <f t="shared" si="7"/>
        <v>-43.999999996233335</v>
      </c>
      <c r="K28" s="189">
        <f t="shared" si="8"/>
        <v>-11681415928.203541</v>
      </c>
      <c r="L28" s="322">
        <v>265</v>
      </c>
      <c r="M28" s="203">
        <f>入學要求!S265</f>
        <v>0</v>
      </c>
      <c r="N28" s="371" t="s">
        <v>2194</v>
      </c>
      <c r="O28" s="182">
        <v>3</v>
      </c>
      <c r="P28" s="182">
        <v>4</v>
      </c>
      <c r="Q28" s="182">
        <v>2</v>
      </c>
      <c r="R28" s="182">
        <v>2</v>
      </c>
      <c r="S28" s="182">
        <v>3</v>
      </c>
      <c r="T28" s="182">
        <v>3</v>
      </c>
      <c r="U28" s="501"/>
      <c r="V28" s="322">
        <f>IF($U$2="2018年",'Offer Statistics'!CW28,IF($U$2="2019年",'Offer Statistics'!CW72,IF($U$2="2020年",'Offer Statistics'!CW116)))</f>
        <v>150</v>
      </c>
      <c r="W28" s="284">
        <f>IF($U$2="2018年",'Offer Statistics'!CR28,IF($U$2="2019年",'Offer Statistics'!CR72,IF($U$2="2020年",'Offer Statistics'!CR116)))</f>
        <v>150</v>
      </c>
      <c r="X28" s="284">
        <f>IF($U$2="2018年",'Offer Statistics'!CS28,IF($U$2="2019年",'Offer Statistics'!CS72,IF($U$2="2020年",'Offer Statistics'!CS116)))</f>
        <v>0</v>
      </c>
      <c r="Y28" s="284">
        <f>IF($U$2="2018年",'Offer Statistics'!CT28,IF($U$2="2019年",'Offer Statistics'!CT72,IF($U$2="2020年",'Offer Statistics'!CT116)))</f>
        <v>0</v>
      </c>
      <c r="Z28" s="284">
        <f>IF($U$2="2018年",'Offer Statistics'!CU28,IF($U$2="2019年",'Offer Statistics'!CU72,IF($U$2="2020年",'Offer Statistics'!CU116)))</f>
        <v>0</v>
      </c>
      <c r="AA28" s="284">
        <f>IF($U$2="2018年",'Offer Statistics'!CV28,IF($U$2="2019年",'Offer Statistics'!CV72,IF($U$2="2020年",'Offer Statistics'!CV116)))</f>
        <v>0</v>
      </c>
      <c r="AB28" s="501"/>
      <c r="AC28" s="322">
        <f>IF($U$2="2018年",'Offer Statistics'!CO28,IF($U$2="2019年",'Offer Statistics'!CO72,IF($U$2="2020年",'Offer Statistics'!CO116)))</f>
        <v>1128</v>
      </c>
      <c r="AD28" s="284">
        <f>IF($U$2="2018年",'Offer Statistics'!CJ28,IF($U$2="2019年",'Offer Statistics'!CJ72,IF($U$2="2020年",'Offer Statistics'!CJ116)))</f>
        <v>476</v>
      </c>
      <c r="AE28" s="284">
        <f>IF($U$2="2018年",'Offer Statistics'!CK28,IF($U$2="2019年",'Offer Statistics'!CK72,IF($U$2="2020年",'Offer Statistics'!CK116)))</f>
        <v>63</v>
      </c>
      <c r="AF28" s="284">
        <f>IF($U$2="2018年",'Offer Statistics'!CL28,IF($U$2="2019年",'Offer Statistics'!CL72,IF($U$2="2020年",'Offer Statistics'!CL116)))</f>
        <v>120</v>
      </c>
      <c r="AG28" s="284">
        <f>IF($U$2="2018年",'Offer Statistics'!CM28,IF($U$2="2019年",'Offer Statistics'!CM72,IF($U$2="2020年",'Offer Statistics'!CM116)))</f>
        <v>150</v>
      </c>
      <c r="AH28" s="284">
        <f>IF($U$2="2018年",'Offer Statistics'!CN28,IF($U$2="2019年",'Offer Statistics'!CN72,IF($U$2="2020年",'Offer Statistics'!CN116)))</f>
        <v>319</v>
      </c>
      <c r="AJ28" s="338" t="str">
        <f t="shared" si="2"/>
        <v>JS6456</v>
      </c>
    </row>
    <row r="29" spans="1:36" ht="18" customHeight="1">
      <c r="A29" s="175" t="s">
        <v>245</v>
      </c>
      <c r="B29" s="175" t="s">
        <v>382</v>
      </c>
      <c r="C29" s="175" t="s">
        <v>246</v>
      </c>
      <c r="D29" s="175" t="s">
        <v>2068</v>
      </c>
      <c r="E29" s="404" t="s">
        <v>59</v>
      </c>
      <c r="F29" s="49">
        <v>26</v>
      </c>
      <c r="G29" s="176">
        <v>25</v>
      </c>
      <c r="H29" s="176">
        <v>25</v>
      </c>
      <c r="I29" s="193">
        <f>計分版!D283</f>
        <v>3.3999999999999998E-9</v>
      </c>
      <c r="J29" s="188">
        <f t="shared" si="7"/>
        <v>-24.9999999966</v>
      </c>
      <c r="K29" s="189">
        <f t="shared" si="8"/>
        <v>-7352941175.4705887</v>
      </c>
      <c r="L29" s="322">
        <v>195</v>
      </c>
      <c r="M29" s="203">
        <f>入學要求!S266</f>
        <v>0</v>
      </c>
      <c r="N29" s="371" t="s">
        <v>2194</v>
      </c>
      <c r="O29" s="182">
        <v>3</v>
      </c>
      <c r="P29" s="182">
        <v>3</v>
      </c>
      <c r="Q29" s="182">
        <v>2</v>
      </c>
      <c r="R29" s="182">
        <v>2</v>
      </c>
      <c r="S29" s="182">
        <v>3</v>
      </c>
      <c r="T29" s="182">
        <v>3</v>
      </c>
      <c r="U29" s="501"/>
      <c r="V29" s="322">
        <f>IF($U$2="2018年",'Offer Statistics'!CW29,IF($U$2="2019年",'Offer Statistics'!CW73,IF($U$2="2020年",'Offer Statistics'!CW117)))</f>
        <v>190</v>
      </c>
      <c r="W29" s="284">
        <f>IF($U$2="2018年",'Offer Statistics'!CR29,IF($U$2="2019年",'Offer Statistics'!CR73,IF($U$2="2020年",'Offer Statistics'!CR117)))</f>
        <v>190</v>
      </c>
      <c r="X29" s="284">
        <f>IF($U$2="2018年",'Offer Statistics'!CS29,IF($U$2="2019年",'Offer Statistics'!CS73,IF($U$2="2020年",'Offer Statistics'!CS117)))</f>
        <v>0</v>
      </c>
      <c r="Y29" s="284">
        <f>IF($U$2="2018年",'Offer Statistics'!CT29,IF($U$2="2019年",'Offer Statistics'!CT73,IF($U$2="2020年",'Offer Statistics'!CT117)))</f>
        <v>0</v>
      </c>
      <c r="Z29" s="284">
        <f>IF($U$2="2018年",'Offer Statistics'!CU29,IF($U$2="2019年",'Offer Statistics'!CU73,IF($U$2="2020年",'Offer Statistics'!CU117)))</f>
        <v>0</v>
      </c>
      <c r="AA29" s="284">
        <f>IF($U$2="2018年",'Offer Statistics'!CV29,IF($U$2="2019年",'Offer Statistics'!CV73,IF($U$2="2020年",'Offer Statistics'!CV117)))</f>
        <v>0</v>
      </c>
      <c r="AB29" s="501"/>
      <c r="AC29" s="322">
        <f>IF($U$2="2018年",'Offer Statistics'!CO29,IF($U$2="2019年",'Offer Statistics'!CO73,IF($U$2="2020年",'Offer Statistics'!CO117)))</f>
        <v>4803</v>
      </c>
      <c r="AD29" s="284">
        <f>IF($U$2="2018年",'Offer Statistics'!CJ29,IF($U$2="2019年",'Offer Statistics'!CJ73,IF($U$2="2020年",'Offer Statistics'!CJ117)))</f>
        <v>1139</v>
      </c>
      <c r="AE29" s="284">
        <f>IF($U$2="2018年",'Offer Statistics'!CK29,IF($U$2="2019年",'Offer Statistics'!CK73,IF($U$2="2020年",'Offer Statistics'!CK117)))</f>
        <v>849</v>
      </c>
      <c r="AF29" s="284">
        <f>IF($U$2="2018年",'Offer Statistics'!CL29,IF($U$2="2019年",'Offer Statistics'!CL73,IF($U$2="2020年",'Offer Statistics'!CL117)))</f>
        <v>998</v>
      </c>
      <c r="AG29" s="284">
        <f>IF($U$2="2018年",'Offer Statistics'!CM29,IF($U$2="2019年",'Offer Statistics'!CM73,IF($U$2="2020年",'Offer Statistics'!CM117)))</f>
        <v>966</v>
      </c>
      <c r="AH29" s="284">
        <f>IF($U$2="2018年",'Offer Statistics'!CN29,IF($U$2="2019年",'Offer Statistics'!CN73,IF($U$2="2020年",'Offer Statistics'!CN117)))</f>
        <v>851</v>
      </c>
      <c r="AJ29" s="338" t="str">
        <f t="shared" si="2"/>
        <v>JS6468</v>
      </c>
    </row>
    <row r="30" spans="1:36" ht="18" customHeight="1">
      <c r="A30" s="175" t="s">
        <v>247</v>
      </c>
      <c r="B30" s="175" t="s">
        <v>382</v>
      </c>
      <c r="C30" s="175" t="s">
        <v>248</v>
      </c>
      <c r="D30" s="175" t="s">
        <v>1751</v>
      </c>
      <c r="E30" s="404" t="s">
        <v>59</v>
      </c>
      <c r="F30" s="176">
        <v>29</v>
      </c>
      <c r="G30" s="176">
        <v>28</v>
      </c>
      <c r="H30" s="176">
        <v>28</v>
      </c>
      <c r="I30" s="193">
        <f>計分版!D284</f>
        <v>3.3999999999999998E-9</v>
      </c>
      <c r="J30" s="188">
        <f t="shared" si="7"/>
        <v>-27.9999999966</v>
      </c>
      <c r="K30" s="189">
        <f t="shared" si="8"/>
        <v>-8235294116.6470594</v>
      </c>
      <c r="L30" s="322">
        <v>24</v>
      </c>
      <c r="M30" s="203">
        <f>入學要求!S267</f>
        <v>0</v>
      </c>
      <c r="N30" s="371" t="s">
        <v>2194</v>
      </c>
      <c r="O30" s="182">
        <v>3</v>
      </c>
      <c r="P30" s="182">
        <v>3</v>
      </c>
      <c r="Q30" s="182">
        <v>2</v>
      </c>
      <c r="R30" s="182">
        <v>2</v>
      </c>
      <c r="S30" s="182">
        <v>3</v>
      </c>
      <c r="T30" s="182">
        <v>3</v>
      </c>
      <c r="U30" s="501"/>
      <c r="V30" s="322">
        <f>IF($U$2="2018年",'Offer Statistics'!CW30,IF($U$2="2019年",'Offer Statistics'!CW74,IF($U$2="2020年",'Offer Statistics'!CW118)))</f>
        <v>19</v>
      </c>
      <c r="W30" s="284">
        <f>IF($U$2="2018年",'Offer Statistics'!CR30,IF($U$2="2019年",'Offer Statistics'!CR74,IF($U$2="2020年",'Offer Statistics'!CR118)))</f>
        <v>17</v>
      </c>
      <c r="X30" s="284">
        <f>IF($U$2="2018年",'Offer Statistics'!CS30,IF($U$2="2019年",'Offer Statistics'!CS74,IF($U$2="2020年",'Offer Statistics'!CS118)))</f>
        <v>2</v>
      </c>
      <c r="Y30" s="284">
        <f>IF($U$2="2018年",'Offer Statistics'!CT30,IF($U$2="2019年",'Offer Statistics'!CT74,IF($U$2="2020年",'Offer Statistics'!CT118)))</f>
        <v>0</v>
      </c>
      <c r="Z30" s="284">
        <f>IF($U$2="2018年",'Offer Statistics'!CU30,IF($U$2="2019年",'Offer Statistics'!CU74,IF($U$2="2020年",'Offer Statistics'!CU118)))</f>
        <v>0</v>
      </c>
      <c r="AA30" s="284">
        <f>IF($U$2="2018年",'Offer Statistics'!CV30,IF($U$2="2019年",'Offer Statistics'!CV74,IF($U$2="2020年",'Offer Statistics'!CV118)))</f>
        <v>0</v>
      </c>
      <c r="AB30" s="501"/>
      <c r="AC30" s="322">
        <f>IF($U$2="2018年",'Offer Statistics'!CO30,IF($U$2="2019年",'Offer Statistics'!CO74,IF($U$2="2020年",'Offer Statistics'!CO118)))</f>
        <v>1150</v>
      </c>
      <c r="AD30" s="284">
        <f>IF($U$2="2018年",'Offer Statistics'!CJ30,IF($U$2="2019年",'Offer Statistics'!CJ74,IF($U$2="2020年",'Offer Statistics'!CJ118)))</f>
        <v>89</v>
      </c>
      <c r="AE30" s="284">
        <f>IF($U$2="2018年",'Offer Statistics'!CK30,IF($U$2="2019年",'Offer Statistics'!CK74,IF($U$2="2020年",'Offer Statistics'!CK118)))</f>
        <v>115</v>
      </c>
      <c r="AF30" s="284">
        <f>IF($U$2="2018年",'Offer Statistics'!CL30,IF($U$2="2019年",'Offer Statistics'!CL74,IF($U$2="2020年",'Offer Statistics'!CL118)))</f>
        <v>245</v>
      </c>
      <c r="AG30" s="284">
        <f>IF($U$2="2018年",'Offer Statistics'!CM30,IF($U$2="2019年",'Offer Statistics'!CM74,IF($U$2="2020年",'Offer Statistics'!CM118)))</f>
        <v>361</v>
      </c>
      <c r="AH30" s="284">
        <f>IF($U$2="2018年",'Offer Statistics'!CN30,IF($U$2="2019年",'Offer Statistics'!CN74,IF($U$2="2020年",'Offer Statistics'!CN118)))</f>
        <v>340</v>
      </c>
      <c r="AJ30" s="338" t="str">
        <f t="shared" si="2"/>
        <v>JS6482</v>
      </c>
    </row>
    <row r="31" spans="1:36" ht="18" customHeight="1">
      <c r="A31" s="175" t="s">
        <v>249</v>
      </c>
      <c r="B31" s="175" t="s">
        <v>382</v>
      </c>
      <c r="C31" s="175" t="s">
        <v>250</v>
      </c>
      <c r="D31" s="175" t="s">
        <v>2069</v>
      </c>
      <c r="E31" s="404" t="s">
        <v>58</v>
      </c>
      <c r="F31" s="243">
        <v>39</v>
      </c>
      <c r="G31" s="176">
        <v>38</v>
      </c>
      <c r="H31" s="176">
        <v>36</v>
      </c>
      <c r="I31" s="193">
        <f>計分版!D285</f>
        <v>3.7666666666666665E-9</v>
      </c>
      <c r="J31" s="188">
        <f t="shared" si="7"/>
        <v>-35.999999996233335</v>
      </c>
      <c r="K31" s="189">
        <f t="shared" si="8"/>
        <v>-9557522122.8938065</v>
      </c>
      <c r="L31" s="322">
        <v>30</v>
      </c>
      <c r="M31" s="203">
        <f>入學要求!S268</f>
        <v>0</v>
      </c>
      <c r="N31" s="371" t="s">
        <v>2194</v>
      </c>
      <c r="O31" s="182">
        <v>3</v>
      </c>
      <c r="P31" s="182">
        <v>4</v>
      </c>
      <c r="Q31" s="182">
        <v>2</v>
      </c>
      <c r="R31" s="182">
        <v>2</v>
      </c>
      <c r="S31" s="182">
        <v>3</v>
      </c>
      <c r="T31" s="182">
        <v>3</v>
      </c>
      <c r="U31" s="501"/>
      <c r="V31" s="322">
        <f>IF($U$2="2018年",'Offer Statistics'!CW31,IF($U$2="2019年",'Offer Statistics'!CW75,IF($U$2="2020年",'Offer Statistics'!CW119)))</f>
        <v>32</v>
      </c>
      <c r="W31" s="284">
        <f>IF($U$2="2018年",'Offer Statistics'!CR31,IF($U$2="2019年",'Offer Statistics'!CR75,IF($U$2="2020年",'Offer Statistics'!CR119)))</f>
        <v>32</v>
      </c>
      <c r="X31" s="284">
        <f>IF($U$2="2018年",'Offer Statistics'!CS31,IF($U$2="2019年",'Offer Statistics'!CS75,IF($U$2="2020年",'Offer Statistics'!CS119)))</f>
        <v>0</v>
      </c>
      <c r="Y31" s="284">
        <f>IF($U$2="2018年",'Offer Statistics'!CT31,IF($U$2="2019年",'Offer Statistics'!CT75,IF($U$2="2020年",'Offer Statistics'!CT119)))</f>
        <v>0</v>
      </c>
      <c r="Z31" s="284">
        <f>IF($U$2="2018年",'Offer Statistics'!CU31,IF($U$2="2019年",'Offer Statistics'!CU75,IF($U$2="2020年",'Offer Statistics'!CU119)))</f>
        <v>0</v>
      </c>
      <c r="AA31" s="284">
        <f>IF($U$2="2018年",'Offer Statistics'!CV31,IF($U$2="2019年",'Offer Statistics'!CV75,IF($U$2="2020年",'Offer Statistics'!CV119)))</f>
        <v>0</v>
      </c>
      <c r="AB31" s="501"/>
      <c r="AC31" s="322">
        <f>IF($U$2="2018年",'Offer Statistics'!CO31,IF($U$2="2019年",'Offer Statistics'!CO75,IF($U$2="2020年",'Offer Statistics'!CO119)))</f>
        <v>1239</v>
      </c>
      <c r="AD31" s="284">
        <f>IF($U$2="2018年",'Offer Statistics'!CJ31,IF($U$2="2019年",'Offer Statistics'!CJ75,IF($U$2="2020年",'Offer Statistics'!CJ119)))</f>
        <v>147</v>
      </c>
      <c r="AE31" s="284">
        <f>IF($U$2="2018年",'Offer Statistics'!CK31,IF($U$2="2019年",'Offer Statistics'!CK75,IF($U$2="2020年",'Offer Statistics'!CK119)))</f>
        <v>147</v>
      </c>
      <c r="AF31" s="284">
        <f>IF($U$2="2018年",'Offer Statistics'!CL31,IF($U$2="2019年",'Offer Statistics'!CL75,IF($U$2="2020年",'Offer Statistics'!CL119)))</f>
        <v>243</v>
      </c>
      <c r="AG31" s="284">
        <f>IF($U$2="2018年",'Offer Statistics'!CM31,IF($U$2="2019年",'Offer Statistics'!CM75,IF($U$2="2020年",'Offer Statistics'!CM119)))</f>
        <v>347</v>
      </c>
      <c r="AH31" s="284">
        <f>IF($U$2="2018年",'Offer Statistics'!CN31,IF($U$2="2019年",'Offer Statistics'!CN75,IF($U$2="2020年",'Offer Statistics'!CN119)))</f>
        <v>355</v>
      </c>
      <c r="AJ31" s="338" t="str">
        <f t="shared" si="2"/>
        <v>JS6494</v>
      </c>
    </row>
    <row r="32" spans="1:36" ht="18" customHeight="1">
      <c r="A32" s="175" t="s">
        <v>281</v>
      </c>
      <c r="B32" s="175" t="s">
        <v>382</v>
      </c>
      <c r="C32" s="175" t="s">
        <v>282</v>
      </c>
      <c r="D32" s="175" t="s">
        <v>2070</v>
      </c>
      <c r="E32" s="404" t="s">
        <v>58</v>
      </c>
      <c r="F32" s="243">
        <v>41</v>
      </c>
      <c r="G32" s="176">
        <v>39</v>
      </c>
      <c r="H32" s="176">
        <v>39</v>
      </c>
      <c r="I32" s="193">
        <f>計分版!D286</f>
        <v>3.7666666666666665E-9</v>
      </c>
      <c r="J32" s="188">
        <f t="shared" si="7"/>
        <v>-38.999999996233335</v>
      </c>
      <c r="K32" s="189">
        <f t="shared" si="8"/>
        <v>-10353982299.884956</v>
      </c>
      <c r="L32" s="322">
        <v>35</v>
      </c>
      <c r="M32" s="203">
        <f>入學要求!S269</f>
        <v>0</v>
      </c>
      <c r="N32" s="371" t="s">
        <v>2194</v>
      </c>
      <c r="O32" s="182">
        <v>3</v>
      </c>
      <c r="P32" s="182">
        <v>4</v>
      </c>
      <c r="Q32" s="182">
        <v>2</v>
      </c>
      <c r="R32" s="182">
        <v>2</v>
      </c>
      <c r="S32" s="182">
        <v>3</v>
      </c>
      <c r="T32" s="182">
        <v>3</v>
      </c>
      <c r="U32" s="501"/>
      <c r="V32" s="322">
        <f>IF($U$2="2018年",'Offer Statistics'!CW32,IF($U$2="2019年",'Offer Statistics'!CW76,IF($U$2="2020年",'Offer Statistics'!CW120)))</f>
        <v>28</v>
      </c>
      <c r="W32" s="284">
        <f>IF($U$2="2018年",'Offer Statistics'!CR32,IF($U$2="2019年",'Offer Statistics'!CR76,IF($U$2="2020年",'Offer Statistics'!CR120)))</f>
        <v>28</v>
      </c>
      <c r="X32" s="284">
        <f>IF($U$2="2018年",'Offer Statistics'!CS32,IF($U$2="2019年",'Offer Statistics'!CS76,IF($U$2="2020年",'Offer Statistics'!CS120)))</f>
        <v>0</v>
      </c>
      <c r="Y32" s="284">
        <f>IF($U$2="2018年",'Offer Statistics'!CT32,IF($U$2="2019年",'Offer Statistics'!CT76,IF($U$2="2020年",'Offer Statistics'!CT120)))</f>
        <v>0</v>
      </c>
      <c r="Z32" s="284">
        <f>IF($U$2="2018年",'Offer Statistics'!CU32,IF($U$2="2019年",'Offer Statistics'!CU76,IF($U$2="2020年",'Offer Statistics'!CU120)))</f>
        <v>0</v>
      </c>
      <c r="AA32" s="284">
        <f>IF($U$2="2018年",'Offer Statistics'!CV32,IF($U$2="2019年",'Offer Statistics'!CV76,IF($U$2="2020年",'Offer Statistics'!CV120)))</f>
        <v>0</v>
      </c>
      <c r="AB32" s="501"/>
      <c r="AC32" s="322">
        <f>IF($U$2="2018年",'Offer Statistics'!CO32,IF($U$2="2019年",'Offer Statistics'!CO76,IF($U$2="2020年",'Offer Statistics'!CO120)))</f>
        <v>1460</v>
      </c>
      <c r="AD32" s="284">
        <f>IF($U$2="2018年",'Offer Statistics'!CJ32,IF($U$2="2019年",'Offer Statistics'!CJ76,IF($U$2="2020年",'Offer Statistics'!CJ120)))</f>
        <v>160</v>
      </c>
      <c r="AE32" s="284">
        <f>IF($U$2="2018年",'Offer Statistics'!CK32,IF($U$2="2019年",'Offer Statistics'!CK76,IF($U$2="2020年",'Offer Statistics'!CK120)))</f>
        <v>183</v>
      </c>
      <c r="AF32" s="284">
        <f>IF($U$2="2018年",'Offer Statistics'!CL32,IF($U$2="2019年",'Offer Statistics'!CL76,IF($U$2="2020年",'Offer Statistics'!CL120)))</f>
        <v>325</v>
      </c>
      <c r="AG32" s="284">
        <f>IF($U$2="2018年",'Offer Statistics'!CM32,IF($U$2="2019年",'Offer Statistics'!CM76,IF($U$2="2020年",'Offer Statistics'!CM120)))</f>
        <v>396</v>
      </c>
      <c r="AH32" s="284">
        <f>IF($U$2="2018年",'Offer Statistics'!CN32,IF($U$2="2019年",'Offer Statistics'!CN76,IF($U$2="2020年",'Offer Statistics'!CN120)))</f>
        <v>396</v>
      </c>
      <c r="AJ32" s="338" t="str">
        <f t="shared" si="2"/>
        <v>JS6949</v>
      </c>
    </row>
    <row r="33" spans="1:36" ht="18" customHeight="1">
      <c r="A33" s="175" t="s">
        <v>1344</v>
      </c>
      <c r="B33" s="175" t="s">
        <v>383</v>
      </c>
      <c r="C33" s="175" t="s">
        <v>1346</v>
      </c>
      <c r="D33" s="175" t="s">
        <v>1754</v>
      </c>
      <c r="E33" s="364" t="s">
        <v>58</v>
      </c>
      <c r="F33" s="243" t="s">
        <v>360</v>
      </c>
      <c r="G33" s="176" t="s">
        <v>360</v>
      </c>
      <c r="H33" s="176" t="s">
        <v>360</v>
      </c>
      <c r="I33" s="193">
        <f>計分版!D287</f>
        <v>3.1249999999999999E-9</v>
      </c>
      <c r="J33" s="177" t="s">
        <v>360</v>
      </c>
      <c r="K33" s="178" t="s">
        <v>360</v>
      </c>
      <c r="L33" s="322">
        <v>20</v>
      </c>
      <c r="M33" s="203">
        <f>入學要求!S270</f>
        <v>0</v>
      </c>
      <c r="N33" s="371" t="s">
        <v>2194</v>
      </c>
      <c r="O33" s="182">
        <v>3</v>
      </c>
      <c r="P33" s="182">
        <v>5</v>
      </c>
      <c r="Q33" s="182">
        <v>4</v>
      </c>
      <c r="R33" s="182">
        <v>2</v>
      </c>
      <c r="S33" s="182">
        <v>3</v>
      </c>
      <c r="T33" s="182">
        <v>3</v>
      </c>
      <c r="U33" s="501"/>
      <c r="V33" s="322" t="str">
        <f>IF($U$2="2018年",'Offer Statistics'!CW33,IF($U$2="2019年",'Offer Statistics'!CW77,IF($U$2="2020年",'Offer Statistics'!CW121)))</f>
        <v>/</v>
      </c>
      <c r="W33" s="284" t="str">
        <f>IF($U$2="2018年",'Offer Statistics'!CR33,IF($U$2="2019年",'Offer Statistics'!CR77,IF($U$2="2020年",'Offer Statistics'!CR121)))</f>
        <v>/</v>
      </c>
      <c r="X33" s="284" t="str">
        <f>IF($U$2="2018年",'Offer Statistics'!CS33,IF($U$2="2019年",'Offer Statistics'!CS77,IF($U$2="2020年",'Offer Statistics'!CS121)))</f>
        <v>/</v>
      </c>
      <c r="Y33" s="284" t="str">
        <f>IF($U$2="2018年",'Offer Statistics'!CT33,IF($U$2="2019年",'Offer Statistics'!CT77,IF($U$2="2020年",'Offer Statistics'!CT121)))</f>
        <v>/</v>
      </c>
      <c r="Z33" s="284" t="str">
        <f>IF($U$2="2018年",'Offer Statistics'!CU33,IF($U$2="2019年",'Offer Statistics'!CU77,IF($U$2="2020年",'Offer Statistics'!CU121)))</f>
        <v>/</v>
      </c>
      <c r="AA33" s="284" t="str">
        <f>IF($U$2="2018年",'Offer Statistics'!CV33,IF($U$2="2019年",'Offer Statistics'!CV77,IF($U$2="2020年",'Offer Statistics'!CV121)))</f>
        <v>/</v>
      </c>
      <c r="AB33" s="501"/>
      <c r="AC33" s="322" t="str">
        <f>IF($U$2="2018年",'Offer Statistics'!CO33,IF($U$2="2019年",'Offer Statistics'!CO77,IF($U$2="2020年",'Offer Statistics'!CO121)))</f>
        <v>/</v>
      </c>
      <c r="AD33" s="284" t="str">
        <f>IF($U$2="2018年",'Offer Statistics'!CJ33,IF($U$2="2019年",'Offer Statistics'!CJ77,IF($U$2="2020年",'Offer Statistics'!CJ121)))</f>
        <v>/</v>
      </c>
      <c r="AE33" s="284" t="str">
        <f>IF($U$2="2018年",'Offer Statistics'!CK33,IF($U$2="2019年",'Offer Statistics'!CK77,IF($U$2="2020年",'Offer Statistics'!CK121)))</f>
        <v>/</v>
      </c>
      <c r="AF33" s="284" t="str">
        <f>IF($U$2="2018年",'Offer Statistics'!CL33,IF($U$2="2019年",'Offer Statistics'!CL77,IF($U$2="2020年",'Offer Statistics'!CL121)))</f>
        <v>/</v>
      </c>
      <c r="AG33" s="284" t="str">
        <f>IF($U$2="2018年",'Offer Statistics'!CM33,IF($U$2="2019年",'Offer Statistics'!CM77,IF($U$2="2020年",'Offer Statistics'!CM121)))</f>
        <v>/</v>
      </c>
      <c r="AH33" s="284" t="str">
        <f>IF($U$2="2018年",'Offer Statistics'!CN33,IF($U$2="2019年",'Offer Statistics'!CN77,IF($U$2="2020年",'Offer Statistics'!CN121)))</f>
        <v>/</v>
      </c>
      <c r="AJ33" s="338" t="str">
        <f t="shared" si="2"/>
        <v>JS6688</v>
      </c>
    </row>
    <row r="34" spans="1:36" ht="18" customHeight="1">
      <c r="A34" s="175" t="s">
        <v>253</v>
      </c>
      <c r="B34" s="175" t="s">
        <v>383</v>
      </c>
      <c r="C34" s="175" t="s">
        <v>254</v>
      </c>
      <c r="D34" s="175" t="s">
        <v>2071</v>
      </c>
      <c r="E34" s="437" t="s">
        <v>58</v>
      </c>
      <c r="F34" s="243">
        <v>55</v>
      </c>
      <c r="G34" s="176">
        <v>51</v>
      </c>
      <c r="H34" s="176">
        <v>48</v>
      </c>
      <c r="I34" s="193">
        <f>計分版!D288</f>
        <v>4.4000000000000005E-9</v>
      </c>
      <c r="J34" s="188">
        <f t="shared" si="7"/>
        <v>-47.9999999956</v>
      </c>
      <c r="K34" s="189">
        <f t="shared" si="8"/>
        <v>-10909090908.090908</v>
      </c>
      <c r="L34" s="322">
        <v>61</v>
      </c>
      <c r="M34" s="203">
        <f>入學要求!S271</f>
        <v>0</v>
      </c>
      <c r="N34" s="371" t="s">
        <v>2194</v>
      </c>
      <c r="O34" s="182">
        <v>3</v>
      </c>
      <c r="P34" s="182">
        <v>3</v>
      </c>
      <c r="Q34" s="182">
        <v>4</v>
      </c>
      <c r="R34" s="182">
        <v>2</v>
      </c>
      <c r="S34" s="182">
        <v>3</v>
      </c>
      <c r="T34" s="182">
        <v>3</v>
      </c>
      <c r="U34" s="501"/>
      <c r="V34" s="322">
        <f>IF($U$2="2018年",'Offer Statistics'!CW34,IF($U$2="2019年",'Offer Statistics'!CW78,IF($U$2="2020年",'Offer Statistics'!CW122)))</f>
        <v>62</v>
      </c>
      <c r="W34" s="284">
        <f>IF($U$2="2018年",'Offer Statistics'!CR34,IF($U$2="2019年",'Offer Statistics'!CR78,IF($U$2="2020年",'Offer Statistics'!CR122)))</f>
        <v>62</v>
      </c>
      <c r="X34" s="284">
        <f>IF($U$2="2018年",'Offer Statistics'!CS34,IF($U$2="2019年",'Offer Statistics'!CS78,IF($U$2="2020年",'Offer Statistics'!CS122)))</f>
        <v>0</v>
      </c>
      <c r="Y34" s="284">
        <f>IF($U$2="2018年",'Offer Statistics'!CT34,IF($U$2="2019年",'Offer Statistics'!CT78,IF($U$2="2020年",'Offer Statistics'!CT122)))</f>
        <v>0</v>
      </c>
      <c r="Z34" s="284">
        <f>IF($U$2="2018年",'Offer Statistics'!CU34,IF($U$2="2019年",'Offer Statistics'!CU78,IF($U$2="2020年",'Offer Statistics'!CU122)))</f>
        <v>0</v>
      </c>
      <c r="AA34" s="284">
        <f>IF($U$2="2018年",'Offer Statistics'!CV34,IF($U$2="2019年",'Offer Statistics'!CV78,IF($U$2="2020年",'Offer Statistics'!CV122)))</f>
        <v>0</v>
      </c>
      <c r="AB34" s="501"/>
      <c r="AC34" s="322">
        <f>IF($U$2="2018年",'Offer Statistics'!CO34,IF($U$2="2019年",'Offer Statistics'!CO78,IF($U$2="2020年",'Offer Statistics'!CO122)))</f>
        <v>681</v>
      </c>
      <c r="AD34" s="284">
        <f>IF($U$2="2018年",'Offer Statistics'!CJ34,IF($U$2="2019年",'Offer Statistics'!CJ78,IF($U$2="2020年",'Offer Statistics'!CJ122)))</f>
        <v>159</v>
      </c>
      <c r="AE34" s="284">
        <f>IF($U$2="2018年",'Offer Statistics'!CK34,IF($U$2="2019年",'Offer Statistics'!CK78,IF($U$2="2020年",'Offer Statistics'!CK122)))</f>
        <v>78</v>
      </c>
      <c r="AF34" s="284">
        <f>IF($U$2="2018年",'Offer Statistics'!CL34,IF($U$2="2019年",'Offer Statistics'!CL78,IF($U$2="2020年",'Offer Statistics'!CL122)))</f>
        <v>113</v>
      </c>
      <c r="AG34" s="284">
        <f>IF($U$2="2018年",'Offer Statistics'!CM34,IF($U$2="2019年",'Offer Statistics'!CM78,IF($U$2="2020年",'Offer Statistics'!CM122)))</f>
        <v>185</v>
      </c>
      <c r="AH34" s="284">
        <f>IF($U$2="2018年",'Offer Statistics'!CN34,IF($U$2="2019年",'Offer Statistics'!CN78,IF($U$2="2020年",'Offer Statistics'!CN122)))</f>
        <v>146</v>
      </c>
      <c r="AJ34" s="338" t="str">
        <f t="shared" si="2"/>
        <v>JS6729</v>
      </c>
    </row>
    <row r="35" spans="1:36" ht="18" customHeight="1">
      <c r="A35" s="175" t="s">
        <v>275</v>
      </c>
      <c r="B35" s="175" t="s">
        <v>383</v>
      </c>
      <c r="C35" s="175" t="s">
        <v>276</v>
      </c>
      <c r="D35" s="175" t="s">
        <v>2072</v>
      </c>
      <c r="E35" s="437" t="s">
        <v>189</v>
      </c>
      <c r="F35" s="176">
        <v>46</v>
      </c>
      <c r="G35" s="176">
        <v>41</v>
      </c>
      <c r="H35" s="176">
        <v>37</v>
      </c>
      <c r="I35" s="193">
        <f>計分版!D289</f>
        <v>3.0249999999999998E-9</v>
      </c>
      <c r="J35" s="188">
        <f t="shared" si="7"/>
        <v>-36.999999996974999</v>
      </c>
      <c r="K35" s="189">
        <f t="shared" si="8"/>
        <v>-12231404957.677687</v>
      </c>
      <c r="L35" s="322">
        <v>316</v>
      </c>
      <c r="M35" s="203">
        <f>入學要求!S272</f>
        <v>0</v>
      </c>
      <c r="N35" s="325" t="s">
        <v>360</v>
      </c>
      <c r="O35" s="182">
        <v>3</v>
      </c>
      <c r="P35" s="182">
        <v>3</v>
      </c>
      <c r="Q35" s="182">
        <v>2</v>
      </c>
      <c r="R35" s="182">
        <v>2</v>
      </c>
      <c r="S35" s="182">
        <v>3</v>
      </c>
      <c r="T35" s="182">
        <v>3</v>
      </c>
      <c r="U35" s="501"/>
      <c r="V35" s="322">
        <f>IF($U$2="2018年",'Offer Statistics'!CW35,IF($U$2="2019年",'Offer Statistics'!CW79,IF($U$2="2020年",'Offer Statistics'!CW123)))</f>
        <v>381</v>
      </c>
      <c r="W35" s="284">
        <f>IF($U$2="2018年",'Offer Statistics'!CR35,IF($U$2="2019年",'Offer Statistics'!CR79,IF($U$2="2020年",'Offer Statistics'!CR123)))</f>
        <v>375</v>
      </c>
      <c r="X35" s="284">
        <f>IF($U$2="2018年",'Offer Statistics'!CS35,IF($U$2="2019年",'Offer Statistics'!CS79,IF($U$2="2020年",'Offer Statistics'!CS123)))</f>
        <v>6</v>
      </c>
      <c r="Y35" s="284">
        <f>IF($U$2="2018年",'Offer Statistics'!CT35,IF($U$2="2019年",'Offer Statistics'!CT79,IF($U$2="2020年",'Offer Statistics'!CT123)))</f>
        <v>0</v>
      </c>
      <c r="Z35" s="284">
        <f>IF($U$2="2018年",'Offer Statistics'!CU35,IF($U$2="2019年",'Offer Statistics'!CU79,IF($U$2="2020年",'Offer Statistics'!CU123)))</f>
        <v>0</v>
      </c>
      <c r="AA35" s="284">
        <f>IF($U$2="2018年",'Offer Statistics'!CV35,IF($U$2="2019年",'Offer Statistics'!CV79,IF($U$2="2020年",'Offer Statistics'!CV123)))</f>
        <v>0</v>
      </c>
      <c r="AB35" s="501"/>
      <c r="AC35" s="322">
        <f>IF($U$2="2018年",'Offer Statistics'!CO35,IF($U$2="2019年",'Offer Statistics'!CO79,IF($U$2="2020年",'Offer Statistics'!CO123)))</f>
        <v>5585</v>
      </c>
      <c r="AD35" s="284">
        <f>IF($U$2="2018年",'Offer Statistics'!CJ35,IF($U$2="2019年",'Offer Statistics'!CJ79,IF($U$2="2020年",'Offer Statistics'!CJ123)))</f>
        <v>1198</v>
      </c>
      <c r="AE35" s="284">
        <f>IF($U$2="2018年",'Offer Statistics'!CK35,IF($U$2="2019年",'Offer Statistics'!CK79,IF($U$2="2020年",'Offer Statistics'!CK123)))</f>
        <v>1107</v>
      </c>
      <c r="AF35" s="284">
        <f>IF($U$2="2018年",'Offer Statistics'!CL35,IF($U$2="2019年",'Offer Statistics'!CL79,IF($U$2="2020年",'Offer Statistics'!CL123)))</f>
        <v>1132</v>
      </c>
      <c r="AG35" s="284">
        <f>IF($U$2="2018年",'Offer Statistics'!CM35,IF($U$2="2019年",'Offer Statistics'!CM79,IF($U$2="2020年",'Offer Statistics'!CM123)))</f>
        <v>1264</v>
      </c>
      <c r="AH35" s="284">
        <f>IF($U$2="2018年",'Offer Statistics'!CN35,IF($U$2="2019年",'Offer Statistics'!CN79,IF($U$2="2020年",'Offer Statistics'!CN123)))</f>
        <v>884</v>
      </c>
      <c r="AJ35" s="338" t="str">
        <f t="shared" si="2"/>
        <v>JS6901</v>
      </c>
    </row>
    <row r="36" spans="1:36" ht="18" customHeight="1">
      <c r="A36" s="175" t="s">
        <v>251</v>
      </c>
      <c r="B36" s="175" t="s">
        <v>384</v>
      </c>
      <c r="C36" s="175" t="s">
        <v>252</v>
      </c>
      <c r="D36" s="175" t="s">
        <v>2073</v>
      </c>
      <c r="E36" s="404" t="s">
        <v>59</v>
      </c>
      <c r="F36" s="176">
        <v>29</v>
      </c>
      <c r="G36" s="176">
        <v>28</v>
      </c>
      <c r="H36" s="176">
        <v>26</v>
      </c>
      <c r="I36" s="193">
        <f>計分版!D290</f>
        <v>3.9500000000000006E-9</v>
      </c>
      <c r="J36" s="188">
        <f t="shared" si="7"/>
        <v>-25.999999996050001</v>
      </c>
      <c r="K36" s="189">
        <f t="shared" si="8"/>
        <v>-6582278480.0126572</v>
      </c>
      <c r="L36" s="322">
        <v>179</v>
      </c>
      <c r="M36" s="203">
        <f>入學要求!S273</f>
        <v>0</v>
      </c>
      <c r="N36" s="325" t="s">
        <v>360</v>
      </c>
      <c r="O36" s="182">
        <v>3</v>
      </c>
      <c r="P36" s="182">
        <v>3</v>
      </c>
      <c r="Q36" s="182">
        <v>2</v>
      </c>
      <c r="R36" s="182">
        <v>2</v>
      </c>
      <c r="S36" s="182">
        <v>3</v>
      </c>
      <c r="T36" s="182">
        <v>3</v>
      </c>
      <c r="U36" s="501"/>
      <c r="V36" s="322">
        <f>IF($U$2="2018年",'Offer Statistics'!CW36,IF($U$2="2019年",'Offer Statistics'!CW80,IF($U$2="2020年",'Offer Statistics'!CW124)))</f>
        <v>160</v>
      </c>
      <c r="W36" s="284">
        <f>IF($U$2="2018年",'Offer Statistics'!CR36,IF($U$2="2019年",'Offer Statistics'!CR80,IF($U$2="2020年",'Offer Statistics'!CR124)))</f>
        <v>160</v>
      </c>
      <c r="X36" s="284">
        <f>IF($U$2="2018年",'Offer Statistics'!CS36,IF($U$2="2019年",'Offer Statistics'!CS80,IF($U$2="2020年",'Offer Statistics'!CS124)))</f>
        <v>0</v>
      </c>
      <c r="Y36" s="284">
        <f>IF($U$2="2018年",'Offer Statistics'!CT36,IF($U$2="2019年",'Offer Statistics'!CT80,IF($U$2="2020年",'Offer Statistics'!CT124)))</f>
        <v>0</v>
      </c>
      <c r="Z36" s="284">
        <f>IF($U$2="2018年",'Offer Statistics'!CU36,IF($U$2="2019年",'Offer Statistics'!CU80,IF($U$2="2020年",'Offer Statistics'!CU124)))</f>
        <v>0</v>
      </c>
      <c r="AA36" s="284">
        <f>IF($U$2="2018年",'Offer Statistics'!CV36,IF($U$2="2019年",'Offer Statistics'!CV80,IF($U$2="2020年",'Offer Statistics'!CV124)))</f>
        <v>0</v>
      </c>
      <c r="AB36" s="501"/>
      <c r="AC36" s="322">
        <f>IF($U$2="2018年",'Offer Statistics'!CO36,IF($U$2="2019年",'Offer Statistics'!CO80,IF($U$2="2020年",'Offer Statistics'!CO124)))</f>
        <v>3912</v>
      </c>
      <c r="AD36" s="284">
        <f>IF($U$2="2018年",'Offer Statistics'!CJ36,IF($U$2="2019年",'Offer Statistics'!CJ80,IF($U$2="2020年",'Offer Statistics'!CJ124)))</f>
        <v>534</v>
      </c>
      <c r="AE36" s="284">
        <f>IF($U$2="2018年",'Offer Statistics'!CK36,IF($U$2="2019年",'Offer Statistics'!CK80,IF($U$2="2020年",'Offer Statistics'!CK124)))</f>
        <v>431</v>
      </c>
      <c r="AF36" s="284">
        <f>IF($U$2="2018年",'Offer Statistics'!CL36,IF($U$2="2019年",'Offer Statistics'!CL80,IF($U$2="2020年",'Offer Statistics'!CL124)))</f>
        <v>738</v>
      </c>
      <c r="AG36" s="284">
        <f>IF($U$2="2018年",'Offer Statistics'!CM36,IF($U$2="2019年",'Offer Statistics'!CM80,IF($U$2="2020年",'Offer Statistics'!CM124)))</f>
        <v>1125</v>
      </c>
      <c r="AH36" s="284">
        <f>IF($U$2="2018年",'Offer Statistics'!CN36,IF($U$2="2019年",'Offer Statistics'!CN80,IF($U$2="2020年",'Offer Statistics'!CN124)))</f>
        <v>1084</v>
      </c>
      <c r="AJ36" s="338" t="str">
        <f t="shared" si="2"/>
        <v>JS6717</v>
      </c>
    </row>
    <row r="37" spans="1:36" ht="18" customHeight="1">
      <c r="A37" s="175" t="s">
        <v>255</v>
      </c>
      <c r="B37" s="175" t="s">
        <v>384</v>
      </c>
      <c r="C37" s="175" t="s">
        <v>256</v>
      </c>
      <c r="D37" s="175" t="s">
        <v>1541</v>
      </c>
      <c r="E37" s="404" t="s">
        <v>59</v>
      </c>
      <c r="F37" s="176">
        <v>28</v>
      </c>
      <c r="G37" s="176">
        <v>28</v>
      </c>
      <c r="H37" s="176">
        <v>26</v>
      </c>
      <c r="I37" s="193">
        <f>計分版!D291</f>
        <v>3.9500000000000006E-9</v>
      </c>
      <c r="J37" s="188">
        <f t="shared" si="7"/>
        <v>-25.999999996050001</v>
      </c>
      <c r="K37" s="189">
        <f t="shared" si="8"/>
        <v>-6582278480.0126572</v>
      </c>
      <c r="L37" s="322">
        <v>35</v>
      </c>
      <c r="M37" s="203">
        <f>入學要求!S274</f>
        <v>0</v>
      </c>
      <c r="N37" s="371" t="s">
        <v>2194</v>
      </c>
      <c r="O37" s="182">
        <v>3</v>
      </c>
      <c r="P37" s="182">
        <v>3</v>
      </c>
      <c r="Q37" s="182">
        <v>2</v>
      </c>
      <c r="R37" s="182">
        <v>2</v>
      </c>
      <c r="S37" s="182">
        <v>3</v>
      </c>
      <c r="T37" s="182">
        <v>3</v>
      </c>
      <c r="U37" s="501"/>
      <c r="V37" s="322">
        <f>IF($U$2="2018年",'Offer Statistics'!CW37,IF($U$2="2019年",'Offer Statistics'!CW81,IF($U$2="2020年",'Offer Statistics'!CW125)))</f>
        <v>36</v>
      </c>
      <c r="W37" s="284">
        <f>IF($U$2="2018年",'Offer Statistics'!CR37,IF($U$2="2019年",'Offer Statistics'!CR81,IF($U$2="2020年",'Offer Statistics'!CR125)))</f>
        <v>36</v>
      </c>
      <c r="X37" s="284">
        <f>IF($U$2="2018年",'Offer Statistics'!CS37,IF($U$2="2019年",'Offer Statistics'!CS81,IF($U$2="2020年",'Offer Statistics'!CS125)))</f>
        <v>0</v>
      </c>
      <c r="Y37" s="284">
        <f>IF($U$2="2018年",'Offer Statistics'!CT37,IF($U$2="2019年",'Offer Statistics'!CT81,IF($U$2="2020年",'Offer Statistics'!CT125)))</f>
        <v>0</v>
      </c>
      <c r="Z37" s="284">
        <f>IF($U$2="2018年",'Offer Statistics'!CU37,IF($U$2="2019年",'Offer Statistics'!CU81,IF($U$2="2020年",'Offer Statistics'!CU125)))</f>
        <v>0</v>
      </c>
      <c r="AA37" s="284">
        <f>IF($U$2="2018年",'Offer Statistics'!CV37,IF($U$2="2019年",'Offer Statistics'!CV81,IF($U$2="2020年",'Offer Statistics'!CV125)))</f>
        <v>0</v>
      </c>
      <c r="AB37" s="501"/>
      <c r="AC37" s="322">
        <f>IF($U$2="2018年",'Offer Statistics'!CO37,IF($U$2="2019年",'Offer Statistics'!CO81,IF($U$2="2020年",'Offer Statistics'!CO125)))</f>
        <v>2780</v>
      </c>
      <c r="AD37" s="284">
        <f>IF($U$2="2018年",'Offer Statistics'!CJ37,IF($U$2="2019年",'Offer Statistics'!CJ81,IF($U$2="2020年",'Offer Statistics'!CJ125)))</f>
        <v>238</v>
      </c>
      <c r="AE37" s="284">
        <f>IF($U$2="2018年",'Offer Statistics'!CK37,IF($U$2="2019年",'Offer Statistics'!CK81,IF($U$2="2020年",'Offer Statistics'!CK125)))</f>
        <v>302</v>
      </c>
      <c r="AF37" s="284">
        <f>IF($U$2="2018年",'Offer Statistics'!CL37,IF($U$2="2019年",'Offer Statistics'!CL81,IF($U$2="2020年",'Offer Statistics'!CL125)))</f>
        <v>536</v>
      </c>
      <c r="AG37" s="284">
        <f>IF($U$2="2018年",'Offer Statistics'!CM37,IF($U$2="2019年",'Offer Statistics'!CM81,IF($U$2="2020年",'Offer Statistics'!CM125)))</f>
        <v>857</v>
      </c>
      <c r="AH37" s="284">
        <f>IF($U$2="2018年",'Offer Statistics'!CN37,IF($U$2="2019年",'Offer Statistics'!CN81,IF($U$2="2020年",'Offer Statistics'!CN125)))</f>
        <v>847</v>
      </c>
      <c r="AJ37" s="338" t="str">
        <f t="shared" si="2"/>
        <v>JS6731</v>
      </c>
    </row>
    <row r="38" spans="1:36" ht="18" customHeight="1">
      <c r="A38" s="175" t="s">
        <v>265</v>
      </c>
      <c r="B38" s="175" t="s">
        <v>384</v>
      </c>
      <c r="C38" s="175" t="s">
        <v>266</v>
      </c>
      <c r="D38" s="175" t="s">
        <v>2074</v>
      </c>
      <c r="E38" s="338" t="s">
        <v>58</v>
      </c>
      <c r="F38" s="176">
        <v>41</v>
      </c>
      <c r="G38" s="176">
        <v>39</v>
      </c>
      <c r="H38" s="176">
        <v>38</v>
      </c>
      <c r="I38" s="193">
        <f>計分版!D292</f>
        <v>3.7E-9</v>
      </c>
      <c r="J38" s="188">
        <f t="shared" si="7"/>
        <v>-37.999999996299998</v>
      </c>
      <c r="K38" s="189">
        <f t="shared" si="8"/>
        <v>-10270270269.270269</v>
      </c>
      <c r="L38" s="322">
        <v>50</v>
      </c>
      <c r="M38" s="203">
        <f>入學要求!S275</f>
        <v>0</v>
      </c>
      <c r="N38" s="325" t="s">
        <v>360</v>
      </c>
      <c r="O38" s="182">
        <v>4</v>
      </c>
      <c r="P38" s="182">
        <v>5</v>
      </c>
      <c r="Q38" s="182">
        <v>3</v>
      </c>
      <c r="R38" s="182">
        <v>3</v>
      </c>
      <c r="S38" s="182">
        <v>3</v>
      </c>
      <c r="T38" s="182">
        <v>3</v>
      </c>
      <c r="U38" s="501"/>
      <c r="V38" s="322">
        <f>IF($U$2="2018年",'Offer Statistics'!CW38,IF($U$2="2019年",'Offer Statistics'!CW82,IF($U$2="2020年",'Offer Statistics'!CW126)))</f>
        <v>41</v>
      </c>
      <c r="W38" s="284">
        <f>IF($U$2="2018年",'Offer Statistics'!CR38,IF($U$2="2019年",'Offer Statistics'!CR82,IF($U$2="2020年",'Offer Statistics'!CR126)))</f>
        <v>41</v>
      </c>
      <c r="X38" s="284">
        <f>IF($U$2="2018年",'Offer Statistics'!CS38,IF($U$2="2019年",'Offer Statistics'!CS82,IF($U$2="2020年",'Offer Statistics'!CS126)))</f>
        <v>0</v>
      </c>
      <c r="Y38" s="284">
        <f>IF($U$2="2018年",'Offer Statistics'!CT38,IF($U$2="2019年",'Offer Statistics'!CT82,IF($U$2="2020年",'Offer Statistics'!CT126)))</f>
        <v>0</v>
      </c>
      <c r="Z38" s="284">
        <f>IF($U$2="2018年",'Offer Statistics'!CU38,IF($U$2="2019年",'Offer Statistics'!CU82,IF($U$2="2020年",'Offer Statistics'!CU126)))</f>
        <v>0</v>
      </c>
      <c r="AA38" s="284">
        <f>IF($U$2="2018年",'Offer Statistics'!CV38,IF($U$2="2019年",'Offer Statistics'!CV82,IF($U$2="2020年",'Offer Statistics'!CV126)))</f>
        <v>0</v>
      </c>
      <c r="AB38" s="501"/>
      <c r="AC38" s="322">
        <f>IF($U$2="2018年",'Offer Statistics'!CO38,IF($U$2="2019年",'Offer Statistics'!CO82,IF($U$2="2020年",'Offer Statistics'!CO126)))</f>
        <v>453</v>
      </c>
      <c r="AD38" s="284">
        <f>IF($U$2="2018年",'Offer Statistics'!CJ38,IF($U$2="2019年",'Offer Statistics'!CJ82,IF($U$2="2020年",'Offer Statistics'!CJ126)))</f>
        <v>86</v>
      </c>
      <c r="AE38" s="284">
        <f>IF($U$2="2018年",'Offer Statistics'!CK38,IF($U$2="2019年",'Offer Statistics'!CK82,IF($U$2="2020年",'Offer Statistics'!CK126)))</f>
        <v>54</v>
      </c>
      <c r="AF38" s="284">
        <f>IF($U$2="2018年",'Offer Statistics'!CL38,IF($U$2="2019年",'Offer Statistics'!CL82,IF($U$2="2020年",'Offer Statistics'!CL126)))</f>
        <v>69</v>
      </c>
      <c r="AG38" s="284">
        <f>IF($U$2="2018年",'Offer Statistics'!CM38,IF($U$2="2019年",'Offer Statistics'!CM82,IF($U$2="2020年",'Offer Statistics'!CM126)))</f>
        <v>115</v>
      </c>
      <c r="AH38" s="284">
        <f>IF($U$2="2018年",'Offer Statistics'!CN38,IF($U$2="2019年",'Offer Statistics'!CN82,IF($U$2="2020年",'Offer Statistics'!CN126)))</f>
        <v>129</v>
      </c>
      <c r="AJ38" s="338" t="str">
        <f t="shared" si="2"/>
        <v>JS6810</v>
      </c>
    </row>
    <row r="39" spans="1:36" ht="18" customHeight="1">
      <c r="A39" s="175" t="s">
        <v>267</v>
      </c>
      <c r="B39" s="175" t="s">
        <v>384</v>
      </c>
      <c r="C39" s="175" t="s">
        <v>268</v>
      </c>
      <c r="D39" s="175" t="s">
        <v>2075</v>
      </c>
      <c r="E39" s="404" t="s">
        <v>59</v>
      </c>
      <c r="F39" s="176">
        <v>29</v>
      </c>
      <c r="G39" s="176">
        <v>28</v>
      </c>
      <c r="H39" s="176">
        <v>26</v>
      </c>
      <c r="I39" s="193">
        <f>計分版!D293</f>
        <v>3.9500000000000006E-9</v>
      </c>
      <c r="J39" s="188">
        <f t="shared" si="7"/>
        <v>-25.999999996050001</v>
      </c>
      <c r="K39" s="189">
        <f t="shared" si="8"/>
        <v>-6582278480.0126572</v>
      </c>
      <c r="L39" s="322">
        <v>21</v>
      </c>
      <c r="M39" s="203">
        <f>入學要求!S276</f>
        <v>0</v>
      </c>
      <c r="N39" s="371" t="s">
        <v>2194</v>
      </c>
      <c r="O39" s="182">
        <v>3</v>
      </c>
      <c r="P39" s="182">
        <v>3</v>
      </c>
      <c r="Q39" s="182">
        <v>2</v>
      </c>
      <c r="R39" s="182">
        <v>2</v>
      </c>
      <c r="S39" s="182">
        <v>3</v>
      </c>
      <c r="T39" s="182">
        <v>3</v>
      </c>
      <c r="U39" s="501"/>
      <c r="V39" s="322">
        <f>IF($U$2="2018年",'Offer Statistics'!CW39,IF($U$2="2019年",'Offer Statistics'!CW83,IF($U$2="2020年",'Offer Statistics'!CW127)))</f>
        <v>20</v>
      </c>
      <c r="W39" s="284">
        <f>IF($U$2="2018年",'Offer Statistics'!CR39,IF($U$2="2019年",'Offer Statistics'!CR83,IF($U$2="2020年",'Offer Statistics'!CR127)))</f>
        <v>20</v>
      </c>
      <c r="X39" s="284">
        <f>IF($U$2="2018年",'Offer Statistics'!CS39,IF($U$2="2019年",'Offer Statistics'!CS83,IF($U$2="2020年",'Offer Statistics'!CS127)))</f>
        <v>0</v>
      </c>
      <c r="Y39" s="284">
        <f>IF($U$2="2018年",'Offer Statistics'!CT39,IF($U$2="2019年",'Offer Statistics'!CT83,IF($U$2="2020年",'Offer Statistics'!CT127)))</f>
        <v>0</v>
      </c>
      <c r="Z39" s="284">
        <f>IF($U$2="2018年",'Offer Statistics'!CU39,IF($U$2="2019年",'Offer Statistics'!CU83,IF($U$2="2020年",'Offer Statistics'!CU127)))</f>
        <v>0</v>
      </c>
      <c r="AA39" s="284">
        <f>IF($U$2="2018年",'Offer Statistics'!CV39,IF($U$2="2019年",'Offer Statistics'!CV83,IF($U$2="2020年",'Offer Statistics'!CV127)))</f>
        <v>0</v>
      </c>
      <c r="AB39" s="501"/>
      <c r="AC39" s="322">
        <f>IF($U$2="2018年",'Offer Statistics'!CO39,IF($U$2="2019年",'Offer Statistics'!CO83,IF($U$2="2020年",'Offer Statistics'!CO127)))</f>
        <v>1184</v>
      </c>
      <c r="AD39" s="284">
        <f>IF($U$2="2018年",'Offer Statistics'!CJ39,IF($U$2="2019年",'Offer Statistics'!CJ83,IF($U$2="2020年",'Offer Statistics'!CJ127)))</f>
        <v>81</v>
      </c>
      <c r="AE39" s="284">
        <f>IF($U$2="2018年",'Offer Statistics'!CK39,IF($U$2="2019年",'Offer Statistics'!CK83,IF($U$2="2020年",'Offer Statistics'!CK127)))</f>
        <v>115</v>
      </c>
      <c r="AF39" s="284">
        <f>IF($U$2="2018年",'Offer Statistics'!CL39,IF($U$2="2019年",'Offer Statistics'!CL83,IF($U$2="2020年",'Offer Statistics'!CL127)))</f>
        <v>219</v>
      </c>
      <c r="AG39" s="284">
        <f>IF($U$2="2018年",'Offer Statistics'!CM39,IF($U$2="2019年",'Offer Statistics'!CM83,IF($U$2="2020年",'Offer Statistics'!CM127)))</f>
        <v>387</v>
      </c>
      <c r="AH39" s="284">
        <f>IF($U$2="2018年",'Offer Statistics'!CN39,IF($U$2="2019年",'Offer Statistics'!CN83,IF($U$2="2020年",'Offer Statistics'!CN127)))</f>
        <v>382</v>
      </c>
      <c r="AJ39" s="338" t="str">
        <f t="shared" si="2"/>
        <v>JS6822</v>
      </c>
    </row>
    <row r="40" spans="1:36" ht="18" customHeight="1">
      <c r="A40" s="175" t="s">
        <v>232</v>
      </c>
      <c r="B40" s="175" t="s">
        <v>385</v>
      </c>
      <c r="C40" s="10" t="s">
        <v>233</v>
      </c>
      <c r="D40" s="175" t="s">
        <v>2076</v>
      </c>
      <c r="E40" s="404" t="s">
        <v>59</v>
      </c>
      <c r="F40" s="176">
        <v>31</v>
      </c>
      <c r="G40" s="176">
        <v>31</v>
      </c>
      <c r="H40" s="176">
        <v>29</v>
      </c>
      <c r="I40" s="193">
        <f>計分版!D294</f>
        <v>3.9500000000000006E-9</v>
      </c>
      <c r="J40" s="188">
        <f t="shared" si="7"/>
        <v>-28.999999996050001</v>
      </c>
      <c r="K40" s="189">
        <f t="shared" si="8"/>
        <v>-7341772150.8987331</v>
      </c>
      <c r="L40" s="322">
        <v>24</v>
      </c>
      <c r="M40" s="203">
        <f>入學要求!S277</f>
        <v>0</v>
      </c>
      <c r="N40" s="325" t="s">
        <v>2194</v>
      </c>
      <c r="O40" s="182">
        <v>3</v>
      </c>
      <c r="P40" s="182">
        <v>5</v>
      </c>
      <c r="Q40" s="182">
        <v>2</v>
      </c>
      <c r="R40" s="182">
        <v>2</v>
      </c>
      <c r="S40" s="182">
        <v>3</v>
      </c>
      <c r="T40" s="182">
        <v>3</v>
      </c>
      <c r="U40" s="501"/>
      <c r="V40" s="322">
        <f>IF($U$2="2018年",'Offer Statistics'!CW40,IF($U$2="2019年",'Offer Statistics'!CW84,IF($U$2="2020年",'Offer Statistics'!CW128)))</f>
        <v>12</v>
      </c>
      <c r="W40" s="284">
        <f>IF($U$2="2018年",'Offer Statistics'!CR40,IF($U$2="2019年",'Offer Statistics'!CR84,IF($U$2="2020年",'Offer Statistics'!CR128)))</f>
        <v>12</v>
      </c>
      <c r="X40" s="284">
        <f>IF($U$2="2018年",'Offer Statistics'!CS40,IF($U$2="2019年",'Offer Statistics'!CS84,IF($U$2="2020年",'Offer Statistics'!CS128)))</f>
        <v>0</v>
      </c>
      <c r="Y40" s="284">
        <f>IF($U$2="2018年",'Offer Statistics'!CT40,IF($U$2="2019年",'Offer Statistics'!CT84,IF($U$2="2020年",'Offer Statistics'!CT128)))</f>
        <v>0</v>
      </c>
      <c r="Z40" s="284">
        <f>IF($U$2="2018年",'Offer Statistics'!CU40,IF($U$2="2019年",'Offer Statistics'!CU84,IF($U$2="2020年",'Offer Statistics'!CU128)))</f>
        <v>0</v>
      </c>
      <c r="AA40" s="284">
        <f>IF($U$2="2018年",'Offer Statistics'!CV40,IF($U$2="2019年",'Offer Statistics'!CV84,IF($U$2="2020年",'Offer Statistics'!CV128)))</f>
        <v>0</v>
      </c>
      <c r="AB40" s="501"/>
      <c r="AC40" s="322">
        <f>IF($U$2="2018年",'Offer Statistics'!CO40,IF($U$2="2019年",'Offer Statistics'!CO84,IF($U$2="2020年",'Offer Statistics'!CO128)))</f>
        <v>395</v>
      </c>
      <c r="AD40" s="284">
        <f>IF($U$2="2018年",'Offer Statistics'!CJ40,IF($U$2="2019年",'Offer Statistics'!CJ84,IF($U$2="2020年",'Offer Statistics'!CJ128)))</f>
        <v>33</v>
      </c>
      <c r="AE40" s="284">
        <f>IF($U$2="2018年",'Offer Statistics'!CK40,IF($U$2="2019年",'Offer Statistics'!CK84,IF($U$2="2020年",'Offer Statistics'!CK128)))</f>
        <v>26</v>
      </c>
      <c r="AF40" s="284">
        <f>IF($U$2="2018年",'Offer Statistics'!CL40,IF($U$2="2019年",'Offer Statistics'!CL84,IF($U$2="2020年",'Offer Statistics'!CL128)))</f>
        <v>90</v>
      </c>
      <c r="AG40" s="284">
        <f>IF($U$2="2018年",'Offer Statistics'!CM40,IF($U$2="2019年",'Offer Statistics'!CM84,IF($U$2="2020年",'Offer Statistics'!CM128)))</f>
        <v>116</v>
      </c>
      <c r="AH40" s="284">
        <f>IF($U$2="2018年",'Offer Statistics'!CN40,IF($U$2="2019年",'Offer Statistics'!CN84,IF($U$2="2020年",'Offer Statistics'!CN128)))</f>
        <v>130</v>
      </c>
      <c r="AJ40" s="338" t="str">
        <f t="shared" si="2"/>
        <v>JS6212</v>
      </c>
    </row>
    <row r="41" spans="1:36" ht="18" customHeight="1">
      <c r="A41" s="175" t="s">
        <v>234</v>
      </c>
      <c r="B41" s="175" t="s">
        <v>385</v>
      </c>
      <c r="C41" s="175" t="s">
        <v>235</v>
      </c>
      <c r="D41" s="175" t="s">
        <v>1739</v>
      </c>
      <c r="E41" s="437" t="s">
        <v>58</v>
      </c>
      <c r="F41" s="176">
        <v>74</v>
      </c>
      <c r="G41" s="176">
        <v>67</v>
      </c>
      <c r="H41" s="176">
        <v>64</v>
      </c>
      <c r="I41" s="193">
        <f>計分版!D295</f>
        <v>4.4000000000000005E-9</v>
      </c>
      <c r="J41" s="188">
        <f t="shared" si="7"/>
        <v>-63.9999999956</v>
      </c>
      <c r="K41" s="189">
        <f t="shared" si="8"/>
        <v>-14545454544.454544</v>
      </c>
      <c r="L41" s="322">
        <v>15</v>
      </c>
      <c r="M41" s="203">
        <f>入學要求!S278</f>
        <v>0</v>
      </c>
      <c r="N41" s="371" t="s">
        <v>2194</v>
      </c>
      <c r="O41" s="182">
        <v>3</v>
      </c>
      <c r="P41" s="182">
        <v>5</v>
      </c>
      <c r="Q41" s="182">
        <v>4</v>
      </c>
      <c r="R41" s="182">
        <v>2</v>
      </c>
      <c r="S41" s="182">
        <v>3</v>
      </c>
      <c r="T41" s="182">
        <v>3</v>
      </c>
      <c r="U41" s="501"/>
      <c r="V41" s="322">
        <f>IF($U$2="2018年",'Offer Statistics'!CW41,IF($U$2="2019年",'Offer Statistics'!CW85,IF($U$2="2020年",'Offer Statistics'!CW129)))</f>
        <v>16</v>
      </c>
      <c r="W41" s="284">
        <f>IF($U$2="2018年",'Offer Statistics'!CR41,IF($U$2="2019年",'Offer Statistics'!CR85,IF($U$2="2020年",'Offer Statistics'!CR129)))</f>
        <v>16</v>
      </c>
      <c r="X41" s="284">
        <f>IF($U$2="2018年",'Offer Statistics'!CS41,IF($U$2="2019年",'Offer Statistics'!CS85,IF($U$2="2020年",'Offer Statistics'!CS129)))</f>
        <v>0</v>
      </c>
      <c r="Y41" s="284">
        <f>IF($U$2="2018年",'Offer Statistics'!CT41,IF($U$2="2019年",'Offer Statistics'!CT85,IF($U$2="2020年",'Offer Statistics'!CT129)))</f>
        <v>0</v>
      </c>
      <c r="Z41" s="284">
        <f>IF($U$2="2018年",'Offer Statistics'!CU41,IF($U$2="2019年",'Offer Statistics'!CU85,IF($U$2="2020年",'Offer Statistics'!CU129)))</f>
        <v>0</v>
      </c>
      <c r="AA41" s="284">
        <f>IF($U$2="2018年",'Offer Statistics'!CV41,IF($U$2="2019年",'Offer Statistics'!CV85,IF($U$2="2020年",'Offer Statistics'!CV129)))</f>
        <v>0</v>
      </c>
      <c r="AB41" s="501"/>
      <c r="AC41" s="322">
        <f>IF($U$2="2018年",'Offer Statistics'!CO41,IF($U$2="2019年",'Offer Statistics'!CO85,IF($U$2="2020年",'Offer Statistics'!CO129)))</f>
        <v>649</v>
      </c>
      <c r="AD41" s="284">
        <f>IF($U$2="2018年",'Offer Statistics'!CJ41,IF($U$2="2019年",'Offer Statistics'!CJ85,IF($U$2="2020年",'Offer Statistics'!CJ129)))</f>
        <v>68</v>
      </c>
      <c r="AE41" s="284">
        <f>IF($U$2="2018年",'Offer Statistics'!CK41,IF($U$2="2019年",'Offer Statistics'!CK85,IF($U$2="2020年",'Offer Statistics'!CK129)))</f>
        <v>73</v>
      </c>
      <c r="AF41" s="284">
        <f>IF($U$2="2018年",'Offer Statistics'!CL41,IF($U$2="2019年",'Offer Statistics'!CL85,IF($U$2="2020年",'Offer Statistics'!CL129)))</f>
        <v>144</v>
      </c>
      <c r="AG41" s="284">
        <f>IF($U$2="2018年",'Offer Statistics'!CM41,IF($U$2="2019年",'Offer Statistics'!CM85,IF($U$2="2020年",'Offer Statistics'!CM129)))</f>
        <v>184</v>
      </c>
      <c r="AH41" s="284">
        <f>IF($U$2="2018年",'Offer Statistics'!CN41,IF($U$2="2019年",'Offer Statistics'!CN85,IF($U$2="2020年",'Offer Statistics'!CN129)))</f>
        <v>180</v>
      </c>
      <c r="AJ41" s="338" t="str">
        <f t="shared" si="2"/>
        <v>JS6224</v>
      </c>
    </row>
    <row r="42" spans="1:36" ht="18" customHeight="1">
      <c r="A42" s="175" t="s">
        <v>236</v>
      </c>
      <c r="B42" s="175" t="s">
        <v>385</v>
      </c>
      <c r="C42" s="175" t="s">
        <v>237</v>
      </c>
      <c r="D42" s="175" t="s">
        <v>2077</v>
      </c>
      <c r="E42" s="404" t="s">
        <v>58</v>
      </c>
      <c r="F42" s="176" t="s">
        <v>360</v>
      </c>
      <c r="G42" s="176">
        <v>41</v>
      </c>
      <c r="H42" s="176" t="s">
        <v>360</v>
      </c>
      <c r="I42" s="193">
        <f>計分版!D296</f>
        <v>4.450000000000001E-9</v>
      </c>
      <c r="J42" s="188">
        <f>I42-G42</f>
        <v>-40.999999995549999</v>
      </c>
      <c r="K42" s="189">
        <f>(I42-G42)/I42</f>
        <v>-9213483145.0674133</v>
      </c>
      <c r="L42" s="322">
        <v>15</v>
      </c>
      <c r="M42" s="203">
        <f>入學要求!S279</f>
        <v>0</v>
      </c>
      <c r="N42" s="371" t="s">
        <v>2194</v>
      </c>
      <c r="O42" s="182">
        <v>3</v>
      </c>
      <c r="P42" s="182">
        <v>5</v>
      </c>
      <c r="Q42" s="182">
        <v>2</v>
      </c>
      <c r="R42" s="182">
        <v>2</v>
      </c>
      <c r="S42" s="182">
        <v>3</v>
      </c>
      <c r="T42" s="182">
        <v>3</v>
      </c>
      <c r="U42" s="501"/>
      <c r="V42" s="322">
        <f>IF($U$2="2018年",'Offer Statistics'!CW42,IF($U$2="2019年",'Offer Statistics'!CW86,IF($U$2="2020年",'Offer Statistics'!CW130)))</f>
        <v>2</v>
      </c>
      <c r="W42" s="284">
        <f>IF($U$2="2018年",'Offer Statistics'!CR42,IF($U$2="2019年",'Offer Statistics'!CR86,IF($U$2="2020年",'Offer Statistics'!CR130)))</f>
        <v>2</v>
      </c>
      <c r="X42" s="284">
        <f>IF($U$2="2018年",'Offer Statistics'!CS42,IF($U$2="2019年",'Offer Statistics'!CS86,IF($U$2="2020年",'Offer Statistics'!CS130)))</f>
        <v>0</v>
      </c>
      <c r="Y42" s="284">
        <f>IF($U$2="2018年",'Offer Statistics'!CT42,IF($U$2="2019年",'Offer Statistics'!CT86,IF($U$2="2020年",'Offer Statistics'!CT130)))</f>
        <v>0</v>
      </c>
      <c r="Z42" s="284">
        <f>IF($U$2="2018年",'Offer Statistics'!CU42,IF($U$2="2019年",'Offer Statistics'!CU86,IF($U$2="2020年",'Offer Statistics'!CU130)))</f>
        <v>0</v>
      </c>
      <c r="AA42" s="284">
        <f>IF($U$2="2018年",'Offer Statistics'!CV42,IF($U$2="2019年",'Offer Statistics'!CV86,IF($U$2="2020年",'Offer Statistics'!CV130)))</f>
        <v>0</v>
      </c>
      <c r="AB42" s="501"/>
      <c r="AC42" s="322">
        <f>IF($U$2="2018年",'Offer Statistics'!CO42,IF($U$2="2019年",'Offer Statistics'!CO86,IF($U$2="2020年",'Offer Statistics'!CO130)))</f>
        <v>562</v>
      </c>
      <c r="AD42" s="284">
        <f>IF($U$2="2018年",'Offer Statistics'!CJ42,IF($U$2="2019年",'Offer Statistics'!CJ86,IF($U$2="2020年",'Offer Statistics'!CJ130)))</f>
        <v>48</v>
      </c>
      <c r="AE42" s="284">
        <f>IF($U$2="2018年",'Offer Statistics'!CK42,IF($U$2="2019年",'Offer Statistics'!CK86,IF($U$2="2020年",'Offer Statistics'!CK130)))</f>
        <v>78</v>
      </c>
      <c r="AF42" s="284">
        <f>IF($U$2="2018年",'Offer Statistics'!CL42,IF($U$2="2019年",'Offer Statistics'!CL86,IF($U$2="2020年",'Offer Statistics'!CL130)))</f>
        <v>114</v>
      </c>
      <c r="AG42" s="284">
        <f>IF($U$2="2018年",'Offer Statistics'!CM42,IF($U$2="2019年",'Offer Statistics'!CM86,IF($U$2="2020年",'Offer Statistics'!CM130)))</f>
        <v>161</v>
      </c>
      <c r="AH42" s="284">
        <f>IF($U$2="2018年",'Offer Statistics'!CN42,IF($U$2="2019年",'Offer Statistics'!CN86,IF($U$2="2020年",'Offer Statistics'!CN130)))</f>
        <v>161</v>
      </c>
      <c r="AJ42" s="338" t="str">
        <f t="shared" si="2"/>
        <v>JS6236</v>
      </c>
    </row>
    <row r="43" spans="1:36" ht="18" customHeight="1">
      <c r="A43" s="175" t="s">
        <v>238</v>
      </c>
      <c r="B43" s="175" t="s">
        <v>385</v>
      </c>
      <c r="C43" s="175" t="s">
        <v>239</v>
      </c>
      <c r="D43" s="175" t="s">
        <v>2078</v>
      </c>
      <c r="E43" s="338" t="s">
        <v>58</v>
      </c>
      <c r="F43" s="176">
        <v>39</v>
      </c>
      <c r="G43" s="176">
        <v>36</v>
      </c>
      <c r="H43" s="176">
        <v>35</v>
      </c>
      <c r="I43" s="193">
        <f>計分版!D297</f>
        <v>3.8500000000000006E-9</v>
      </c>
      <c r="J43" s="188">
        <f t="shared" si="7"/>
        <v>-34.999999996150002</v>
      </c>
      <c r="K43" s="189">
        <f t="shared" si="8"/>
        <v>-9090909089.90909</v>
      </c>
      <c r="L43" s="322">
        <v>24</v>
      </c>
      <c r="M43" s="203">
        <f>入學要求!S280</f>
        <v>0</v>
      </c>
      <c r="N43" s="371" t="s">
        <v>2194</v>
      </c>
      <c r="O43" s="182">
        <v>3</v>
      </c>
      <c r="P43" s="182">
        <v>5</v>
      </c>
      <c r="Q43" s="182">
        <v>3</v>
      </c>
      <c r="R43" s="182">
        <v>2</v>
      </c>
      <c r="S43" s="182">
        <v>3</v>
      </c>
      <c r="T43" s="182">
        <v>3</v>
      </c>
      <c r="U43" s="501"/>
      <c r="V43" s="322">
        <f>IF($U$2="2018年",'Offer Statistics'!CW43,IF($U$2="2019年",'Offer Statistics'!CW87,IF($U$2="2020年",'Offer Statistics'!CW131)))</f>
        <v>27</v>
      </c>
      <c r="W43" s="284">
        <f>IF($U$2="2018年",'Offer Statistics'!CR43,IF($U$2="2019年",'Offer Statistics'!CR87,IF($U$2="2020年",'Offer Statistics'!CR131)))</f>
        <v>27</v>
      </c>
      <c r="X43" s="284">
        <f>IF($U$2="2018年",'Offer Statistics'!CS43,IF($U$2="2019年",'Offer Statistics'!CS87,IF($U$2="2020年",'Offer Statistics'!CS131)))</f>
        <v>0</v>
      </c>
      <c r="Y43" s="284">
        <f>IF($U$2="2018年",'Offer Statistics'!CT43,IF($U$2="2019年",'Offer Statistics'!CT87,IF($U$2="2020年",'Offer Statistics'!CT131)))</f>
        <v>0</v>
      </c>
      <c r="Z43" s="284">
        <f>IF($U$2="2018年",'Offer Statistics'!CU43,IF($U$2="2019年",'Offer Statistics'!CU87,IF($U$2="2020年",'Offer Statistics'!CU131)))</f>
        <v>0</v>
      </c>
      <c r="AA43" s="284">
        <f>IF($U$2="2018年",'Offer Statistics'!CV43,IF($U$2="2019年",'Offer Statistics'!CV87,IF($U$2="2020年",'Offer Statistics'!CV131)))</f>
        <v>0</v>
      </c>
      <c r="AB43" s="501"/>
      <c r="AC43" s="322">
        <f>IF($U$2="2018年",'Offer Statistics'!CO43,IF($U$2="2019年",'Offer Statistics'!CO87,IF($U$2="2020年",'Offer Statistics'!CO131)))</f>
        <v>353</v>
      </c>
      <c r="AD43" s="284">
        <f>IF($U$2="2018年",'Offer Statistics'!CJ43,IF($U$2="2019年",'Offer Statistics'!CJ87,IF($U$2="2020年",'Offer Statistics'!CJ131)))</f>
        <v>64</v>
      </c>
      <c r="AE43" s="284">
        <f>IF($U$2="2018年",'Offer Statistics'!CK43,IF($U$2="2019年",'Offer Statistics'!CK87,IF($U$2="2020年",'Offer Statistics'!CK131)))</f>
        <v>36</v>
      </c>
      <c r="AF43" s="284">
        <f>IF($U$2="2018年",'Offer Statistics'!CL43,IF($U$2="2019年",'Offer Statistics'!CL87,IF($U$2="2020年",'Offer Statistics'!CL131)))</f>
        <v>71</v>
      </c>
      <c r="AG43" s="284">
        <f>IF($U$2="2018年",'Offer Statistics'!CM43,IF($U$2="2019年",'Offer Statistics'!CM87,IF($U$2="2020年",'Offer Statistics'!CM131)))</f>
        <v>93</v>
      </c>
      <c r="AH43" s="284">
        <f>IF($U$2="2018年",'Offer Statistics'!CN43,IF($U$2="2019年",'Offer Statistics'!CN87,IF($U$2="2020年",'Offer Statistics'!CN131)))</f>
        <v>89</v>
      </c>
      <c r="AJ43" s="338" t="str">
        <f t="shared" si="2"/>
        <v>JS6248</v>
      </c>
    </row>
    <row r="44" spans="1:36" ht="18" customHeight="1">
      <c r="A44" s="175" t="s">
        <v>240</v>
      </c>
      <c r="B44" s="175" t="s">
        <v>385</v>
      </c>
      <c r="C44" s="175" t="s">
        <v>241</v>
      </c>
      <c r="D44" s="175" t="s">
        <v>2079</v>
      </c>
      <c r="E44" s="404" t="s">
        <v>59</v>
      </c>
      <c r="F44" s="176">
        <v>31</v>
      </c>
      <c r="G44" s="176">
        <v>31</v>
      </c>
      <c r="H44" s="176">
        <v>29</v>
      </c>
      <c r="I44" s="193">
        <f>計分版!D298</f>
        <v>3.9500000000000006E-9</v>
      </c>
      <c r="J44" s="188">
        <f t="shared" si="7"/>
        <v>-28.999999996050001</v>
      </c>
      <c r="K44" s="189">
        <f t="shared" si="8"/>
        <v>-7341772150.8987331</v>
      </c>
      <c r="L44" s="322">
        <v>20</v>
      </c>
      <c r="M44" s="126">
        <f>入學要求!S281</f>
        <v>0</v>
      </c>
      <c r="N44" s="371" t="s">
        <v>2194</v>
      </c>
      <c r="O44" s="182">
        <v>3</v>
      </c>
      <c r="P44" s="182">
        <v>5</v>
      </c>
      <c r="Q44" s="182">
        <v>2</v>
      </c>
      <c r="R44" s="182">
        <v>2</v>
      </c>
      <c r="S44" s="182">
        <v>3</v>
      </c>
      <c r="T44" s="182">
        <v>3</v>
      </c>
      <c r="U44" s="501"/>
      <c r="V44" s="322">
        <f>IF($U$2="2018年",'Offer Statistics'!CW44,IF($U$2="2019年",'Offer Statistics'!CW88,IF($U$2="2020年",'Offer Statistics'!CW132)))</f>
        <v>15</v>
      </c>
      <c r="W44" s="284">
        <f>IF($U$2="2018年",'Offer Statistics'!CR44,IF($U$2="2019年",'Offer Statistics'!CR88,IF($U$2="2020年",'Offer Statistics'!CR132)))</f>
        <v>15</v>
      </c>
      <c r="X44" s="284">
        <f>IF($U$2="2018年",'Offer Statistics'!CS44,IF($U$2="2019年",'Offer Statistics'!CS88,IF($U$2="2020年",'Offer Statistics'!CS132)))</f>
        <v>0</v>
      </c>
      <c r="Y44" s="284">
        <f>IF($U$2="2018年",'Offer Statistics'!CT44,IF($U$2="2019年",'Offer Statistics'!CT88,IF($U$2="2020年",'Offer Statistics'!CT132)))</f>
        <v>0</v>
      </c>
      <c r="Z44" s="284">
        <f>IF($U$2="2018年",'Offer Statistics'!CU44,IF($U$2="2019年",'Offer Statistics'!CU88,IF($U$2="2020年",'Offer Statistics'!CU132)))</f>
        <v>0</v>
      </c>
      <c r="AA44" s="284">
        <f>IF($U$2="2018年",'Offer Statistics'!CV44,IF($U$2="2019年",'Offer Statistics'!CV88,IF($U$2="2020年",'Offer Statistics'!CV132)))</f>
        <v>0</v>
      </c>
      <c r="AB44" s="501"/>
      <c r="AC44" s="322">
        <f>IF($U$2="2018年",'Offer Statistics'!CO44,IF($U$2="2019年",'Offer Statistics'!CO88,IF($U$2="2020年",'Offer Statistics'!CO132)))</f>
        <v>435</v>
      </c>
      <c r="AD44" s="284">
        <f>IF($U$2="2018年",'Offer Statistics'!CJ44,IF($U$2="2019年",'Offer Statistics'!CJ88,IF($U$2="2020年",'Offer Statistics'!CJ132)))</f>
        <v>39</v>
      </c>
      <c r="AE44" s="284">
        <f>IF($U$2="2018年",'Offer Statistics'!CK44,IF($U$2="2019年",'Offer Statistics'!CK88,IF($U$2="2020年",'Offer Statistics'!CK132)))</f>
        <v>57</v>
      </c>
      <c r="AF44" s="284">
        <f>IF($U$2="2018年",'Offer Statistics'!CL44,IF($U$2="2019年",'Offer Statistics'!CL88,IF($U$2="2020年",'Offer Statistics'!CL132)))</f>
        <v>94</v>
      </c>
      <c r="AG44" s="284">
        <f>IF($U$2="2018年",'Offer Statistics'!CM44,IF($U$2="2019年",'Offer Statistics'!CM88,IF($U$2="2020年",'Offer Statistics'!CM132)))</f>
        <v>120</v>
      </c>
      <c r="AH44" s="284">
        <f>IF($U$2="2018年",'Offer Statistics'!CN44,IF($U$2="2019年",'Offer Statistics'!CN88,IF($U$2="2020年",'Offer Statistics'!CN132)))</f>
        <v>125</v>
      </c>
      <c r="AJ44" s="338" t="str">
        <f t="shared" si="2"/>
        <v>JS6250</v>
      </c>
    </row>
    <row r="45" spans="1:36" ht="18" customHeight="1">
      <c r="A45" s="187"/>
      <c r="B45" s="187"/>
      <c r="C45" s="187"/>
      <c r="D45" s="187"/>
      <c r="E45" s="272"/>
      <c r="F45" s="35"/>
      <c r="G45" s="35"/>
      <c r="H45" s="35"/>
      <c r="I45" s="35"/>
      <c r="J45" s="36"/>
      <c r="K45" s="37"/>
      <c r="L45" s="35"/>
      <c r="M45" s="187"/>
      <c r="N45" s="35"/>
      <c r="O45" s="35"/>
      <c r="P45" s="35"/>
      <c r="Q45" s="35"/>
      <c r="R45" s="35"/>
      <c r="S45" s="35"/>
      <c r="T45" s="35"/>
      <c r="U45" s="35"/>
      <c r="W45" s="325"/>
    </row>
    <row r="46" spans="1:36" s="187" customFormat="1" ht="18" customHeight="1">
      <c r="A46" s="187" t="s">
        <v>2335</v>
      </c>
      <c r="E46" s="272"/>
      <c r="F46" s="35"/>
      <c r="G46" s="35"/>
      <c r="H46" s="35"/>
      <c r="I46" s="35"/>
      <c r="J46" s="36"/>
      <c r="K46" s="37"/>
      <c r="L46" s="35"/>
      <c r="N46" s="35"/>
      <c r="O46" s="35"/>
      <c r="P46" s="35"/>
      <c r="Q46" s="35"/>
      <c r="R46" s="35"/>
      <c r="S46" s="35"/>
      <c r="T46" s="35"/>
      <c r="U46" s="35"/>
      <c r="V46" s="35"/>
      <c r="W46" s="35"/>
      <c r="X46" s="35"/>
      <c r="Y46" s="35"/>
      <c r="Z46" s="35"/>
      <c r="AA46" s="35"/>
      <c r="AB46" s="35"/>
      <c r="AC46" s="35"/>
      <c r="AD46" s="35"/>
      <c r="AE46" s="35"/>
      <c r="AF46" s="35"/>
      <c r="AG46" s="35"/>
      <c r="AH46" s="35"/>
      <c r="AJ46" s="35"/>
    </row>
    <row r="47" spans="1:36" s="187" customFormat="1" ht="18" customHeight="1">
      <c r="A47" s="187" t="s">
        <v>2196</v>
      </c>
      <c r="E47" s="272"/>
      <c r="F47" s="35"/>
      <c r="G47" s="35"/>
      <c r="H47" s="35"/>
      <c r="I47" s="35"/>
      <c r="J47" s="36"/>
      <c r="K47" s="37"/>
      <c r="L47" s="35"/>
      <c r="N47" s="35"/>
      <c r="O47" s="35"/>
      <c r="P47" s="35"/>
      <c r="Q47" s="35"/>
      <c r="R47" s="35"/>
      <c r="S47" s="35"/>
      <c r="T47" s="35"/>
      <c r="U47" s="35"/>
      <c r="V47" s="35"/>
      <c r="W47" s="35"/>
      <c r="X47" s="35"/>
      <c r="Y47" s="35"/>
      <c r="Z47" s="35"/>
      <c r="AA47" s="35"/>
      <c r="AB47" s="35"/>
      <c r="AC47" s="35"/>
      <c r="AD47" s="35"/>
      <c r="AE47" s="35"/>
      <c r="AF47" s="35"/>
      <c r="AG47" s="35"/>
      <c r="AH47" s="35"/>
      <c r="AJ47" s="35"/>
    </row>
    <row r="48" spans="1:36" s="187" customFormat="1" ht="18" customHeight="1">
      <c r="A48" s="187" t="s">
        <v>1274</v>
      </c>
      <c r="E48" s="272"/>
      <c r="F48" s="35"/>
      <c r="G48" s="35"/>
      <c r="H48" s="35"/>
      <c r="I48" s="35"/>
      <c r="J48" s="36"/>
      <c r="K48" s="37"/>
      <c r="L48" s="35"/>
      <c r="N48" s="35"/>
      <c r="O48" s="35"/>
      <c r="P48" s="35"/>
      <c r="Q48" s="35"/>
      <c r="R48" s="35"/>
      <c r="S48" s="35"/>
      <c r="T48" s="35"/>
      <c r="U48" s="35"/>
      <c r="V48" s="35"/>
      <c r="W48" s="35"/>
      <c r="X48" s="35"/>
      <c r="Y48" s="35"/>
      <c r="Z48" s="35"/>
      <c r="AA48" s="35"/>
      <c r="AB48" s="35"/>
      <c r="AC48" s="35"/>
      <c r="AD48" s="35"/>
      <c r="AE48" s="35"/>
      <c r="AF48" s="35"/>
      <c r="AG48" s="35"/>
      <c r="AH48" s="35"/>
      <c r="AJ48" s="35"/>
    </row>
    <row r="49" spans="1:36" s="187" customFormat="1" ht="18" customHeight="1">
      <c r="A49" s="187" t="s">
        <v>1341</v>
      </c>
      <c r="E49" s="272"/>
      <c r="F49" s="35"/>
      <c r="G49" s="35"/>
      <c r="H49" s="35"/>
      <c r="I49" s="35"/>
      <c r="J49" s="36"/>
      <c r="K49" s="37"/>
      <c r="L49" s="35"/>
      <c r="N49" s="35"/>
      <c r="O49" s="35"/>
      <c r="P49" s="35"/>
      <c r="Q49" s="35"/>
      <c r="R49" s="35"/>
      <c r="S49" s="35"/>
      <c r="T49" s="35"/>
      <c r="U49" s="35"/>
      <c r="V49" s="35"/>
      <c r="W49" s="35"/>
      <c r="X49" s="35"/>
      <c r="Y49" s="35"/>
      <c r="Z49" s="35"/>
      <c r="AA49" s="35"/>
      <c r="AB49" s="35"/>
      <c r="AC49" s="35"/>
      <c r="AD49" s="35"/>
      <c r="AE49" s="35"/>
      <c r="AF49" s="35"/>
      <c r="AG49" s="35"/>
      <c r="AH49" s="35"/>
      <c r="AJ49" s="35"/>
    </row>
    <row r="50" spans="1:36" s="187" customFormat="1" ht="18" customHeight="1">
      <c r="A50" s="187" t="s">
        <v>2212</v>
      </c>
      <c r="C50" s="187" t="s">
        <v>2213</v>
      </c>
      <c r="E50" s="272"/>
      <c r="F50" s="35"/>
      <c r="G50" s="35"/>
      <c r="H50" s="35"/>
      <c r="I50" s="35"/>
      <c r="J50" s="36"/>
      <c r="K50" s="37"/>
      <c r="L50" s="35"/>
      <c r="N50" s="35"/>
      <c r="O50" s="35"/>
      <c r="P50" s="35"/>
      <c r="Q50" s="35"/>
      <c r="R50" s="35"/>
      <c r="S50" s="35"/>
      <c r="T50" s="35"/>
      <c r="U50" s="35"/>
      <c r="V50" s="35"/>
      <c r="W50" s="35"/>
      <c r="X50" s="35"/>
      <c r="Y50" s="35"/>
      <c r="Z50" s="35"/>
      <c r="AA50" s="35"/>
      <c r="AB50" s="35"/>
      <c r="AC50" s="35"/>
      <c r="AD50" s="35"/>
      <c r="AE50" s="35"/>
      <c r="AF50" s="35"/>
      <c r="AG50" s="35"/>
      <c r="AH50" s="35"/>
      <c r="AJ50" s="35"/>
    </row>
    <row r="51" spans="1:36" s="187" customFormat="1" ht="18" customHeight="1">
      <c r="C51" s="187" t="s">
        <v>2214</v>
      </c>
      <c r="E51" s="272"/>
      <c r="F51" s="35"/>
      <c r="G51" s="35"/>
      <c r="H51" s="35"/>
      <c r="I51" s="35"/>
      <c r="J51" s="36"/>
      <c r="K51" s="37"/>
      <c r="L51" s="35"/>
      <c r="N51" s="35"/>
      <c r="O51" s="35"/>
      <c r="P51" s="35"/>
      <c r="Q51" s="35"/>
      <c r="R51" s="35"/>
      <c r="S51" s="35"/>
      <c r="T51" s="35"/>
      <c r="U51" s="35"/>
      <c r="V51" s="35"/>
      <c r="W51" s="35"/>
      <c r="X51" s="35"/>
      <c r="Y51" s="35"/>
      <c r="Z51" s="35"/>
      <c r="AA51" s="35"/>
      <c r="AB51" s="35"/>
      <c r="AC51" s="35"/>
      <c r="AD51" s="35"/>
      <c r="AE51" s="35"/>
      <c r="AF51" s="35"/>
      <c r="AG51" s="35"/>
      <c r="AH51" s="35"/>
      <c r="AJ51" s="35"/>
    </row>
    <row r="52" spans="1:36" s="187" customFormat="1" ht="18" customHeight="1">
      <c r="E52" s="272"/>
      <c r="F52" s="35"/>
      <c r="G52" s="35"/>
      <c r="H52" s="35"/>
      <c r="I52" s="35"/>
      <c r="J52" s="36"/>
      <c r="K52" s="37"/>
      <c r="L52" s="35"/>
      <c r="N52" s="35"/>
      <c r="O52" s="35"/>
      <c r="P52" s="35"/>
      <c r="Q52" s="35"/>
      <c r="R52" s="35"/>
      <c r="S52" s="35"/>
      <c r="T52" s="35"/>
      <c r="U52" s="35"/>
      <c r="V52" s="35"/>
      <c r="W52" s="35"/>
      <c r="X52" s="35"/>
      <c r="Y52" s="35"/>
      <c r="Z52" s="35"/>
      <c r="AA52" s="35"/>
      <c r="AB52" s="35"/>
      <c r="AC52" s="35"/>
      <c r="AD52" s="35"/>
      <c r="AE52" s="35"/>
      <c r="AF52" s="35"/>
      <c r="AG52" s="35"/>
      <c r="AH52" s="35"/>
      <c r="AJ52" s="35"/>
    </row>
    <row r="53" spans="1:36" s="187" customFormat="1" ht="18" customHeight="1">
      <c r="A53" s="187" t="s">
        <v>2352</v>
      </c>
      <c r="E53" s="272"/>
      <c r="F53" s="35"/>
      <c r="G53" s="35"/>
      <c r="H53" s="35"/>
      <c r="I53" s="35"/>
      <c r="J53" s="36"/>
      <c r="K53" s="37"/>
      <c r="L53" s="35"/>
      <c r="N53" s="35"/>
      <c r="O53" s="35"/>
      <c r="P53" s="35"/>
      <c r="Q53" s="35"/>
      <c r="R53" s="35"/>
      <c r="S53" s="35"/>
      <c r="T53" s="35"/>
      <c r="U53" s="35"/>
      <c r="V53" s="35"/>
      <c r="W53" s="35"/>
      <c r="X53" s="35"/>
      <c r="Y53" s="35"/>
      <c r="Z53" s="35"/>
      <c r="AA53" s="35"/>
      <c r="AB53" s="35"/>
      <c r="AC53" s="35"/>
      <c r="AD53" s="35"/>
      <c r="AE53" s="35"/>
      <c r="AF53" s="35"/>
      <c r="AG53" s="35"/>
      <c r="AH53" s="35"/>
      <c r="AJ53" s="35"/>
    </row>
    <row r="54" spans="1:36" s="187" customFormat="1" ht="18" customHeight="1">
      <c r="E54" s="272"/>
      <c r="F54" s="35"/>
      <c r="G54" s="35"/>
      <c r="H54" s="35"/>
      <c r="I54" s="35"/>
      <c r="J54" s="36"/>
      <c r="K54" s="37"/>
      <c r="L54" s="35"/>
      <c r="N54" s="35"/>
      <c r="O54" s="35"/>
      <c r="P54" s="35"/>
      <c r="Q54" s="35"/>
      <c r="R54" s="35"/>
      <c r="S54" s="35"/>
      <c r="T54" s="35"/>
      <c r="U54" s="35"/>
      <c r="V54" s="35"/>
      <c r="W54" s="35"/>
      <c r="X54" s="35"/>
      <c r="Y54" s="35"/>
      <c r="Z54" s="35"/>
      <c r="AA54" s="35"/>
      <c r="AB54" s="35"/>
      <c r="AC54" s="35"/>
      <c r="AD54" s="35"/>
      <c r="AE54" s="35"/>
      <c r="AF54" s="35"/>
      <c r="AG54" s="35"/>
      <c r="AH54" s="35"/>
      <c r="AJ54" s="35"/>
    </row>
    <row r="55" spans="1:36" s="187" customFormat="1" ht="18" customHeight="1">
      <c r="A55" s="4" t="s">
        <v>2243</v>
      </c>
      <c r="E55" s="272"/>
      <c r="F55" s="35"/>
      <c r="G55" s="35"/>
      <c r="H55" s="35"/>
      <c r="I55" s="35"/>
      <c r="J55" s="36"/>
      <c r="K55" s="37"/>
      <c r="L55" s="35"/>
      <c r="N55" s="35"/>
      <c r="O55" s="35"/>
      <c r="P55" s="35"/>
      <c r="Q55" s="35"/>
      <c r="R55" s="35"/>
      <c r="S55" s="35"/>
      <c r="T55" s="35"/>
      <c r="U55" s="35"/>
      <c r="V55" s="35"/>
      <c r="W55" s="35"/>
      <c r="X55" s="35"/>
      <c r="Y55" s="35"/>
      <c r="Z55" s="35"/>
      <c r="AA55" s="35"/>
      <c r="AB55" s="35"/>
      <c r="AC55" s="35"/>
      <c r="AD55" s="35"/>
      <c r="AE55" s="35"/>
      <c r="AF55" s="35"/>
      <c r="AG55" s="35"/>
      <c r="AH55" s="35"/>
      <c r="AJ55" s="35"/>
    </row>
    <row r="56" spans="1:36" s="187" customFormat="1" ht="18" customHeight="1">
      <c r="A56" s="175" t="s">
        <v>2336</v>
      </c>
      <c r="E56" s="272"/>
      <c r="F56" s="35"/>
      <c r="G56" s="35"/>
      <c r="H56" s="35"/>
      <c r="I56" s="35"/>
      <c r="J56" s="36"/>
      <c r="K56" s="37"/>
      <c r="L56" s="35"/>
      <c r="N56" s="35"/>
      <c r="O56" s="35"/>
      <c r="P56" s="35"/>
      <c r="Q56" s="35"/>
      <c r="R56" s="35"/>
      <c r="S56" s="35"/>
      <c r="T56" s="35"/>
      <c r="U56" s="35"/>
      <c r="V56" s="35"/>
      <c r="W56" s="35"/>
      <c r="X56" s="35"/>
      <c r="Y56" s="35"/>
      <c r="Z56" s="35"/>
      <c r="AA56" s="35"/>
      <c r="AB56" s="35"/>
      <c r="AC56" s="35"/>
      <c r="AD56" s="35"/>
      <c r="AE56" s="35"/>
      <c r="AF56" s="35"/>
      <c r="AG56" s="35"/>
      <c r="AH56" s="35"/>
      <c r="AJ56" s="35"/>
    </row>
    <row r="57" spans="1:36" s="187" customFormat="1" ht="18" customHeight="1">
      <c r="A57" s="175" t="s">
        <v>2337</v>
      </c>
      <c r="E57" s="272"/>
      <c r="F57" s="35"/>
      <c r="G57" s="35"/>
      <c r="H57" s="35"/>
      <c r="I57" s="35"/>
      <c r="J57" s="36"/>
      <c r="K57" s="37"/>
      <c r="L57" s="35"/>
      <c r="N57" s="35"/>
      <c r="O57" s="35"/>
      <c r="P57" s="35"/>
      <c r="Q57" s="35"/>
      <c r="R57" s="35"/>
      <c r="S57" s="35"/>
      <c r="T57" s="35"/>
      <c r="U57" s="35"/>
      <c r="V57" s="35"/>
      <c r="W57" s="35"/>
      <c r="X57" s="35"/>
      <c r="Y57" s="35"/>
      <c r="Z57" s="35"/>
      <c r="AA57" s="35"/>
      <c r="AB57" s="35"/>
      <c r="AC57" s="35"/>
      <c r="AD57" s="35"/>
      <c r="AE57" s="35"/>
      <c r="AF57" s="35"/>
      <c r="AG57" s="35"/>
      <c r="AH57" s="35"/>
      <c r="AJ57" s="35"/>
    </row>
    <row r="58" spans="1:36" s="187" customFormat="1" ht="18" customHeight="1">
      <c r="A58" s="175"/>
      <c r="B58" s="187" t="s">
        <v>2338</v>
      </c>
      <c r="C58" s="187" t="s">
        <v>2339</v>
      </c>
      <c r="E58" s="272"/>
      <c r="F58" s="35"/>
      <c r="G58" s="35"/>
      <c r="H58" s="35"/>
      <c r="I58" s="35"/>
      <c r="J58" s="36"/>
      <c r="K58" s="37"/>
      <c r="L58" s="35"/>
      <c r="N58" s="35"/>
      <c r="O58" s="35"/>
      <c r="P58" s="35"/>
      <c r="Q58" s="35"/>
      <c r="R58" s="35"/>
      <c r="S58" s="35"/>
      <c r="T58" s="35"/>
      <c r="U58" s="35"/>
      <c r="V58" s="35"/>
      <c r="W58" s="35"/>
      <c r="X58" s="35"/>
      <c r="Y58" s="35"/>
      <c r="Z58" s="35"/>
      <c r="AA58" s="35"/>
      <c r="AB58" s="35"/>
      <c r="AC58" s="35"/>
      <c r="AD58" s="35"/>
      <c r="AE58" s="35"/>
      <c r="AF58" s="35"/>
      <c r="AG58" s="35"/>
      <c r="AH58" s="35"/>
      <c r="AJ58" s="35"/>
    </row>
    <row r="59" spans="1:36" s="187" customFormat="1" ht="18" customHeight="1">
      <c r="C59" s="187" t="s">
        <v>2340</v>
      </c>
      <c r="E59" s="272"/>
      <c r="F59" s="35"/>
      <c r="G59" s="35"/>
      <c r="H59" s="35"/>
      <c r="I59" s="35"/>
      <c r="J59" s="36"/>
      <c r="K59" s="37"/>
      <c r="L59" s="35"/>
      <c r="N59" s="35"/>
      <c r="O59" s="35"/>
      <c r="P59" s="35"/>
      <c r="Q59" s="35"/>
      <c r="R59" s="35"/>
      <c r="S59" s="35"/>
      <c r="T59" s="35"/>
      <c r="U59" s="35"/>
      <c r="V59" s="35"/>
      <c r="W59" s="35"/>
      <c r="X59" s="35"/>
      <c r="Y59" s="35"/>
      <c r="Z59" s="35"/>
      <c r="AA59" s="35"/>
      <c r="AB59" s="35"/>
      <c r="AC59" s="35"/>
      <c r="AD59" s="35"/>
      <c r="AE59" s="35"/>
      <c r="AF59" s="35"/>
      <c r="AG59" s="35"/>
      <c r="AH59" s="35"/>
      <c r="AJ59" s="35"/>
    </row>
    <row r="60" spans="1:36" s="187" customFormat="1" ht="18" customHeight="1">
      <c r="B60" s="187" t="s">
        <v>2341</v>
      </c>
      <c r="C60" s="187" t="s">
        <v>2342</v>
      </c>
      <c r="E60" s="272"/>
      <c r="F60" s="35"/>
      <c r="G60" s="35"/>
      <c r="H60" s="35"/>
      <c r="I60" s="35"/>
      <c r="J60" s="36"/>
      <c r="K60" s="37"/>
      <c r="L60" s="35"/>
      <c r="N60" s="35"/>
      <c r="O60" s="35"/>
      <c r="P60" s="35"/>
      <c r="Q60" s="35"/>
      <c r="R60" s="35"/>
      <c r="S60" s="35"/>
      <c r="T60" s="35"/>
      <c r="U60" s="35"/>
      <c r="V60" s="35"/>
      <c r="W60" s="35"/>
      <c r="X60" s="35"/>
      <c r="Y60" s="35"/>
      <c r="Z60" s="35"/>
      <c r="AA60" s="35"/>
      <c r="AB60" s="35"/>
      <c r="AC60" s="35"/>
      <c r="AD60" s="35"/>
      <c r="AE60" s="35"/>
      <c r="AF60" s="35"/>
      <c r="AG60" s="35"/>
      <c r="AH60" s="35"/>
      <c r="AJ60" s="35"/>
    </row>
    <row r="61" spans="1:36" s="187" customFormat="1" ht="18" customHeight="1">
      <c r="C61" s="187" t="s">
        <v>2343</v>
      </c>
      <c r="E61" s="272"/>
      <c r="F61" s="35"/>
      <c r="G61" s="35"/>
      <c r="H61" s="35"/>
      <c r="I61" s="35"/>
      <c r="J61" s="36"/>
      <c r="K61" s="37"/>
      <c r="L61" s="35"/>
      <c r="N61" s="35"/>
      <c r="O61" s="35"/>
      <c r="P61" s="35"/>
      <c r="Q61" s="35"/>
      <c r="R61" s="35"/>
      <c r="S61" s="35"/>
      <c r="T61" s="35"/>
      <c r="U61" s="35"/>
      <c r="V61" s="35"/>
      <c r="W61" s="35"/>
      <c r="X61" s="35"/>
      <c r="Y61" s="35"/>
      <c r="Z61" s="35"/>
      <c r="AA61" s="35"/>
      <c r="AB61" s="35"/>
      <c r="AC61" s="35"/>
      <c r="AD61" s="35"/>
      <c r="AE61" s="35"/>
      <c r="AF61" s="35"/>
      <c r="AG61" s="35"/>
      <c r="AH61" s="35"/>
      <c r="AJ61" s="35"/>
    </row>
    <row r="62" spans="1:36" s="187" customFormat="1" ht="18" customHeight="1">
      <c r="E62" s="272"/>
      <c r="F62" s="35"/>
      <c r="G62" s="35"/>
      <c r="H62" s="35"/>
      <c r="I62" s="35"/>
      <c r="J62" s="36"/>
      <c r="K62" s="37"/>
      <c r="L62" s="35"/>
      <c r="N62" s="35"/>
      <c r="O62" s="35"/>
      <c r="P62" s="35"/>
      <c r="Q62" s="35"/>
      <c r="R62" s="35"/>
      <c r="S62" s="35"/>
      <c r="T62" s="35"/>
      <c r="U62" s="35"/>
      <c r="V62" s="35"/>
      <c r="W62" s="35"/>
      <c r="X62" s="35"/>
      <c r="Y62" s="35"/>
      <c r="Z62" s="35"/>
      <c r="AA62" s="35"/>
      <c r="AB62" s="35"/>
      <c r="AC62" s="35"/>
      <c r="AD62" s="35"/>
      <c r="AE62" s="35"/>
      <c r="AF62" s="35"/>
      <c r="AG62" s="35"/>
      <c r="AH62" s="35"/>
      <c r="AJ62" s="35"/>
    </row>
    <row r="63" spans="1:36" s="187" customFormat="1" ht="18" customHeight="1">
      <c r="A63" s="31" t="s">
        <v>1147</v>
      </c>
      <c r="E63" s="272"/>
      <c r="F63" s="35"/>
      <c r="G63" s="35"/>
      <c r="H63" s="35"/>
      <c r="I63" s="35"/>
      <c r="J63" s="36"/>
      <c r="K63" s="37"/>
      <c r="L63" s="35"/>
      <c r="N63" s="35"/>
      <c r="O63" s="35"/>
      <c r="P63" s="35"/>
      <c r="Q63" s="35"/>
      <c r="R63" s="35"/>
      <c r="S63" s="35"/>
      <c r="T63" s="35"/>
      <c r="U63" s="35"/>
      <c r="V63" s="35"/>
      <c r="W63" s="35"/>
      <c r="X63" s="35"/>
      <c r="Y63" s="35"/>
      <c r="Z63" s="35"/>
      <c r="AA63" s="35"/>
      <c r="AB63" s="35"/>
      <c r="AC63" s="35"/>
      <c r="AD63" s="35"/>
      <c r="AE63" s="35"/>
      <c r="AF63" s="35"/>
      <c r="AG63" s="35"/>
      <c r="AH63" s="35"/>
      <c r="AJ63" s="35"/>
    </row>
    <row r="64" spans="1:36" s="187" customFormat="1" ht="18" customHeight="1">
      <c r="A64" s="194" t="s">
        <v>2218</v>
      </c>
      <c r="E64" s="272"/>
      <c r="F64" s="35"/>
      <c r="G64" s="35"/>
      <c r="H64" s="35"/>
      <c r="I64" s="35"/>
      <c r="J64" s="36"/>
      <c r="K64" s="37"/>
      <c r="L64" s="35"/>
      <c r="N64" s="35"/>
      <c r="O64" s="35"/>
      <c r="P64" s="35"/>
      <c r="Q64" s="35"/>
      <c r="R64" s="35"/>
      <c r="S64" s="35"/>
      <c r="T64" s="35"/>
      <c r="U64" s="35"/>
      <c r="V64" s="35"/>
      <c r="W64" s="35"/>
      <c r="X64" s="35"/>
      <c r="Y64" s="35"/>
      <c r="Z64" s="35"/>
      <c r="AA64" s="35"/>
      <c r="AB64" s="35"/>
      <c r="AC64" s="35"/>
      <c r="AD64" s="35"/>
      <c r="AE64" s="35"/>
      <c r="AF64" s="35"/>
      <c r="AG64" s="35"/>
      <c r="AH64" s="35"/>
      <c r="AJ64" s="35"/>
    </row>
    <row r="65" spans="1:36" ht="18" customHeight="1">
      <c r="A65" s="194" t="s">
        <v>2351</v>
      </c>
      <c r="B65" s="187"/>
      <c r="C65" s="187"/>
      <c r="D65" s="187"/>
      <c r="E65" s="272"/>
      <c r="F65" s="35"/>
      <c r="G65" s="35"/>
      <c r="H65" s="35"/>
      <c r="I65" s="35"/>
      <c r="J65" s="36"/>
      <c r="K65" s="37"/>
      <c r="L65" s="35"/>
      <c r="M65" s="187"/>
      <c r="N65" s="35"/>
      <c r="O65" s="35"/>
      <c r="P65" s="35"/>
      <c r="Q65" s="35"/>
      <c r="R65" s="35"/>
      <c r="S65" s="35"/>
      <c r="T65" s="35"/>
      <c r="U65" s="35"/>
      <c r="V65" s="430"/>
      <c r="W65" s="430"/>
      <c r="X65" s="430"/>
      <c r="Y65" s="430"/>
      <c r="Z65" s="430"/>
      <c r="AA65" s="430"/>
      <c r="AB65" s="430"/>
      <c r="AC65" s="430"/>
      <c r="AD65" s="430"/>
      <c r="AE65" s="430"/>
      <c r="AF65" s="430"/>
      <c r="AG65" s="430"/>
      <c r="AH65" s="430"/>
      <c r="AJ65" s="430"/>
    </row>
    <row r="66" spans="1:36" ht="18" customHeight="1">
      <c r="A66" s="194" t="s">
        <v>2217</v>
      </c>
      <c r="B66" s="187"/>
      <c r="C66" s="187"/>
      <c r="D66" s="187"/>
      <c r="E66" s="272"/>
      <c r="F66" s="35"/>
      <c r="G66" s="35"/>
      <c r="H66" s="35"/>
      <c r="I66" s="35"/>
      <c r="J66" s="36"/>
      <c r="K66" s="37"/>
      <c r="L66" s="35"/>
      <c r="M66" s="187"/>
      <c r="N66" s="35"/>
      <c r="O66" s="35"/>
      <c r="P66" s="35"/>
      <c r="Q66" s="35"/>
      <c r="R66" s="35"/>
      <c r="S66" s="35"/>
      <c r="T66" s="35"/>
      <c r="U66" s="35"/>
      <c r="W66" s="325"/>
    </row>
    <row r="67" spans="1:36" ht="18" customHeight="1">
      <c r="A67" s="194" t="s">
        <v>2216</v>
      </c>
      <c r="B67" s="187"/>
      <c r="C67" s="187"/>
      <c r="D67" s="187"/>
      <c r="E67" s="272"/>
      <c r="F67" s="35"/>
      <c r="G67" s="35"/>
      <c r="H67" s="35"/>
      <c r="I67" s="35"/>
      <c r="J67" s="36"/>
      <c r="K67" s="37"/>
      <c r="L67" s="35"/>
      <c r="M67" s="187"/>
      <c r="N67" s="35"/>
      <c r="O67" s="35"/>
      <c r="P67" s="35"/>
      <c r="Q67" s="35"/>
      <c r="R67" s="35"/>
      <c r="S67" s="35"/>
      <c r="T67" s="35"/>
      <c r="U67" s="35"/>
      <c r="W67" s="325"/>
    </row>
    <row r="68" spans="1:36" ht="18" customHeight="1">
      <c r="A68" s="194" t="s">
        <v>2215</v>
      </c>
      <c r="B68" s="187"/>
      <c r="C68" s="187"/>
      <c r="D68" s="187"/>
      <c r="E68" s="272"/>
      <c r="F68" s="35"/>
      <c r="G68" s="35"/>
      <c r="H68" s="35"/>
      <c r="I68" s="35"/>
      <c r="J68" s="36"/>
      <c r="K68" s="37"/>
      <c r="L68" s="35"/>
      <c r="M68" s="187"/>
      <c r="N68" s="35"/>
      <c r="O68" s="35"/>
      <c r="P68" s="35"/>
      <c r="Q68" s="35"/>
      <c r="R68" s="35"/>
      <c r="S68" s="35"/>
      <c r="T68" s="35"/>
      <c r="U68" s="35"/>
      <c r="W68" s="325"/>
    </row>
    <row r="69" spans="1:36" ht="18" customHeight="1">
      <c r="A69" s="194"/>
      <c r="B69" s="187"/>
      <c r="C69" s="187"/>
      <c r="D69" s="187"/>
      <c r="E69" s="272"/>
      <c r="F69" s="35"/>
      <c r="G69" s="35"/>
      <c r="H69" s="35"/>
      <c r="I69" s="35"/>
      <c r="J69" s="36"/>
      <c r="K69" s="37"/>
      <c r="L69" s="35"/>
      <c r="M69" s="187"/>
      <c r="N69" s="35"/>
      <c r="O69" s="35"/>
      <c r="P69" s="35"/>
      <c r="Q69" s="35"/>
      <c r="R69" s="35"/>
      <c r="S69" s="35"/>
      <c r="T69" s="35"/>
      <c r="U69" s="35"/>
      <c r="W69" s="325"/>
    </row>
    <row r="70" spans="1:36"/>
    <row r="71" spans="1:36"/>
  </sheetData>
  <sortState xmlns:xlrd2="http://schemas.microsoft.com/office/spreadsheetml/2017/richdata2" ref="A1:U43">
    <sortCondition ref="B1"/>
  </sortState>
  <mergeCells count="4">
    <mergeCell ref="J1:K1"/>
    <mergeCell ref="L7:L9"/>
    <mergeCell ref="U2:U44"/>
    <mergeCell ref="AB2:AB44"/>
  </mergeCells>
  <phoneticPr fontId="2" type="noConversion"/>
  <conditionalFormatting sqref="J2:K22 J24:K44">
    <cfRule type="cellIs" dxfId="269" priority="236" operator="equal">
      <formula>"/"</formula>
    </cfRule>
    <cfRule type="cellIs" dxfId="268" priority="240" operator="lessThan">
      <formula>0</formula>
    </cfRule>
    <cfRule type="cellIs" dxfId="267" priority="241" operator="greaterThan">
      <formula>0</formula>
    </cfRule>
  </conditionalFormatting>
  <conditionalFormatting sqref="F2:F22 F24:F44">
    <cfRule type="expression" dxfId="266" priority="235">
      <formula>$J$1="差距(UQ)"</formula>
    </cfRule>
  </conditionalFormatting>
  <conditionalFormatting sqref="G2:G22 G24:G44">
    <cfRule type="expression" dxfId="265" priority="234">
      <formula>$J$1="差距(Median)"</formula>
    </cfRule>
  </conditionalFormatting>
  <conditionalFormatting sqref="H2:H22 H24:H44">
    <cfRule type="expression" dxfId="264" priority="173">
      <formula>$J$1="差距(LQ)"</formula>
    </cfRule>
  </conditionalFormatting>
  <conditionalFormatting sqref="M2:M3 M20:M22 M5:M18 M24:M44">
    <cfRule type="cellIs" dxfId="263" priority="170" operator="equal">
      <formula>2</formula>
    </cfRule>
    <cfRule type="cellIs" dxfId="262" priority="171" operator="equal">
      <formula>1</formula>
    </cfRule>
    <cfRule type="cellIs" dxfId="261" priority="172" operator="equal">
      <formula>0</formula>
    </cfRule>
  </conditionalFormatting>
  <conditionalFormatting sqref="M19">
    <cfRule type="cellIs" dxfId="260" priority="83" operator="equal">
      <formula>2</formula>
    </cfRule>
    <cfRule type="cellIs" dxfId="259" priority="84" operator="equal">
      <formula>1</formula>
    </cfRule>
    <cfRule type="cellIs" dxfId="258" priority="85" operator="equal">
      <formula>0</formula>
    </cfRule>
  </conditionalFormatting>
  <conditionalFormatting sqref="M4">
    <cfRule type="cellIs" dxfId="257" priority="72" operator="equal">
      <formula>2</formula>
    </cfRule>
    <cfRule type="cellIs" dxfId="256" priority="81" operator="equal">
      <formula>1</formula>
    </cfRule>
    <cfRule type="cellIs" dxfId="255" priority="82" operator="equal">
      <formula>0</formula>
    </cfRule>
  </conditionalFormatting>
  <conditionalFormatting sqref="F23">
    <cfRule type="expression" dxfId="254" priority="71">
      <formula>$J$1="差距(UQ)"</formula>
    </cfRule>
  </conditionalFormatting>
  <conditionalFormatting sqref="G23">
    <cfRule type="expression" dxfId="253" priority="70">
      <formula>$J$1="差距(Median)"</formula>
    </cfRule>
  </conditionalFormatting>
  <conditionalFormatting sqref="H23">
    <cfRule type="expression" dxfId="252" priority="69">
      <formula>$J$1="差距(LQ)"</formula>
    </cfRule>
  </conditionalFormatting>
  <conditionalFormatting sqref="J23:K23">
    <cfRule type="cellIs" dxfId="251" priority="66" operator="equal">
      <formula>"/"</formula>
    </cfRule>
    <cfRule type="cellIs" dxfId="250" priority="67" operator="lessThan">
      <formula>0</formula>
    </cfRule>
    <cfRule type="cellIs" dxfId="249" priority="68" operator="greaterThan">
      <formula>0</formula>
    </cfRule>
  </conditionalFormatting>
  <conditionalFormatting sqref="M23">
    <cfRule type="cellIs" dxfId="248" priority="63" operator="equal">
      <formula>2</formula>
    </cfRule>
    <cfRule type="cellIs" dxfId="247" priority="64" operator="equal">
      <formula>1</formula>
    </cfRule>
    <cfRule type="cellIs" dxfId="246" priority="65" operator="equal">
      <formula>0</formula>
    </cfRule>
  </conditionalFormatting>
  <conditionalFormatting sqref="V3:AA44 V2:AB2 AC2:XFD44 M8:N9 A2:N7 A8:K9 A10:N44">
    <cfRule type="expression" dxfId="245" priority="5282">
      <formula>MOD(ROW(),2)=0</formula>
    </cfRule>
  </conditionalFormatting>
  <conditionalFormatting sqref="U2">
    <cfRule type="expression" dxfId="244" priority="15">
      <formula>MOD(ROW(),2)=0</formula>
    </cfRule>
  </conditionalFormatting>
  <conditionalFormatting sqref="U2 AB2 AI2:AI44">
    <cfRule type="expression" dxfId="243" priority="14">
      <formula>TRUE</formula>
    </cfRule>
  </conditionalFormatting>
  <hyperlinks>
    <hyperlink ref="A68" r:id="rId1" xr:uid="{00000000-0004-0000-0C00-000000000000}"/>
    <hyperlink ref="A67" r:id="rId2" xr:uid="{00000000-0004-0000-0C00-000001000000}"/>
    <hyperlink ref="A66" r:id="rId3" xr:uid="{00000000-0004-0000-0C00-000002000000}"/>
    <hyperlink ref="A64" r:id="rId4" xr:uid="{00000000-0004-0000-0C00-000003000000}"/>
    <hyperlink ref="A65" r:id="rId5" xr:uid="{00000000-0004-0000-0C00-000004000000}"/>
  </hyperlinks>
  <pageMargins left="0.7" right="0.7" top="0.75" bottom="0.75" header="0.3" footer="0.3"/>
  <pageSetup paperSize="9" orientation="portrait" r:id="rId6"/>
  <legacyDrawing r:id="rId7"/>
  <extLst>
    <ext xmlns:x14="http://schemas.microsoft.com/office/spreadsheetml/2009/9/main" uri="{78C0D931-6437-407d-A8EE-F0AAD7539E65}">
      <x14:conditionalFormattings>
        <x14:conditionalFormatting xmlns:xm="http://schemas.microsoft.com/office/excel/2006/main">
          <x14:cfRule type="expression" priority="1" id="{DD1A06C6-0328-4F62-AAA6-67C119282B12}">
            <xm:f>入學要求!L239=0</xm:f>
            <x14:dxf>
              <font>
                <color rgb="FF9C0006"/>
              </font>
              <fill>
                <patternFill>
                  <bgColor rgb="FFFFC7CE"/>
                </patternFill>
              </fill>
            </x14:dxf>
          </x14:cfRule>
          <x14:cfRule type="expression" priority="2" id="{8355E38D-F1A5-497B-A248-D59FE968888D}">
            <xm:f>入學要求!L239=2</xm:f>
            <x14:dxf>
              <font>
                <color rgb="FF9C5700"/>
              </font>
              <fill>
                <patternFill>
                  <bgColor rgb="FFFFEB9C"/>
                </patternFill>
              </fill>
            </x14:dxf>
          </x14:cfRule>
          <x14:cfRule type="expression" priority="3" id="{6204D0CB-C290-4F34-94AC-CD1CD83CC8EB}">
            <xm:f>入學要求!L239=1</xm:f>
            <x14:dxf>
              <font>
                <color rgb="FF006100"/>
              </font>
              <fill>
                <patternFill>
                  <bgColor rgb="FFC6EFCE"/>
                </patternFill>
              </fill>
            </x14:dxf>
          </x14:cfRule>
          <xm:sqref>O2:T44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選單!$J$1:$J$3</xm:f>
          </x14:formula1>
          <xm:sqref>J1</xm:sqref>
        </x14:dataValidation>
        <x14:dataValidation type="list" allowBlank="1" showInputMessage="1" showErrorMessage="1" xr:uid="{00000000-0002-0000-0C00-000001000000}">
          <x14:formula1>
            <xm:f>選單!$I$1:$I$3</xm:f>
          </x14:formula1>
          <xm:sqref>U2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工作表11"/>
  <dimension ref="A1:AS72"/>
  <sheetViews>
    <sheetView zoomScaleNormal="100" workbookViewId="0">
      <pane ySplit="1" topLeftCell="A2" activePane="bottomLeft" state="frozen"/>
      <selection pane="bottomLeft"/>
    </sheetView>
  </sheetViews>
  <sheetFormatPr defaultColWidth="0" defaultRowHeight="13.8" zeroHeight="1"/>
  <cols>
    <col min="1" max="1" width="7.109375" style="2" customWidth="1"/>
    <col min="2" max="2" width="9.109375" style="2" customWidth="1"/>
    <col min="3" max="3" width="25.77734375" style="2" customWidth="1"/>
    <col min="4" max="4" width="10.6640625" style="2" hidden="1" customWidth="1"/>
    <col min="5" max="7" width="7.77734375" style="52" customWidth="1"/>
    <col min="8" max="8" width="7.77734375" style="2" customWidth="1"/>
    <col min="9" max="10" width="7.6640625" style="2" customWidth="1"/>
    <col min="11" max="11" width="4.88671875" style="2" customWidth="1"/>
    <col min="12" max="12" width="4.6640625" style="405" customWidth="1"/>
    <col min="13" max="13" width="9.77734375" style="2" customWidth="1"/>
    <col min="14" max="18" width="2.21875" style="2" customWidth="1"/>
    <col min="19" max="19" width="9" style="323" customWidth="1"/>
    <col min="20" max="20" width="6.33203125" style="182" customWidth="1"/>
    <col min="21" max="25" width="6.33203125" style="323" customWidth="1"/>
    <col min="26" max="26" width="9" style="182" customWidth="1"/>
    <col min="27" max="32" width="6.33203125" style="182" customWidth="1"/>
    <col min="33" max="33" width="3.77734375" style="182" customWidth="1"/>
    <col min="34" max="34" width="8.109375" style="182" customWidth="1"/>
    <col min="35" max="45" width="0" style="179" hidden="1" customWidth="1"/>
    <col min="46" max="16384" width="4.88671875" style="179" hidden="1"/>
  </cols>
  <sheetData>
    <row r="1" spans="1:34" s="59" customFormat="1" ht="18" customHeight="1">
      <c r="A1" s="57" t="s">
        <v>203</v>
      </c>
      <c r="B1" s="57" t="s">
        <v>298</v>
      </c>
      <c r="C1" s="57" t="s">
        <v>367</v>
      </c>
      <c r="D1" s="57"/>
      <c r="E1" s="58" t="s">
        <v>204</v>
      </c>
      <c r="F1" s="339" t="s">
        <v>300</v>
      </c>
      <c r="G1" s="339" t="s">
        <v>301</v>
      </c>
      <c r="H1" s="58" t="s">
        <v>205</v>
      </c>
      <c r="I1" s="509" t="s">
        <v>363</v>
      </c>
      <c r="J1" s="509"/>
      <c r="K1" s="58" t="s">
        <v>361</v>
      </c>
      <c r="L1" s="408" t="s">
        <v>376</v>
      </c>
      <c r="M1" s="58" t="s">
        <v>2189</v>
      </c>
      <c r="N1" s="58" t="s">
        <v>369</v>
      </c>
      <c r="O1" s="58" t="s">
        <v>370</v>
      </c>
      <c r="P1" s="58" t="s">
        <v>371</v>
      </c>
      <c r="Q1" s="58" t="s">
        <v>372</v>
      </c>
      <c r="R1" s="58" t="s">
        <v>373</v>
      </c>
      <c r="S1" s="326" t="s">
        <v>2029</v>
      </c>
      <c r="T1" s="326" t="s">
        <v>2027</v>
      </c>
      <c r="U1" s="326" t="s">
        <v>2021</v>
      </c>
      <c r="V1" s="326" t="s">
        <v>2022</v>
      </c>
      <c r="W1" s="326" t="s">
        <v>2023</v>
      </c>
      <c r="X1" s="326" t="s">
        <v>2024</v>
      </c>
      <c r="Y1" s="326" t="s">
        <v>2025</v>
      </c>
      <c r="Z1" s="326" t="s">
        <v>2038</v>
      </c>
      <c r="AA1" s="326" t="s">
        <v>2027</v>
      </c>
      <c r="AB1" s="326" t="s">
        <v>2021</v>
      </c>
      <c r="AC1" s="326" t="s">
        <v>2022</v>
      </c>
      <c r="AD1" s="326" t="s">
        <v>2023</v>
      </c>
      <c r="AE1" s="326" t="s">
        <v>2024</v>
      </c>
      <c r="AF1" s="326" t="s">
        <v>2025</v>
      </c>
      <c r="AG1" s="347"/>
      <c r="AH1" s="347"/>
    </row>
    <row r="2" spans="1:34" s="175" customFormat="1" ht="18" customHeight="1">
      <c r="A2" s="5" t="s">
        <v>1039</v>
      </c>
      <c r="B2" s="5" t="s">
        <v>878</v>
      </c>
      <c r="C2" s="5" t="s">
        <v>842</v>
      </c>
      <c r="D2" s="5" t="s">
        <v>1687</v>
      </c>
      <c r="E2" s="437" t="s">
        <v>189</v>
      </c>
      <c r="F2" s="7">
        <v>26.5</v>
      </c>
      <c r="G2" s="7">
        <v>26</v>
      </c>
      <c r="H2" s="71">
        <f>計分版!D301</f>
        <v>3.9500000000000006E-9</v>
      </c>
      <c r="I2" s="39">
        <f t="shared" ref="I2:I13" si="0">IF(I$1="差距(Median)",H2-F2,IF(I$1="差距(LQ)",H2-G2))</f>
        <v>-26.499999996050001</v>
      </c>
      <c r="J2" s="40">
        <f t="shared" ref="J2:J13" si="1">IF(I$1="差距(Median)",(H2-F2)/H2,IF(I$1="差距(LQ)",(H2-G2)/H2))</f>
        <v>-6708860758.4936695</v>
      </c>
      <c r="K2" s="101">
        <v>45</v>
      </c>
      <c r="L2" s="380">
        <f>入學要求!S285</f>
        <v>0</v>
      </c>
      <c r="M2" s="503" t="s">
        <v>2188</v>
      </c>
      <c r="N2" s="182">
        <v>3</v>
      </c>
      <c r="O2" s="182">
        <v>3</v>
      </c>
      <c r="P2" s="182">
        <v>3</v>
      </c>
      <c r="Q2" s="182">
        <v>3</v>
      </c>
      <c r="R2" s="182">
        <v>3</v>
      </c>
      <c r="S2" s="501" t="s">
        <v>2030</v>
      </c>
      <c r="T2" s="322">
        <f>IF($S$2="2018年",'Offer Statistics'!DN2,IF($S$2="2019年",'Offer Statistics'!DN15,IF($S$2="2020年",'Offer Statistics'!DN28)))</f>
        <v>50</v>
      </c>
      <c r="U2" s="284">
        <f>IF($S$2="2018年",'Offer Statistics'!DI2,IF($S$2="2019年",'Offer Statistics'!DI15,IF($S$2="2020年",'Offer Statistics'!DI28)))</f>
        <v>39</v>
      </c>
      <c r="V2" s="284">
        <f>IF($S$2="2018年",'Offer Statistics'!DJ2,IF($S$2="2019年",'Offer Statistics'!DJ15,IF($S$2="2020年",'Offer Statistics'!DJ28)))</f>
        <v>11</v>
      </c>
      <c r="W2" s="284">
        <f>IF($S$2="2018年",'Offer Statistics'!DK2,IF($S$2="2019年",'Offer Statistics'!DK15,IF($S$2="2020年",'Offer Statistics'!DK28)))</f>
        <v>0</v>
      </c>
      <c r="X2" s="284">
        <f>IF($S$2="2018年",'Offer Statistics'!DL2,IF($S$2="2019年",'Offer Statistics'!DL15,IF($S$2="2020年",'Offer Statistics'!DL28)))</f>
        <v>0</v>
      </c>
      <c r="Y2" s="284">
        <f>IF($S$2="2018年",'Offer Statistics'!DM2,IF($S$2="2019年",'Offer Statistics'!DM15,IF($S$2="2020年",'Offer Statistics'!DM28)))</f>
        <v>0</v>
      </c>
      <c r="Z2" s="501" t="str">
        <f>S2</f>
        <v>2020年</v>
      </c>
      <c r="AA2" s="322">
        <f>IF($S$2="2018年",'Offer Statistics'!DF2,IF($S$2="2019年",'Offer Statistics'!DF15,IF($S$2="2020年",'Offer Statistics'!DF28)))</f>
        <v>2233</v>
      </c>
      <c r="AB2" s="284">
        <f>IF($S$2="2018年",'Offer Statistics'!DA2,IF($S$2="2019年",'Offer Statistics'!DA15,IF($S$2="2020年",'Offer Statistics'!DA28)))</f>
        <v>338</v>
      </c>
      <c r="AC2" s="284">
        <f>IF($S$2="2018年",'Offer Statistics'!DB2,IF($S$2="2019年",'Offer Statistics'!DB15,IF($S$2="2020年",'Offer Statistics'!DB28)))</f>
        <v>429</v>
      </c>
      <c r="AD2" s="284">
        <f>IF($S$2="2018年",'Offer Statistics'!DC2,IF($S$2="2019年",'Offer Statistics'!DC15,IF($S$2="2020年",'Offer Statistics'!DC28)))</f>
        <v>503</v>
      </c>
      <c r="AE2" s="284">
        <f>IF($S$2="2018年",'Offer Statistics'!DD2,IF($S$2="2019年",'Offer Statistics'!DD15,IF($S$2="2020年",'Offer Statistics'!DD28)))</f>
        <v>546</v>
      </c>
      <c r="AF2" s="284">
        <f>IF($S$2="2018年",'Offer Statistics'!DE2,IF($S$2="2019年",'Offer Statistics'!DE15,IF($S$2="2020年",'Offer Statistics'!DE28)))</f>
        <v>417</v>
      </c>
      <c r="AG2" s="325"/>
      <c r="AH2" s="325" t="str">
        <f>A2</f>
        <v>JS7101</v>
      </c>
    </row>
    <row r="3" spans="1:34" s="175" customFormat="1" ht="18" customHeight="1">
      <c r="A3" s="5" t="s">
        <v>1040</v>
      </c>
      <c r="B3" s="5" t="s">
        <v>879</v>
      </c>
      <c r="C3" s="5" t="s">
        <v>854</v>
      </c>
      <c r="D3" s="5" t="s">
        <v>1689</v>
      </c>
      <c r="E3" s="437" t="s">
        <v>189</v>
      </c>
      <c r="F3" s="7">
        <v>25</v>
      </c>
      <c r="G3" s="7">
        <v>24</v>
      </c>
      <c r="H3" s="71">
        <f>計分版!D302</f>
        <v>3.9500000000000006E-9</v>
      </c>
      <c r="I3" s="39">
        <f>IF(I$1="差距(Median)",H3-F3,IF(I$1="差距(LQ)",H3-G3))</f>
        <v>-24.999999996050001</v>
      </c>
      <c r="J3" s="40">
        <f t="shared" si="1"/>
        <v>-6329113923.0506325</v>
      </c>
      <c r="K3" s="101">
        <v>15</v>
      </c>
      <c r="L3" s="381">
        <f>入學要求!S286</f>
        <v>0</v>
      </c>
      <c r="M3" s="503"/>
      <c r="N3" s="182">
        <v>3</v>
      </c>
      <c r="O3" s="182">
        <v>3</v>
      </c>
      <c r="P3" s="182">
        <v>3</v>
      </c>
      <c r="Q3" s="182">
        <v>3</v>
      </c>
      <c r="R3" s="182">
        <v>3</v>
      </c>
      <c r="S3" s="501"/>
      <c r="T3" s="322">
        <f>IF($S$2="2018年",'Offer Statistics'!DN3,IF($S$2="2019年",'Offer Statistics'!DN16,IF($S$2="2020年",'Offer Statistics'!DN29)))</f>
        <v>18</v>
      </c>
      <c r="U3" s="284">
        <f>IF($S$2="2018年",'Offer Statistics'!DI3,IF($S$2="2019年",'Offer Statistics'!DI16,IF($S$2="2020年",'Offer Statistics'!DI29)))</f>
        <v>18</v>
      </c>
      <c r="V3" s="284">
        <f>IF($S$2="2018年",'Offer Statistics'!DJ3,IF($S$2="2019年",'Offer Statistics'!DJ16,IF($S$2="2020年",'Offer Statistics'!DJ29)))</f>
        <v>0</v>
      </c>
      <c r="W3" s="284">
        <f>IF($S$2="2018年",'Offer Statistics'!DK3,IF($S$2="2019年",'Offer Statistics'!DK16,IF($S$2="2020年",'Offer Statistics'!DK29)))</f>
        <v>0</v>
      </c>
      <c r="X3" s="284">
        <f>IF($S$2="2018年",'Offer Statistics'!DL3,IF($S$2="2019年",'Offer Statistics'!DL16,IF($S$2="2020年",'Offer Statistics'!DL29)))</f>
        <v>0</v>
      </c>
      <c r="Y3" s="284">
        <f>IF($S$2="2018年",'Offer Statistics'!DM3,IF($S$2="2019年",'Offer Statistics'!DM16,IF($S$2="2020年",'Offer Statistics'!DM29)))</f>
        <v>0</v>
      </c>
      <c r="Z3" s="501"/>
      <c r="AA3" s="322">
        <f>IF($S$2="2018年",'Offer Statistics'!DF3,IF($S$2="2019年",'Offer Statistics'!DF16,IF($S$2="2020年",'Offer Statistics'!DF29)))</f>
        <v>1560</v>
      </c>
      <c r="AB3" s="284">
        <f>IF($S$2="2018年",'Offer Statistics'!DA3,IF($S$2="2019年",'Offer Statistics'!DA16,IF($S$2="2020年",'Offer Statistics'!DA29)))</f>
        <v>435</v>
      </c>
      <c r="AC3" s="284">
        <f>IF($S$2="2018年",'Offer Statistics'!DB3,IF($S$2="2019年",'Offer Statistics'!DB16,IF($S$2="2020年",'Offer Statistics'!DB29)))</f>
        <v>354</v>
      </c>
      <c r="AD3" s="284">
        <f>IF($S$2="2018年",'Offer Statistics'!DC3,IF($S$2="2019年",'Offer Statistics'!DC16,IF($S$2="2020年",'Offer Statistics'!DC29)))</f>
        <v>280</v>
      </c>
      <c r="AE3" s="284">
        <f>IF($S$2="2018年",'Offer Statistics'!DD3,IF($S$2="2019年",'Offer Statistics'!DD16,IF($S$2="2020年",'Offer Statistics'!DD29)))</f>
        <v>282</v>
      </c>
      <c r="AF3" s="284">
        <f>IF($S$2="2018年",'Offer Statistics'!DE3,IF($S$2="2019年",'Offer Statistics'!DE16,IF($S$2="2020年",'Offer Statistics'!DE29)))</f>
        <v>209</v>
      </c>
      <c r="AG3" s="325"/>
      <c r="AH3" s="338" t="str">
        <f t="shared" ref="AH3:AH13" si="2">A3</f>
        <v>JS7123</v>
      </c>
    </row>
    <row r="4" spans="1:34" s="175" customFormat="1" ht="18" customHeight="1">
      <c r="A4" s="5" t="s">
        <v>1041</v>
      </c>
      <c r="B4" s="5" t="s">
        <v>779</v>
      </c>
      <c r="C4" s="5" t="s">
        <v>849</v>
      </c>
      <c r="D4" s="5" t="s">
        <v>1691</v>
      </c>
      <c r="E4" s="437" t="s">
        <v>189</v>
      </c>
      <c r="F4" s="7">
        <v>24.5</v>
      </c>
      <c r="G4" s="7">
        <v>24</v>
      </c>
      <c r="H4" s="71">
        <f>計分版!D303</f>
        <v>3.9500000000000006E-9</v>
      </c>
      <c r="I4" s="39">
        <f t="shared" si="0"/>
        <v>-24.499999996050001</v>
      </c>
      <c r="J4" s="40">
        <f t="shared" si="1"/>
        <v>-6202531644.5696192</v>
      </c>
      <c r="K4" s="101">
        <v>144</v>
      </c>
      <c r="L4" s="381">
        <f>入學要求!S287</f>
        <v>0</v>
      </c>
      <c r="M4" s="503"/>
      <c r="N4" s="182">
        <v>3</v>
      </c>
      <c r="O4" s="182">
        <v>3</v>
      </c>
      <c r="P4" s="182">
        <v>3</v>
      </c>
      <c r="Q4" s="182">
        <v>3</v>
      </c>
      <c r="R4" s="182">
        <v>3</v>
      </c>
      <c r="S4" s="501"/>
      <c r="T4" s="322">
        <f>IF($S$2="2018年",'Offer Statistics'!DN4,IF($S$2="2019年",'Offer Statistics'!DN17,IF($S$2="2020年",'Offer Statistics'!DN30)))</f>
        <v>189</v>
      </c>
      <c r="U4" s="284">
        <f>IF($S$2="2018年",'Offer Statistics'!DI4,IF($S$2="2019年",'Offer Statistics'!DI17,IF($S$2="2020年",'Offer Statistics'!DI30)))</f>
        <v>115</v>
      </c>
      <c r="V4" s="284">
        <f>IF($S$2="2018年",'Offer Statistics'!DJ4,IF($S$2="2019年",'Offer Statistics'!DJ17,IF($S$2="2020年",'Offer Statistics'!DJ30)))</f>
        <v>48</v>
      </c>
      <c r="W4" s="284">
        <f>IF($S$2="2018年",'Offer Statistics'!DK4,IF($S$2="2019年",'Offer Statistics'!DK17,IF($S$2="2020年",'Offer Statistics'!DK30)))</f>
        <v>12</v>
      </c>
      <c r="X4" s="284">
        <f>IF($S$2="2018年",'Offer Statistics'!DL4,IF($S$2="2019年",'Offer Statistics'!DL17,IF($S$2="2020年",'Offer Statistics'!DL30)))</f>
        <v>5</v>
      </c>
      <c r="Y4" s="284">
        <f>IF($S$2="2018年",'Offer Statistics'!DM4,IF($S$2="2019年",'Offer Statistics'!DM17,IF($S$2="2020年",'Offer Statistics'!DM30)))</f>
        <v>9</v>
      </c>
      <c r="Z4" s="501"/>
      <c r="AA4" s="322">
        <f>IF($S$2="2018年",'Offer Statistics'!DF4,IF($S$2="2019年",'Offer Statistics'!DF17,IF($S$2="2020年",'Offer Statistics'!DF30)))</f>
        <v>4634</v>
      </c>
      <c r="AB4" s="284">
        <f>IF($S$2="2018年",'Offer Statistics'!DA4,IF($S$2="2019年",'Offer Statistics'!DA17,IF($S$2="2020年",'Offer Statistics'!DA30)))</f>
        <v>811</v>
      </c>
      <c r="AC4" s="284">
        <f>IF($S$2="2018年",'Offer Statistics'!DB4,IF($S$2="2019年",'Offer Statistics'!DB17,IF($S$2="2020年",'Offer Statistics'!DB30)))</f>
        <v>938</v>
      </c>
      <c r="AD4" s="284">
        <f>IF($S$2="2018年",'Offer Statistics'!DC4,IF($S$2="2019年",'Offer Statistics'!DC17,IF($S$2="2020年",'Offer Statistics'!DC30)))</f>
        <v>966</v>
      </c>
      <c r="AE4" s="284">
        <f>IF($S$2="2018年",'Offer Statistics'!DD4,IF($S$2="2019年",'Offer Statistics'!DD17,IF($S$2="2020年",'Offer Statistics'!DD30)))</f>
        <v>1013</v>
      </c>
      <c r="AF4" s="284">
        <f>IF($S$2="2018年",'Offer Statistics'!DE4,IF($S$2="2019年",'Offer Statistics'!DE17,IF($S$2="2020年",'Offer Statistics'!DE30)))</f>
        <v>906</v>
      </c>
      <c r="AG4" s="325"/>
      <c r="AH4" s="338" t="str">
        <f t="shared" si="2"/>
        <v>JS7200</v>
      </c>
    </row>
    <row r="5" spans="1:34" s="175" customFormat="1" ht="18" customHeight="1">
      <c r="A5" s="5" t="s">
        <v>1042</v>
      </c>
      <c r="B5" s="5" t="s">
        <v>878</v>
      </c>
      <c r="C5" s="5" t="s">
        <v>843</v>
      </c>
      <c r="D5" s="5" t="s">
        <v>1693</v>
      </c>
      <c r="E5" s="437" t="s">
        <v>189</v>
      </c>
      <c r="F5" s="7">
        <v>26.5</v>
      </c>
      <c r="G5" s="7">
        <v>26</v>
      </c>
      <c r="H5" s="71">
        <f>計分版!D304</f>
        <v>3.9500000000000006E-9</v>
      </c>
      <c r="I5" s="39">
        <f t="shared" si="0"/>
        <v>-26.499999996050001</v>
      </c>
      <c r="J5" s="40">
        <f t="shared" si="1"/>
        <v>-6708860758.4936695</v>
      </c>
      <c r="K5" s="101">
        <v>43</v>
      </c>
      <c r="L5" s="381">
        <f>入學要求!S288</f>
        <v>0</v>
      </c>
      <c r="M5" s="503"/>
      <c r="N5" s="182">
        <v>3</v>
      </c>
      <c r="O5" s="182">
        <v>3</v>
      </c>
      <c r="P5" s="182">
        <v>3</v>
      </c>
      <c r="Q5" s="182">
        <v>3</v>
      </c>
      <c r="R5" s="182">
        <v>3</v>
      </c>
      <c r="S5" s="501"/>
      <c r="T5" s="322">
        <f>IF($S$2="2018年",'Offer Statistics'!DN5,IF($S$2="2019年",'Offer Statistics'!DN18,IF($S$2="2020年",'Offer Statistics'!DN31)))</f>
        <v>37</v>
      </c>
      <c r="U5" s="284">
        <f>IF($S$2="2018年",'Offer Statistics'!DI5,IF($S$2="2019年",'Offer Statistics'!DI18,IF($S$2="2020年",'Offer Statistics'!DI31)))</f>
        <v>27</v>
      </c>
      <c r="V5" s="284">
        <f>IF($S$2="2018年",'Offer Statistics'!DJ5,IF($S$2="2019年",'Offer Statistics'!DJ18,IF($S$2="2020年",'Offer Statistics'!DJ31)))</f>
        <v>5</v>
      </c>
      <c r="W5" s="284">
        <f>IF($S$2="2018年",'Offer Statistics'!DK5,IF($S$2="2019年",'Offer Statistics'!DK18,IF($S$2="2020年",'Offer Statistics'!DK31)))</f>
        <v>1</v>
      </c>
      <c r="X5" s="284">
        <f>IF($S$2="2018年",'Offer Statistics'!DL5,IF($S$2="2019年",'Offer Statistics'!DL18,IF($S$2="2020年",'Offer Statistics'!DL31)))</f>
        <v>3</v>
      </c>
      <c r="Y5" s="284">
        <f>IF($S$2="2018年",'Offer Statistics'!DM5,IF($S$2="2019年",'Offer Statistics'!DM18,IF($S$2="2020年",'Offer Statistics'!DM31)))</f>
        <v>1</v>
      </c>
      <c r="Z5" s="501"/>
      <c r="AA5" s="322">
        <f>IF($S$2="2018年",'Offer Statistics'!DF5,IF($S$2="2019年",'Offer Statistics'!DF18,IF($S$2="2020年",'Offer Statistics'!DF31)))</f>
        <v>2012</v>
      </c>
      <c r="AB5" s="284">
        <f>IF($S$2="2018年",'Offer Statistics'!DA5,IF($S$2="2019年",'Offer Statistics'!DA18,IF($S$2="2020年",'Offer Statistics'!DA31)))</f>
        <v>208</v>
      </c>
      <c r="AC5" s="284">
        <f>IF($S$2="2018年",'Offer Statistics'!DB5,IF($S$2="2019年",'Offer Statistics'!DB18,IF($S$2="2020年",'Offer Statistics'!DB31)))</f>
        <v>333</v>
      </c>
      <c r="AD5" s="284">
        <f>IF($S$2="2018年",'Offer Statistics'!DC5,IF($S$2="2019年",'Offer Statistics'!DC18,IF($S$2="2020年",'Offer Statistics'!DC31)))</f>
        <v>453</v>
      </c>
      <c r="AE5" s="284">
        <f>IF($S$2="2018年",'Offer Statistics'!DD5,IF($S$2="2019年",'Offer Statistics'!DD18,IF($S$2="2020年",'Offer Statistics'!DD31)))</f>
        <v>538</v>
      </c>
      <c r="AF5" s="284">
        <f>IF($S$2="2018年",'Offer Statistics'!DE5,IF($S$2="2019年",'Offer Statistics'!DE18,IF($S$2="2020年",'Offer Statistics'!DE31)))</f>
        <v>480</v>
      </c>
      <c r="AG5" s="325"/>
      <c r="AH5" s="338" t="str">
        <f t="shared" si="2"/>
        <v>JS7204</v>
      </c>
    </row>
    <row r="6" spans="1:34" s="175" customFormat="1" ht="18" customHeight="1">
      <c r="A6" s="5" t="s">
        <v>1043</v>
      </c>
      <c r="B6" s="5" t="s">
        <v>779</v>
      </c>
      <c r="C6" s="5" t="s">
        <v>850</v>
      </c>
      <c r="D6" s="5" t="s">
        <v>1695</v>
      </c>
      <c r="E6" s="437" t="s">
        <v>189</v>
      </c>
      <c r="F6" s="7">
        <v>24</v>
      </c>
      <c r="G6" s="7">
        <v>23.5</v>
      </c>
      <c r="H6" s="71">
        <f>計分版!D305</f>
        <v>3.9500000000000006E-9</v>
      </c>
      <c r="I6" s="39">
        <f t="shared" si="0"/>
        <v>-23.999999996050001</v>
      </c>
      <c r="J6" s="40">
        <f t="shared" si="1"/>
        <v>-6075949366.0886068</v>
      </c>
      <c r="K6" s="101">
        <v>25</v>
      </c>
      <c r="L6" s="381">
        <f>入學要求!S289</f>
        <v>0</v>
      </c>
      <c r="M6" s="503"/>
      <c r="N6" s="182">
        <v>3</v>
      </c>
      <c r="O6" s="182">
        <v>3</v>
      </c>
      <c r="P6" s="182">
        <v>3</v>
      </c>
      <c r="Q6" s="182">
        <v>3</v>
      </c>
      <c r="R6" s="182">
        <v>3</v>
      </c>
      <c r="S6" s="501"/>
      <c r="T6" s="322">
        <f>IF($S$2="2018年",'Offer Statistics'!DN6,IF($S$2="2019年",'Offer Statistics'!DN19,IF($S$2="2020年",'Offer Statistics'!DN32)))</f>
        <v>36</v>
      </c>
      <c r="U6" s="284">
        <f>IF($S$2="2018年",'Offer Statistics'!DI6,IF($S$2="2019年",'Offer Statistics'!DI19,IF($S$2="2020年",'Offer Statistics'!DI32)))</f>
        <v>18</v>
      </c>
      <c r="V6" s="284">
        <f>IF($S$2="2018年",'Offer Statistics'!DJ6,IF($S$2="2019年",'Offer Statistics'!DJ19,IF($S$2="2020年",'Offer Statistics'!DJ32)))</f>
        <v>11</v>
      </c>
      <c r="W6" s="284">
        <f>IF($S$2="2018年",'Offer Statistics'!DK6,IF($S$2="2019年",'Offer Statistics'!DK19,IF($S$2="2020年",'Offer Statistics'!DK32)))</f>
        <v>6</v>
      </c>
      <c r="X6" s="284">
        <f>IF($S$2="2018年",'Offer Statistics'!DL6,IF($S$2="2019年",'Offer Statistics'!DL19,IF($S$2="2020年",'Offer Statistics'!DL32)))</f>
        <v>1</v>
      </c>
      <c r="Y6" s="284">
        <f>IF($S$2="2018年",'Offer Statistics'!DM6,IF($S$2="2019年",'Offer Statistics'!DM19,IF($S$2="2020年",'Offer Statistics'!DM32)))</f>
        <v>0</v>
      </c>
      <c r="Z6" s="501"/>
      <c r="AA6" s="322">
        <f>IF($S$2="2018年",'Offer Statistics'!DF6,IF($S$2="2019年",'Offer Statistics'!DF19,IF($S$2="2020年",'Offer Statistics'!DF32)))</f>
        <v>2299</v>
      </c>
      <c r="AB6" s="284">
        <f>IF($S$2="2018年",'Offer Statistics'!DA6,IF($S$2="2019年",'Offer Statistics'!DA19,IF($S$2="2020年",'Offer Statistics'!DA32)))</f>
        <v>203</v>
      </c>
      <c r="AC6" s="284">
        <f>IF($S$2="2018年",'Offer Statistics'!DB6,IF($S$2="2019年",'Offer Statistics'!DB19,IF($S$2="2020年",'Offer Statistics'!DB32)))</f>
        <v>379</v>
      </c>
      <c r="AD6" s="284">
        <f>IF($S$2="2018年",'Offer Statistics'!DC6,IF($S$2="2019年",'Offer Statistics'!DC19,IF($S$2="2020年",'Offer Statistics'!DC32)))</f>
        <v>499</v>
      </c>
      <c r="AE6" s="284">
        <f>IF($S$2="2018年",'Offer Statistics'!DD6,IF($S$2="2019年",'Offer Statistics'!DD19,IF($S$2="2020年",'Offer Statistics'!DD32)))</f>
        <v>628</v>
      </c>
      <c r="AF6" s="284">
        <f>IF($S$2="2018年",'Offer Statistics'!DE6,IF($S$2="2019年",'Offer Statistics'!DE19,IF($S$2="2020年",'Offer Statistics'!DE32)))</f>
        <v>590</v>
      </c>
      <c r="AG6" s="325"/>
      <c r="AH6" s="338" t="str">
        <f t="shared" si="2"/>
        <v>JS7216</v>
      </c>
    </row>
    <row r="7" spans="1:34" s="175" customFormat="1" ht="18" customHeight="1">
      <c r="A7" s="5" t="s">
        <v>875</v>
      </c>
      <c r="B7" s="5" t="s">
        <v>779</v>
      </c>
      <c r="C7" s="5" t="s">
        <v>851</v>
      </c>
      <c r="D7" s="5" t="s">
        <v>1698</v>
      </c>
      <c r="E7" s="437" t="s">
        <v>189</v>
      </c>
      <c r="F7" s="7">
        <v>29</v>
      </c>
      <c r="G7" s="7">
        <v>28</v>
      </c>
      <c r="H7" s="71">
        <f>計分版!D306</f>
        <v>3.9500000000000006E-9</v>
      </c>
      <c r="I7" s="39">
        <f t="shared" si="0"/>
        <v>-28.999999996050001</v>
      </c>
      <c r="J7" s="40">
        <f t="shared" si="1"/>
        <v>-7341772150.8987331</v>
      </c>
      <c r="K7" s="101">
        <v>25</v>
      </c>
      <c r="L7" s="381">
        <f>入學要求!S290</f>
        <v>0</v>
      </c>
      <c r="M7" s="503"/>
      <c r="N7" s="182">
        <v>3</v>
      </c>
      <c r="O7" s="182">
        <v>3</v>
      </c>
      <c r="P7" s="182">
        <v>3</v>
      </c>
      <c r="Q7" s="182">
        <v>3</v>
      </c>
      <c r="R7" s="182">
        <v>3</v>
      </c>
      <c r="S7" s="501"/>
      <c r="T7" s="322">
        <f>IF($S$2="2018年",'Offer Statistics'!DN7,IF($S$2="2019年",'Offer Statistics'!DN20,IF($S$2="2020年",'Offer Statistics'!DN33)))</f>
        <v>26</v>
      </c>
      <c r="U7" s="284">
        <f>IF($S$2="2018年",'Offer Statistics'!DI7,IF($S$2="2019年",'Offer Statistics'!DI20,IF($S$2="2020年",'Offer Statistics'!DI33)))</f>
        <v>20</v>
      </c>
      <c r="V7" s="284">
        <f>IF($S$2="2018年",'Offer Statistics'!DJ7,IF($S$2="2019年",'Offer Statistics'!DJ20,IF($S$2="2020年",'Offer Statistics'!DJ33)))</f>
        <v>5</v>
      </c>
      <c r="W7" s="284">
        <f>IF($S$2="2018年",'Offer Statistics'!DK7,IF($S$2="2019年",'Offer Statistics'!DK20,IF($S$2="2020年",'Offer Statistics'!DK33)))</f>
        <v>0</v>
      </c>
      <c r="X7" s="284">
        <f>IF($S$2="2018年",'Offer Statistics'!DL7,IF($S$2="2019年",'Offer Statistics'!DL20,IF($S$2="2020年",'Offer Statistics'!DL33)))</f>
        <v>1</v>
      </c>
      <c r="Y7" s="284">
        <f>IF($S$2="2018年",'Offer Statistics'!DM7,IF($S$2="2019年",'Offer Statistics'!DM20,IF($S$2="2020年",'Offer Statistics'!DM33)))</f>
        <v>0</v>
      </c>
      <c r="Z7" s="501"/>
      <c r="AA7" s="322">
        <f>IF($S$2="2018年",'Offer Statistics'!DF7,IF($S$2="2019年",'Offer Statistics'!DF20,IF($S$2="2020年",'Offer Statistics'!DF33)))</f>
        <v>1420</v>
      </c>
      <c r="AB7" s="284">
        <f>IF($S$2="2018年",'Offer Statistics'!DA7,IF($S$2="2019年",'Offer Statistics'!DA20,IF($S$2="2020年",'Offer Statistics'!DA33)))</f>
        <v>169</v>
      </c>
      <c r="AC7" s="284">
        <f>IF($S$2="2018年",'Offer Statistics'!DB7,IF($S$2="2019年",'Offer Statistics'!DB20,IF($S$2="2020年",'Offer Statistics'!DB33)))</f>
        <v>236</v>
      </c>
      <c r="AD7" s="284">
        <f>IF($S$2="2018年",'Offer Statistics'!DC7,IF($S$2="2019年",'Offer Statistics'!DC20,IF($S$2="2020年",'Offer Statistics'!DC33)))</f>
        <v>264</v>
      </c>
      <c r="AE7" s="284">
        <f>IF($S$2="2018年",'Offer Statistics'!DD7,IF($S$2="2019年",'Offer Statistics'!DD20,IF($S$2="2020年",'Offer Statistics'!DD33)))</f>
        <v>387</v>
      </c>
      <c r="AF7" s="284">
        <f>IF($S$2="2018年",'Offer Statistics'!DE7,IF($S$2="2019年",'Offer Statistics'!DE20,IF($S$2="2020年",'Offer Statistics'!DE33)))</f>
        <v>364</v>
      </c>
      <c r="AG7" s="325"/>
      <c r="AH7" s="338" t="str">
        <f t="shared" si="2"/>
        <v>JS7225</v>
      </c>
    </row>
    <row r="8" spans="1:34" s="175" customFormat="1" ht="18" customHeight="1">
      <c r="A8" s="5" t="s">
        <v>876</v>
      </c>
      <c r="B8" s="5" t="s">
        <v>384</v>
      </c>
      <c r="C8" s="5" t="s">
        <v>852</v>
      </c>
      <c r="D8" s="5" t="s">
        <v>853</v>
      </c>
      <c r="E8" s="437" t="s">
        <v>189</v>
      </c>
      <c r="F8" s="7">
        <v>26.5</v>
      </c>
      <c r="G8" s="7">
        <v>25.5</v>
      </c>
      <c r="H8" s="71">
        <f>計分版!D307</f>
        <v>3.9500000000000006E-9</v>
      </c>
      <c r="I8" s="39">
        <f t="shared" si="0"/>
        <v>-26.499999996050001</v>
      </c>
      <c r="J8" s="40">
        <f t="shared" si="1"/>
        <v>-6708860758.4936695</v>
      </c>
      <c r="K8" s="101">
        <v>98</v>
      </c>
      <c r="L8" s="381">
        <f>入學要求!S291</f>
        <v>0</v>
      </c>
      <c r="M8" s="503"/>
      <c r="N8" s="182">
        <v>3</v>
      </c>
      <c r="O8" s="182">
        <v>3</v>
      </c>
      <c r="P8" s="182">
        <v>3</v>
      </c>
      <c r="Q8" s="182">
        <v>3</v>
      </c>
      <c r="R8" s="182">
        <v>3</v>
      </c>
      <c r="S8" s="501"/>
      <c r="T8" s="322">
        <f>IF($S$2="2018年",'Offer Statistics'!DN8,IF($S$2="2019年",'Offer Statistics'!DN21,IF($S$2="2020年",'Offer Statistics'!DN34)))</f>
        <v>132</v>
      </c>
      <c r="U8" s="284">
        <f>IF($S$2="2018年",'Offer Statistics'!DI8,IF($S$2="2019年",'Offer Statistics'!DI21,IF($S$2="2020年",'Offer Statistics'!DI34)))</f>
        <v>75</v>
      </c>
      <c r="V8" s="284">
        <f>IF($S$2="2018年",'Offer Statistics'!DJ8,IF($S$2="2019年",'Offer Statistics'!DJ21,IF($S$2="2020年",'Offer Statistics'!DJ34)))</f>
        <v>42</v>
      </c>
      <c r="W8" s="284">
        <f>IF($S$2="2018年",'Offer Statistics'!DK8,IF($S$2="2019年",'Offer Statistics'!DK21,IF($S$2="2020年",'Offer Statistics'!DK34)))</f>
        <v>15</v>
      </c>
      <c r="X8" s="284">
        <f>IF($S$2="2018年",'Offer Statistics'!DL8,IF($S$2="2019年",'Offer Statistics'!DL21,IF($S$2="2020年",'Offer Statistics'!DL34)))</f>
        <v>0</v>
      </c>
      <c r="Y8" s="284">
        <f>IF($S$2="2018年",'Offer Statistics'!DM8,IF($S$2="2019年",'Offer Statistics'!DM21,IF($S$2="2020年",'Offer Statistics'!DM34)))</f>
        <v>0</v>
      </c>
      <c r="Z8" s="501"/>
      <c r="AA8" s="322">
        <f>IF($S$2="2018年",'Offer Statistics'!DF8,IF($S$2="2019年",'Offer Statistics'!DF21,IF($S$2="2020年",'Offer Statistics'!DF34)))</f>
        <v>4625</v>
      </c>
      <c r="AB8" s="284">
        <f>IF($S$2="2018年",'Offer Statistics'!DA8,IF($S$2="2019年",'Offer Statistics'!DA21,IF($S$2="2020年",'Offer Statistics'!DA34)))</f>
        <v>573</v>
      </c>
      <c r="AC8" s="284">
        <f>IF($S$2="2018年",'Offer Statistics'!DB8,IF($S$2="2019年",'Offer Statistics'!DB21,IF($S$2="2020年",'Offer Statistics'!DB34)))</f>
        <v>822</v>
      </c>
      <c r="AD8" s="284">
        <f>IF($S$2="2018年",'Offer Statistics'!DC8,IF($S$2="2019年",'Offer Statistics'!DC21,IF($S$2="2020年",'Offer Statistics'!DC34)))</f>
        <v>1039</v>
      </c>
      <c r="AE8" s="284">
        <f>IF($S$2="2018年",'Offer Statistics'!DD8,IF($S$2="2019年",'Offer Statistics'!DD21,IF($S$2="2020年",'Offer Statistics'!DD34)))</f>
        <v>1159</v>
      </c>
      <c r="AF8" s="284">
        <f>IF($S$2="2018年",'Offer Statistics'!DE8,IF($S$2="2019年",'Offer Statistics'!DE21,IF($S$2="2020年",'Offer Statistics'!DE34)))</f>
        <v>1032</v>
      </c>
      <c r="AG8" s="325"/>
      <c r="AH8" s="338" t="str">
        <f t="shared" si="2"/>
        <v>JS7300</v>
      </c>
    </row>
    <row r="9" spans="1:34" s="175" customFormat="1" ht="18" customHeight="1">
      <c r="A9" s="5" t="s">
        <v>1044</v>
      </c>
      <c r="B9" s="5" t="s">
        <v>878</v>
      </c>
      <c r="C9" s="5" t="s">
        <v>844</v>
      </c>
      <c r="D9" s="5" t="s">
        <v>1701</v>
      </c>
      <c r="E9" s="249" t="s">
        <v>189</v>
      </c>
      <c r="F9" s="7">
        <v>25.5</v>
      </c>
      <c r="G9" s="7">
        <v>25</v>
      </c>
      <c r="H9" s="71">
        <f>計分版!D308</f>
        <v>3.9500000000000006E-9</v>
      </c>
      <c r="I9" s="39">
        <f t="shared" si="0"/>
        <v>-25.499999996050001</v>
      </c>
      <c r="J9" s="40">
        <f t="shared" si="1"/>
        <v>-6455696201.5316448</v>
      </c>
      <c r="K9" s="101">
        <v>29</v>
      </c>
      <c r="L9" s="381">
        <f>入學要求!S292</f>
        <v>0</v>
      </c>
      <c r="M9" s="503"/>
      <c r="N9" s="182">
        <v>3</v>
      </c>
      <c r="O9" s="182">
        <v>3</v>
      </c>
      <c r="P9" s="182">
        <v>3</v>
      </c>
      <c r="Q9" s="182">
        <v>3</v>
      </c>
      <c r="R9" s="182">
        <v>3</v>
      </c>
      <c r="S9" s="501"/>
      <c r="T9" s="322">
        <f>IF($S$2="2018年",'Offer Statistics'!DN9,IF($S$2="2019年",'Offer Statistics'!DN22,IF($S$2="2020年",'Offer Statistics'!DN35)))</f>
        <v>22</v>
      </c>
      <c r="U9" s="284">
        <f>IF($S$2="2018年",'Offer Statistics'!DI9,IF($S$2="2019年",'Offer Statistics'!DI22,IF($S$2="2020年",'Offer Statistics'!DI35)))</f>
        <v>14</v>
      </c>
      <c r="V9" s="284">
        <f>IF($S$2="2018年",'Offer Statistics'!DJ9,IF($S$2="2019年",'Offer Statistics'!DJ22,IF($S$2="2020年",'Offer Statistics'!DJ35)))</f>
        <v>4</v>
      </c>
      <c r="W9" s="284">
        <f>IF($S$2="2018年",'Offer Statistics'!DK9,IF($S$2="2019年",'Offer Statistics'!DK22,IF($S$2="2020年",'Offer Statistics'!DK35)))</f>
        <v>0</v>
      </c>
      <c r="X9" s="284">
        <f>IF($S$2="2018年",'Offer Statistics'!DL9,IF($S$2="2019年",'Offer Statistics'!DL22,IF($S$2="2020年",'Offer Statistics'!DL35)))</f>
        <v>2</v>
      </c>
      <c r="Y9" s="284">
        <f>IF($S$2="2018年",'Offer Statistics'!DM9,IF($S$2="2019年",'Offer Statistics'!DM22,IF($S$2="2020年",'Offer Statistics'!DM35)))</f>
        <v>2</v>
      </c>
      <c r="Z9" s="501"/>
      <c r="AA9" s="322">
        <f>IF($S$2="2018年",'Offer Statistics'!DF9,IF($S$2="2019年",'Offer Statistics'!DF22,IF($S$2="2020年",'Offer Statistics'!DF35)))</f>
        <v>913</v>
      </c>
      <c r="AB9" s="284">
        <f>IF($S$2="2018年",'Offer Statistics'!DA9,IF($S$2="2019年",'Offer Statistics'!DA22,IF($S$2="2020年",'Offer Statistics'!DA35)))</f>
        <v>95</v>
      </c>
      <c r="AC9" s="284">
        <f>IF($S$2="2018年",'Offer Statistics'!DB9,IF($S$2="2019年",'Offer Statistics'!DB22,IF($S$2="2020年",'Offer Statistics'!DB35)))</f>
        <v>161</v>
      </c>
      <c r="AD9" s="284">
        <f>IF($S$2="2018年",'Offer Statistics'!DC9,IF($S$2="2019年",'Offer Statistics'!DC22,IF($S$2="2020年",'Offer Statistics'!DC35)))</f>
        <v>204</v>
      </c>
      <c r="AE9" s="284">
        <f>IF($S$2="2018年",'Offer Statistics'!DD9,IF($S$2="2019年",'Offer Statistics'!DD22,IF($S$2="2020年",'Offer Statistics'!DD35)))</f>
        <v>240</v>
      </c>
      <c r="AF9" s="284">
        <f>IF($S$2="2018年",'Offer Statistics'!DE9,IF($S$2="2019年",'Offer Statistics'!DE22,IF($S$2="2020年",'Offer Statistics'!DE35)))</f>
        <v>213</v>
      </c>
      <c r="AG9" s="325"/>
      <c r="AH9" s="338" t="str">
        <f t="shared" si="2"/>
        <v>JS7503</v>
      </c>
    </row>
    <row r="10" spans="1:34" s="175" customFormat="1" ht="18" customHeight="1">
      <c r="A10" s="5" t="s">
        <v>1045</v>
      </c>
      <c r="B10" s="5" t="s">
        <v>878</v>
      </c>
      <c r="C10" s="5" t="s">
        <v>845</v>
      </c>
      <c r="D10" s="5" t="s">
        <v>1704</v>
      </c>
      <c r="E10" s="437" t="s">
        <v>189</v>
      </c>
      <c r="F10" s="7">
        <v>26</v>
      </c>
      <c r="G10" s="7">
        <v>25</v>
      </c>
      <c r="H10" s="71">
        <f>計分版!D309</f>
        <v>3.9500000000000006E-9</v>
      </c>
      <c r="I10" s="39">
        <f t="shared" si="0"/>
        <v>-25.999999996050001</v>
      </c>
      <c r="J10" s="40">
        <f t="shared" si="1"/>
        <v>-6582278480.0126572</v>
      </c>
      <c r="K10" s="101">
        <v>25</v>
      </c>
      <c r="L10" s="381">
        <f>入學要求!S293</f>
        <v>0</v>
      </c>
      <c r="M10" s="503"/>
      <c r="N10" s="182">
        <v>3</v>
      </c>
      <c r="O10" s="182">
        <v>3</v>
      </c>
      <c r="P10" s="182">
        <v>3</v>
      </c>
      <c r="Q10" s="182">
        <v>3</v>
      </c>
      <c r="R10" s="182">
        <v>3</v>
      </c>
      <c r="S10" s="501"/>
      <c r="T10" s="322">
        <f>IF($S$2="2018年",'Offer Statistics'!DN10,IF($S$2="2019年",'Offer Statistics'!DN23,IF($S$2="2020年",'Offer Statistics'!DN36)))</f>
        <v>26</v>
      </c>
      <c r="U10" s="284">
        <f>IF($S$2="2018年",'Offer Statistics'!DI10,IF($S$2="2019年",'Offer Statistics'!DI23,IF($S$2="2020年",'Offer Statistics'!DI36)))</f>
        <v>21</v>
      </c>
      <c r="V10" s="284">
        <f>IF($S$2="2018年",'Offer Statistics'!DJ10,IF($S$2="2019年",'Offer Statistics'!DJ23,IF($S$2="2020年",'Offer Statistics'!DJ36)))</f>
        <v>3</v>
      </c>
      <c r="W10" s="284">
        <f>IF($S$2="2018年",'Offer Statistics'!DK10,IF($S$2="2019年",'Offer Statistics'!DK23,IF($S$2="2020年",'Offer Statistics'!DK36)))</f>
        <v>1</v>
      </c>
      <c r="X10" s="284">
        <f>IF($S$2="2018年",'Offer Statistics'!DL10,IF($S$2="2019年",'Offer Statistics'!DL23,IF($S$2="2020年",'Offer Statistics'!DL36)))</f>
        <v>0</v>
      </c>
      <c r="Y10" s="284">
        <f>IF($S$2="2018年",'Offer Statistics'!DM10,IF($S$2="2019年",'Offer Statistics'!DM23,IF($S$2="2020年",'Offer Statistics'!DM36)))</f>
        <v>1</v>
      </c>
      <c r="Z10" s="501"/>
      <c r="AA10" s="322">
        <f>IF($S$2="2018年",'Offer Statistics'!DF10,IF($S$2="2019年",'Offer Statistics'!DF23,IF($S$2="2020年",'Offer Statistics'!DF36)))</f>
        <v>2713</v>
      </c>
      <c r="AB10" s="284">
        <f>IF($S$2="2018年",'Offer Statistics'!DA10,IF($S$2="2019年",'Offer Statistics'!DA23,IF($S$2="2020年",'Offer Statistics'!DA36)))</f>
        <v>303</v>
      </c>
      <c r="AC10" s="284">
        <f>IF($S$2="2018年",'Offer Statistics'!DB10,IF($S$2="2019年",'Offer Statistics'!DB23,IF($S$2="2020年",'Offer Statistics'!DB36)))</f>
        <v>432</v>
      </c>
      <c r="AD10" s="284">
        <f>IF($S$2="2018年",'Offer Statistics'!DC10,IF($S$2="2019年",'Offer Statistics'!DC23,IF($S$2="2020年",'Offer Statistics'!DC36)))</f>
        <v>599</v>
      </c>
      <c r="AE10" s="284">
        <f>IF($S$2="2018年",'Offer Statistics'!DD10,IF($S$2="2019年",'Offer Statistics'!DD23,IF($S$2="2020年",'Offer Statistics'!DD36)))</f>
        <v>770</v>
      </c>
      <c r="AF10" s="284">
        <f>IF($S$2="2018年",'Offer Statistics'!DE10,IF($S$2="2019年",'Offer Statistics'!DE23,IF($S$2="2020年",'Offer Statistics'!DE36)))</f>
        <v>609</v>
      </c>
      <c r="AG10" s="325"/>
      <c r="AH10" s="338" t="str">
        <f t="shared" si="2"/>
        <v>JS7606</v>
      </c>
    </row>
    <row r="11" spans="1:34" s="175" customFormat="1" ht="18" customHeight="1">
      <c r="A11" s="5" t="s">
        <v>1046</v>
      </c>
      <c r="B11" s="5" t="s">
        <v>878</v>
      </c>
      <c r="C11" s="5" t="s">
        <v>846</v>
      </c>
      <c r="D11" s="5" t="s">
        <v>1706</v>
      </c>
      <c r="E11" s="437" t="s">
        <v>189</v>
      </c>
      <c r="F11" s="7">
        <v>26</v>
      </c>
      <c r="G11" s="7">
        <v>25.6</v>
      </c>
      <c r="H11" s="71">
        <f>計分版!D310</f>
        <v>3.9500000000000006E-9</v>
      </c>
      <c r="I11" s="39">
        <f t="shared" si="0"/>
        <v>-25.999999996050001</v>
      </c>
      <c r="J11" s="40">
        <f t="shared" si="1"/>
        <v>-6582278480.0126572</v>
      </c>
      <c r="K11" s="101">
        <v>30</v>
      </c>
      <c r="L11" s="381">
        <f>入學要求!S294</f>
        <v>0</v>
      </c>
      <c r="M11" s="503"/>
      <c r="N11" s="182">
        <v>3</v>
      </c>
      <c r="O11" s="182">
        <v>3</v>
      </c>
      <c r="P11" s="182">
        <v>3</v>
      </c>
      <c r="Q11" s="182">
        <v>3</v>
      </c>
      <c r="R11" s="182">
        <v>3</v>
      </c>
      <c r="S11" s="501"/>
      <c r="T11" s="322">
        <f>IF($S$2="2018年",'Offer Statistics'!DN11,IF($S$2="2019年",'Offer Statistics'!DN24,IF($S$2="2020年",'Offer Statistics'!DN37)))</f>
        <v>35</v>
      </c>
      <c r="U11" s="284">
        <f>IF($S$2="2018年",'Offer Statistics'!DI11,IF($S$2="2019年",'Offer Statistics'!DI24,IF($S$2="2020年",'Offer Statistics'!DI37)))</f>
        <v>28</v>
      </c>
      <c r="V11" s="284">
        <f>IF($S$2="2018年",'Offer Statistics'!DJ11,IF($S$2="2019年",'Offer Statistics'!DJ24,IF($S$2="2020年",'Offer Statistics'!DJ37)))</f>
        <v>4</v>
      </c>
      <c r="W11" s="284">
        <f>IF($S$2="2018年",'Offer Statistics'!DK11,IF($S$2="2019年",'Offer Statistics'!DK24,IF($S$2="2020年",'Offer Statistics'!DK37)))</f>
        <v>2</v>
      </c>
      <c r="X11" s="284">
        <f>IF($S$2="2018年",'Offer Statistics'!DL11,IF($S$2="2019年",'Offer Statistics'!DL24,IF($S$2="2020年",'Offer Statistics'!DL37)))</f>
        <v>1</v>
      </c>
      <c r="Y11" s="284">
        <f>IF($S$2="2018年",'Offer Statistics'!DM11,IF($S$2="2019年",'Offer Statistics'!DM24,IF($S$2="2020年",'Offer Statistics'!DM37)))</f>
        <v>0</v>
      </c>
      <c r="Z11" s="501"/>
      <c r="AA11" s="322">
        <f>IF($S$2="2018年",'Offer Statistics'!DF11,IF($S$2="2019年",'Offer Statistics'!DF24,IF($S$2="2020年",'Offer Statistics'!DF37)))</f>
        <v>2290</v>
      </c>
      <c r="AB11" s="284">
        <f>IF($S$2="2018年",'Offer Statistics'!DA11,IF($S$2="2019年",'Offer Statistics'!DA24,IF($S$2="2020年",'Offer Statistics'!DA37)))</f>
        <v>331</v>
      </c>
      <c r="AC11" s="284">
        <f>IF($S$2="2018年",'Offer Statistics'!DB11,IF($S$2="2019年",'Offer Statistics'!DB24,IF($S$2="2020年",'Offer Statistics'!DB37)))</f>
        <v>388</v>
      </c>
      <c r="AD11" s="284">
        <f>IF($S$2="2018年",'Offer Statistics'!DC11,IF($S$2="2019年",'Offer Statistics'!DC24,IF($S$2="2020年",'Offer Statistics'!DC37)))</f>
        <v>546</v>
      </c>
      <c r="AE11" s="284">
        <f>IF($S$2="2018年",'Offer Statistics'!DD11,IF($S$2="2019年",'Offer Statistics'!DD24,IF($S$2="2020年",'Offer Statistics'!DD37)))</f>
        <v>582</v>
      </c>
      <c r="AF11" s="284">
        <f>IF($S$2="2018年",'Offer Statistics'!DE11,IF($S$2="2019年",'Offer Statistics'!DE24,IF($S$2="2020年",'Offer Statistics'!DE37)))</f>
        <v>443</v>
      </c>
      <c r="AG11" s="325"/>
      <c r="AH11" s="338" t="str">
        <f t="shared" si="2"/>
        <v>JS7709</v>
      </c>
    </row>
    <row r="12" spans="1:34" s="175" customFormat="1" ht="18" customHeight="1">
      <c r="A12" s="5" t="s">
        <v>1047</v>
      </c>
      <c r="B12" s="5" t="s">
        <v>878</v>
      </c>
      <c r="C12" s="5" t="s">
        <v>847</v>
      </c>
      <c r="D12" s="5" t="s">
        <v>1708</v>
      </c>
      <c r="E12" s="437" t="s">
        <v>189</v>
      </c>
      <c r="F12" s="7">
        <v>26</v>
      </c>
      <c r="G12" s="7">
        <v>26</v>
      </c>
      <c r="H12" s="71">
        <f>計分版!D311</f>
        <v>3.9500000000000006E-9</v>
      </c>
      <c r="I12" s="39">
        <f t="shared" si="0"/>
        <v>-25.999999996050001</v>
      </c>
      <c r="J12" s="40">
        <f t="shared" si="1"/>
        <v>-6582278480.0126572</v>
      </c>
      <c r="K12" s="101">
        <v>29</v>
      </c>
      <c r="L12" s="381">
        <f>入學要求!S295</f>
        <v>0</v>
      </c>
      <c r="M12" s="503"/>
      <c r="N12" s="182">
        <v>3</v>
      </c>
      <c r="O12" s="182">
        <v>3</v>
      </c>
      <c r="P12" s="182">
        <v>3</v>
      </c>
      <c r="Q12" s="182">
        <v>3</v>
      </c>
      <c r="R12" s="182">
        <v>3</v>
      </c>
      <c r="S12" s="501"/>
      <c r="T12" s="322">
        <f>IF($S$2="2018年",'Offer Statistics'!DN12,IF($S$2="2019年",'Offer Statistics'!DN25,IF($S$2="2020年",'Offer Statistics'!DN38)))</f>
        <v>33</v>
      </c>
      <c r="U12" s="284">
        <f>IF($S$2="2018年",'Offer Statistics'!DI12,IF($S$2="2019年",'Offer Statistics'!DI25,IF($S$2="2020年",'Offer Statistics'!DI38)))</f>
        <v>26</v>
      </c>
      <c r="V12" s="284">
        <f>IF($S$2="2018年",'Offer Statistics'!DJ12,IF($S$2="2019年",'Offer Statistics'!DJ25,IF($S$2="2020年",'Offer Statistics'!DJ38)))</f>
        <v>3</v>
      </c>
      <c r="W12" s="284">
        <f>IF($S$2="2018年",'Offer Statistics'!DK12,IF($S$2="2019年",'Offer Statistics'!DK25,IF($S$2="2020年",'Offer Statistics'!DK38)))</f>
        <v>2</v>
      </c>
      <c r="X12" s="284">
        <f>IF($S$2="2018年",'Offer Statistics'!DL12,IF($S$2="2019年",'Offer Statistics'!DL25,IF($S$2="2020年",'Offer Statistics'!DL38)))</f>
        <v>1</v>
      </c>
      <c r="Y12" s="284">
        <f>IF($S$2="2018年",'Offer Statistics'!DM12,IF($S$2="2019年",'Offer Statistics'!DM25,IF($S$2="2020年",'Offer Statistics'!DM38)))</f>
        <v>1</v>
      </c>
      <c r="Z12" s="501"/>
      <c r="AA12" s="322">
        <f>IF($S$2="2018年",'Offer Statistics'!DF12,IF($S$2="2019年",'Offer Statistics'!DF25,IF($S$2="2020年",'Offer Statistics'!DF38)))</f>
        <v>2518</v>
      </c>
      <c r="AB12" s="284">
        <f>IF($S$2="2018年",'Offer Statistics'!DA12,IF($S$2="2019年",'Offer Statistics'!DA25,IF($S$2="2020年",'Offer Statistics'!DA38)))</f>
        <v>506</v>
      </c>
      <c r="AC12" s="284">
        <f>IF($S$2="2018年",'Offer Statistics'!DB12,IF($S$2="2019年",'Offer Statistics'!DB25,IF($S$2="2020年",'Offer Statistics'!DB38)))</f>
        <v>485</v>
      </c>
      <c r="AD12" s="284">
        <f>IF($S$2="2018年",'Offer Statistics'!DC12,IF($S$2="2019年",'Offer Statistics'!DC25,IF($S$2="2020年",'Offer Statistics'!DC38)))</f>
        <v>449</v>
      </c>
      <c r="AE12" s="284">
        <f>IF($S$2="2018年",'Offer Statistics'!DD12,IF($S$2="2019年",'Offer Statistics'!DD25,IF($S$2="2020年",'Offer Statistics'!DD38)))</f>
        <v>582</v>
      </c>
      <c r="AF12" s="284">
        <f>IF($S$2="2018年",'Offer Statistics'!DE12,IF($S$2="2019年",'Offer Statistics'!DE25,IF($S$2="2020年",'Offer Statistics'!DE38)))</f>
        <v>496</v>
      </c>
      <c r="AG12" s="325"/>
      <c r="AH12" s="338" t="str">
        <f t="shared" si="2"/>
        <v>JS7802</v>
      </c>
    </row>
    <row r="13" spans="1:34" s="175" customFormat="1" ht="18" customHeight="1">
      <c r="A13" s="5" t="s">
        <v>1048</v>
      </c>
      <c r="B13" s="5" t="s">
        <v>878</v>
      </c>
      <c r="C13" s="5" t="s">
        <v>848</v>
      </c>
      <c r="D13" s="5" t="s">
        <v>1710</v>
      </c>
      <c r="E13" s="437" t="s">
        <v>189</v>
      </c>
      <c r="F13" s="7">
        <v>24</v>
      </c>
      <c r="G13" s="7">
        <v>24</v>
      </c>
      <c r="H13" s="71">
        <f>計分版!D312</f>
        <v>3.9500000000000006E-9</v>
      </c>
      <c r="I13" s="39">
        <f t="shared" si="0"/>
        <v>-23.999999996050001</v>
      </c>
      <c r="J13" s="40">
        <f t="shared" si="1"/>
        <v>-6075949366.0886068</v>
      </c>
      <c r="K13" s="101">
        <v>29</v>
      </c>
      <c r="L13" s="382">
        <f>入學要求!S296</f>
        <v>0</v>
      </c>
      <c r="M13" s="503"/>
      <c r="N13" s="182">
        <v>3</v>
      </c>
      <c r="O13" s="182">
        <v>3</v>
      </c>
      <c r="P13" s="182">
        <v>3</v>
      </c>
      <c r="Q13" s="182">
        <v>3</v>
      </c>
      <c r="R13" s="182">
        <v>3</v>
      </c>
      <c r="S13" s="501"/>
      <c r="T13" s="322">
        <f>IF($S$2="2018年",'Offer Statistics'!DN13,IF($S$2="2019年",'Offer Statistics'!DN26,IF($S$2="2020年",'Offer Statistics'!DN39)))</f>
        <v>28</v>
      </c>
      <c r="U13" s="284">
        <f>IF($S$2="2018年",'Offer Statistics'!DI13,IF($S$2="2019年",'Offer Statistics'!DI26,IF($S$2="2020年",'Offer Statistics'!DI39)))</f>
        <v>26</v>
      </c>
      <c r="V13" s="284">
        <f>IF($S$2="2018年",'Offer Statistics'!DJ13,IF($S$2="2019年",'Offer Statistics'!DJ26,IF($S$2="2020年",'Offer Statistics'!DJ39)))</f>
        <v>0</v>
      </c>
      <c r="W13" s="284">
        <f>IF($S$2="2018年",'Offer Statistics'!DK13,IF($S$2="2019年",'Offer Statistics'!DK26,IF($S$2="2020年",'Offer Statistics'!DK39)))</f>
        <v>2</v>
      </c>
      <c r="X13" s="284">
        <f>IF($S$2="2018年",'Offer Statistics'!DL13,IF($S$2="2019年",'Offer Statistics'!DL26,IF($S$2="2020年",'Offer Statistics'!DL39)))</f>
        <v>0</v>
      </c>
      <c r="Y13" s="284">
        <f>IF($S$2="2018年",'Offer Statistics'!DM13,IF($S$2="2019年",'Offer Statistics'!DM26,IF($S$2="2020年",'Offer Statistics'!DM39)))</f>
        <v>0</v>
      </c>
      <c r="Z13" s="501"/>
      <c r="AA13" s="322">
        <f>IF($S$2="2018年",'Offer Statistics'!DF13,IF($S$2="2019年",'Offer Statistics'!DF26,IF($S$2="2020年",'Offer Statistics'!DF39)))</f>
        <v>1822</v>
      </c>
      <c r="AB13" s="284">
        <f>IF($S$2="2018年",'Offer Statistics'!DA13,IF($S$2="2019年",'Offer Statistics'!DA26,IF($S$2="2020年",'Offer Statistics'!DA39)))</f>
        <v>270</v>
      </c>
      <c r="AC13" s="284">
        <f>IF($S$2="2018年",'Offer Statistics'!DB13,IF($S$2="2019年",'Offer Statistics'!DB26,IF($S$2="2020年",'Offer Statistics'!DB39)))</f>
        <v>371</v>
      </c>
      <c r="AD13" s="284">
        <f>IF($S$2="2018年",'Offer Statistics'!DC13,IF($S$2="2019年",'Offer Statistics'!DC26,IF($S$2="2020年",'Offer Statistics'!DC39)))</f>
        <v>432</v>
      </c>
      <c r="AE13" s="284">
        <f>IF($S$2="2018年",'Offer Statistics'!DD13,IF($S$2="2019年",'Offer Statistics'!DD26,IF($S$2="2020年",'Offer Statistics'!DD39)))</f>
        <v>421</v>
      </c>
      <c r="AF13" s="284">
        <f>IF($S$2="2018年",'Offer Statistics'!DE13,IF($S$2="2019年",'Offer Statistics'!DE26,IF($S$2="2020年",'Offer Statistics'!DE39)))</f>
        <v>328</v>
      </c>
      <c r="AG13" s="325"/>
      <c r="AH13" s="338" t="str">
        <f t="shared" si="2"/>
        <v>JS7905</v>
      </c>
    </row>
    <row r="14" spans="1:34" s="175" customFormat="1" ht="18" customHeight="1">
      <c r="A14" s="5"/>
      <c r="B14" s="5"/>
      <c r="C14" s="5"/>
      <c r="D14" s="5"/>
      <c r="E14" s="18"/>
      <c r="F14" s="18"/>
      <c r="G14" s="18"/>
      <c r="H14" s="5"/>
      <c r="I14" s="5"/>
      <c r="J14" s="5"/>
      <c r="K14" s="5"/>
      <c r="L14" s="406"/>
      <c r="M14" s="5"/>
      <c r="N14" s="5"/>
      <c r="O14" s="5"/>
      <c r="P14" s="5"/>
      <c r="Q14" s="5"/>
      <c r="R14" s="5"/>
      <c r="S14" s="325"/>
      <c r="T14" s="325"/>
      <c r="U14" s="325"/>
      <c r="V14" s="325"/>
      <c r="W14" s="325"/>
      <c r="X14" s="325"/>
      <c r="Y14" s="325"/>
      <c r="Z14" s="325"/>
      <c r="AA14" s="325"/>
      <c r="AB14" s="325"/>
      <c r="AC14" s="325"/>
      <c r="AD14" s="325"/>
      <c r="AE14" s="325"/>
      <c r="AF14" s="325"/>
      <c r="AG14" s="325"/>
      <c r="AH14" s="325"/>
    </row>
    <row r="15" spans="1:34" s="175" customFormat="1" ht="18" customHeight="1">
      <c r="A15" s="5" t="s">
        <v>2204</v>
      </c>
      <c r="B15" s="5"/>
      <c r="C15" s="5"/>
      <c r="D15" s="5"/>
      <c r="E15" s="53"/>
      <c r="F15" s="18"/>
      <c r="G15" s="18"/>
      <c r="H15" s="18"/>
      <c r="I15" s="27"/>
      <c r="J15" s="28"/>
      <c r="K15" s="18"/>
      <c r="L15" s="406"/>
      <c r="M15" s="18"/>
      <c r="N15" s="18"/>
      <c r="O15" s="18"/>
      <c r="P15" s="18"/>
      <c r="Q15" s="18"/>
      <c r="R15" s="18"/>
      <c r="S15" s="325"/>
      <c r="T15" s="325"/>
      <c r="U15" s="325"/>
      <c r="V15" s="325"/>
      <c r="W15" s="325"/>
      <c r="X15" s="325"/>
      <c r="Y15" s="325"/>
      <c r="Z15" s="325"/>
      <c r="AA15" s="325"/>
      <c r="AB15" s="325"/>
      <c r="AC15" s="325"/>
      <c r="AD15" s="325"/>
      <c r="AE15" s="325"/>
      <c r="AF15" s="325"/>
      <c r="AG15" s="325"/>
      <c r="AH15" s="325"/>
    </row>
    <row r="16" spans="1:34" s="175" customFormat="1" ht="18" customHeight="1">
      <c r="A16" s="5" t="s">
        <v>1264</v>
      </c>
      <c r="B16" s="5"/>
      <c r="C16" s="5"/>
      <c r="D16" s="5"/>
      <c r="E16" s="53"/>
      <c r="F16" s="18"/>
      <c r="G16" s="18"/>
      <c r="H16" s="18"/>
      <c r="I16" s="27"/>
      <c r="J16" s="28"/>
      <c r="K16" s="18"/>
      <c r="L16" s="406"/>
      <c r="M16" s="18"/>
      <c r="N16" s="18"/>
      <c r="O16" s="18"/>
      <c r="P16" s="18"/>
      <c r="Q16" s="18"/>
      <c r="R16" s="18"/>
      <c r="S16" s="325"/>
      <c r="T16" s="325"/>
      <c r="U16" s="325"/>
      <c r="V16" s="325"/>
      <c r="W16" s="325"/>
      <c r="X16" s="325"/>
      <c r="Y16" s="325"/>
      <c r="Z16" s="325"/>
      <c r="AA16" s="325"/>
      <c r="AB16" s="325"/>
      <c r="AC16" s="325"/>
      <c r="AD16" s="325"/>
      <c r="AE16" s="325"/>
      <c r="AF16" s="325"/>
      <c r="AG16" s="325"/>
      <c r="AH16" s="325"/>
    </row>
    <row r="17" spans="1:36" s="175" customFormat="1" ht="18" customHeight="1">
      <c r="C17" s="186"/>
      <c r="E17" s="438"/>
      <c r="H17" s="438"/>
      <c r="K17" s="437"/>
      <c r="L17" s="438"/>
    </row>
    <row r="18" spans="1:36" s="187" customFormat="1" ht="18" customHeight="1">
      <c r="A18" s="187" t="s">
        <v>2352</v>
      </c>
      <c r="E18" s="272"/>
      <c r="F18" s="35"/>
      <c r="G18" s="35"/>
      <c r="H18" s="35"/>
      <c r="I18" s="35"/>
      <c r="J18" s="36"/>
      <c r="K18" s="37"/>
      <c r="L18" s="35"/>
      <c r="N18" s="35"/>
      <c r="O18" s="35"/>
      <c r="P18" s="35"/>
      <c r="Q18" s="35"/>
      <c r="R18" s="35"/>
      <c r="S18" s="35"/>
      <c r="T18" s="35"/>
      <c r="U18" s="35"/>
      <c r="V18" s="35"/>
      <c r="W18" s="35"/>
      <c r="X18" s="35"/>
      <c r="Y18" s="35"/>
      <c r="Z18" s="35"/>
      <c r="AA18" s="35"/>
      <c r="AB18" s="35"/>
      <c r="AC18" s="35"/>
      <c r="AD18" s="35"/>
      <c r="AE18" s="35"/>
      <c r="AF18" s="35"/>
      <c r="AG18" s="35"/>
      <c r="AH18" s="35"/>
      <c r="AJ18" s="35"/>
    </row>
    <row r="19" spans="1:36" s="175" customFormat="1" ht="18" customHeight="1">
      <c r="E19" s="393"/>
      <c r="F19" s="394"/>
      <c r="G19" s="394"/>
      <c r="H19" s="394"/>
      <c r="I19" s="27"/>
      <c r="J19" s="186"/>
      <c r="K19" s="394"/>
      <c r="L19" s="406"/>
      <c r="M19" s="394"/>
      <c r="N19" s="394"/>
      <c r="O19" s="394"/>
      <c r="P19" s="394"/>
      <c r="Q19" s="394"/>
      <c r="R19" s="394"/>
      <c r="S19" s="394"/>
      <c r="T19" s="394"/>
      <c r="U19" s="394"/>
      <c r="V19" s="394"/>
      <c r="W19" s="394"/>
      <c r="X19" s="394"/>
      <c r="Y19" s="394"/>
      <c r="Z19" s="394"/>
      <c r="AA19" s="394"/>
      <c r="AB19" s="394"/>
      <c r="AC19" s="394"/>
      <c r="AD19" s="394"/>
      <c r="AE19" s="394"/>
      <c r="AF19" s="394"/>
      <c r="AG19" s="394"/>
      <c r="AH19" s="394"/>
    </row>
    <row r="20" spans="1:36" s="175" customFormat="1" ht="18" customHeight="1">
      <c r="A20" s="4" t="s">
        <v>2243</v>
      </c>
      <c r="E20" s="393"/>
      <c r="F20" s="394"/>
      <c r="G20" s="394"/>
      <c r="H20" s="394"/>
      <c r="I20" s="27"/>
      <c r="J20" s="186"/>
      <c r="K20" s="394"/>
      <c r="L20" s="406"/>
      <c r="M20" s="394"/>
      <c r="N20" s="394"/>
      <c r="O20" s="394"/>
      <c r="P20" s="394"/>
      <c r="Q20" s="394"/>
      <c r="R20" s="394"/>
      <c r="S20" s="394"/>
      <c r="T20" s="394"/>
      <c r="U20" s="394"/>
      <c r="V20" s="394"/>
      <c r="W20" s="394"/>
      <c r="X20" s="394"/>
      <c r="Y20" s="394"/>
      <c r="Z20" s="394"/>
      <c r="AA20" s="394"/>
      <c r="AB20" s="394"/>
      <c r="AC20" s="394"/>
      <c r="AD20" s="394"/>
      <c r="AE20" s="394"/>
      <c r="AF20" s="394"/>
      <c r="AG20" s="394"/>
      <c r="AH20" s="394"/>
    </row>
    <row r="21" spans="1:36" s="175" customFormat="1" ht="18" customHeight="1">
      <c r="A21" s="175" t="s">
        <v>2283</v>
      </c>
      <c r="E21" s="393"/>
      <c r="F21" s="394"/>
      <c r="G21" s="394"/>
      <c r="H21" s="394"/>
      <c r="I21" s="27"/>
      <c r="J21" s="186"/>
      <c r="K21" s="394"/>
      <c r="L21" s="406"/>
      <c r="M21" s="394"/>
      <c r="N21" s="394"/>
      <c r="O21" s="394"/>
      <c r="P21" s="394"/>
      <c r="Q21" s="394"/>
      <c r="R21" s="394"/>
      <c r="S21" s="394"/>
      <c r="T21" s="394"/>
      <c r="U21" s="394"/>
      <c r="V21" s="394"/>
      <c r="W21" s="394"/>
      <c r="X21" s="394"/>
      <c r="Y21" s="394"/>
      <c r="Z21" s="394"/>
      <c r="AA21" s="394"/>
      <c r="AB21" s="394"/>
      <c r="AC21" s="394"/>
      <c r="AD21" s="394"/>
      <c r="AE21" s="394"/>
      <c r="AF21" s="394"/>
      <c r="AG21" s="394"/>
      <c r="AH21" s="394"/>
    </row>
    <row r="22" spans="1:36" s="175" customFormat="1" ht="18" customHeight="1">
      <c r="B22" s="5"/>
      <c r="C22" s="5"/>
      <c r="D22" s="5"/>
      <c r="E22" s="73"/>
      <c r="F22" s="72"/>
      <c r="G22" s="72"/>
      <c r="H22" s="72"/>
      <c r="I22" s="27"/>
      <c r="J22" s="28"/>
      <c r="K22" s="72"/>
      <c r="L22" s="406"/>
      <c r="M22" s="72"/>
      <c r="N22" s="72"/>
      <c r="O22" s="72"/>
      <c r="P22" s="72"/>
      <c r="Q22" s="72"/>
      <c r="R22" s="72"/>
      <c r="S22" s="325"/>
      <c r="T22" s="325"/>
      <c r="U22" s="325"/>
      <c r="V22" s="325"/>
      <c r="W22" s="325"/>
      <c r="X22" s="325"/>
      <c r="Y22" s="325"/>
      <c r="Z22" s="325"/>
      <c r="AA22" s="325"/>
      <c r="AB22" s="325"/>
      <c r="AC22" s="325"/>
      <c r="AD22" s="325"/>
      <c r="AE22" s="325"/>
      <c r="AF22" s="325"/>
      <c r="AG22" s="325"/>
      <c r="AH22" s="325"/>
    </row>
    <row r="23" spans="1:36" s="175" customFormat="1" ht="18" customHeight="1">
      <c r="A23" s="4" t="s">
        <v>1147</v>
      </c>
      <c r="B23" s="5"/>
      <c r="C23" s="5"/>
      <c r="D23" s="5"/>
      <c r="E23" s="73"/>
      <c r="F23" s="72"/>
      <c r="G23" s="72"/>
      <c r="H23" s="72"/>
      <c r="I23" s="27"/>
      <c r="J23" s="28"/>
      <c r="K23" s="72"/>
      <c r="L23" s="406"/>
      <c r="M23" s="72"/>
      <c r="N23" s="72"/>
      <c r="O23" s="72"/>
      <c r="P23" s="72"/>
      <c r="Q23" s="72"/>
      <c r="R23" s="72"/>
      <c r="S23" s="325"/>
      <c r="T23" s="325"/>
      <c r="U23" s="325"/>
      <c r="V23" s="325"/>
      <c r="W23" s="325"/>
      <c r="X23" s="325"/>
      <c r="Y23" s="325"/>
      <c r="Z23" s="325"/>
      <c r="AA23" s="325"/>
      <c r="AB23" s="325"/>
      <c r="AC23" s="325"/>
      <c r="AD23" s="325"/>
      <c r="AE23" s="325"/>
      <c r="AF23" s="325"/>
      <c r="AG23" s="325"/>
      <c r="AH23" s="325"/>
    </row>
    <row r="24" spans="1:36" s="175" customFormat="1" ht="18" customHeight="1">
      <c r="A24" s="194" t="s">
        <v>1152</v>
      </c>
      <c r="B24" s="5"/>
      <c r="C24" s="5"/>
      <c r="D24" s="5"/>
      <c r="E24" s="73"/>
      <c r="F24" s="72"/>
      <c r="G24" s="72"/>
      <c r="H24" s="72"/>
      <c r="I24" s="27"/>
      <c r="J24" s="28"/>
      <c r="K24" s="72"/>
      <c r="L24" s="406"/>
      <c r="M24" s="72"/>
      <c r="N24" s="72"/>
      <c r="O24" s="72"/>
      <c r="P24" s="72"/>
      <c r="Q24" s="72"/>
      <c r="R24" s="72"/>
      <c r="S24" s="325"/>
      <c r="T24" s="325"/>
      <c r="U24" s="325"/>
      <c r="V24" s="325"/>
      <c r="W24" s="325"/>
      <c r="X24" s="325"/>
      <c r="Y24" s="325"/>
      <c r="Z24" s="325"/>
      <c r="AA24" s="325"/>
      <c r="AB24" s="325"/>
      <c r="AC24" s="325"/>
      <c r="AD24" s="325"/>
      <c r="AE24" s="325"/>
      <c r="AF24" s="325"/>
      <c r="AG24" s="325"/>
      <c r="AH24" s="325"/>
    </row>
    <row r="25" spans="1:36" s="175" customFormat="1" ht="18" customHeight="1">
      <c r="A25" s="194" t="s">
        <v>1153</v>
      </c>
      <c r="E25" s="371"/>
      <c r="F25" s="371"/>
      <c r="G25" s="371"/>
      <c r="H25" s="5"/>
      <c r="I25" s="5"/>
      <c r="J25" s="5"/>
      <c r="K25" s="5"/>
      <c r="L25" s="406"/>
      <c r="M25" s="5"/>
      <c r="N25" s="5"/>
      <c r="O25" s="5"/>
      <c r="P25" s="5"/>
      <c r="Q25" s="5"/>
      <c r="R25" s="5"/>
      <c r="S25" s="325"/>
      <c r="T25" s="325"/>
      <c r="U25" s="325"/>
      <c r="V25" s="325"/>
      <c r="W25" s="325"/>
      <c r="X25" s="325"/>
      <c r="Y25" s="325"/>
      <c r="Z25" s="325"/>
      <c r="AA25" s="325"/>
      <c r="AB25" s="325"/>
      <c r="AC25" s="325"/>
      <c r="AD25" s="325"/>
      <c r="AE25" s="325"/>
      <c r="AF25" s="325"/>
      <c r="AG25" s="325"/>
      <c r="AH25" s="325"/>
    </row>
    <row r="26" spans="1:36" s="175" customFormat="1" ht="18" customHeight="1">
      <c r="A26" s="194" t="s">
        <v>1273</v>
      </c>
      <c r="E26" s="371"/>
      <c r="F26" s="371"/>
      <c r="G26" s="371"/>
      <c r="H26" s="5"/>
      <c r="I26" s="5"/>
      <c r="J26" s="5"/>
      <c r="K26" s="5"/>
      <c r="L26" s="406"/>
      <c r="M26" s="5"/>
      <c r="N26" s="5"/>
      <c r="O26" s="5"/>
      <c r="P26" s="5"/>
      <c r="Q26" s="5"/>
      <c r="R26" s="5"/>
      <c r="S26" s="325"/>
      <c r="T26" s="325"/>
      <c r="U26" s="325"/>
      <c r="V26" s="325"/>
      <c r="W26" s="325"/>
      <c r="X26" s="325"/>
      <c r="Y26" s="325"/>
      <c r="Z26" s="325"/>
      <c r="AA26" s="325"/>
      <c r="AB26" s="325"/>
      <c r="AC26" s="325"/>
      <c r="AD26" s="325"/>
      <c r="AE26" s="325"/>
      <c r="AF26" s="325"/>
      <c r="AG26" s="325"/>
      <c r="AH26" s="325"/>
    </row>
    <row r="27" spans="1:36" s="175" customFormat="1" ht="18" customHeight="1">
      <c r="A27" s="194" t="s">
        <v>2224</v>
      </c>
      <c r="E27" s="371"/>
      <c r="F27" s="371"/>
      <c r="G27" s="371"/>
      <c r="H27" s="5"/>
      <c r="I27" s="5"/>
      <c r="J27" s="5"/>
      <c r="K27" s="5"/>
      <c r="L27" s="406"/>
      <c r="M27" s="5"/>
      <c r="N27" s="5"/>
      <c r="O27" s="5"/>
      <c r="P27" s="5"/>
      <c r="Q27" s="5"/>
      <c r="R27" s="5"/>
      <c r="S27" s="325"/>
      <c r="T27" s="325"/>
      <c r="U27" s="325"/>
      <c r="V27" s="325"/>
      <c r="W27" s="325"/>
      <c r="X27" s="325"/>
      <c r="Y27" s="325"/>
      <c r="Z27" s="325"/>
      <c r="AA27" s="325"/>
      <c r="AB27" s="325"/>
      <c r="AC27" s="325"/>
      <c r="AD27" s="325"/>
      <c r="AE27" s="325"/>
      <c r="AF27" s="325"/>
      <c r="AG27" s="325"/>
      <c r="AH27" s="325"/>
    </row>
    <row r="28" spans="1:36" s="175" customFormat="1" ht="18" customHeight="1">
      <c r="A28" s="5"/>
      <c r="B28" s="5"/>
      <c r="C28" s="5"/>
      <c r="D28" s="5"/>
      <c r="E28" s="72"/>
      <c r="F28" s="72"/>
      <c r="G28" s="72"/>
      <c r="H28" s="5"/>
      <c r="I28" s="5"/>
      <c r="J28" s="5"/>
      <c r="K28" s="5"/>
      <c r="L28" s="406"/>
      <c r="M28" s="5"/>
      <c r="N28" s="5"/>
      <c r="O28" s="5"/>
      <c r="P28" s="5"/>
      <c r="Q28" s="5"/>
      <c r="R28" s="5"/>
      <c r="S28" s="325"/>
      <c r="T28" s="325"/>
      <c r="U28" s="325"/>
      <c r="V28" s="325"/>
      <c r="W28" s="325"/>
      <c r="X28" s="325"/>
      <c r="Y28" s="325"/>
      <c r="Z28" s="325"/>
      <c r="AA28" s="325"/>
      <c r="AB28" s="325"/>
      <c r="AC28" s="325"/>
      <c r="AD28" s="325"/>
      <c r="AE28" s="325"/>
      <c r="AF28" s="325"/>
      <c r="AG28" s="325"/>
      <c r="AH28" s="325"/>
    </row>
    <row r="29" spans="1:36" hidden="1">
      <c r="A29" s="5"/>
      <c r="B29" s="5"/>
      <c r="C29" s="5"/>
      <c r="D29" s="5"/>
      <c r="E29" s="18"/>
      <c r="F29" s="18"/>
      <c r="G29" s="18"/>
      <c r="H29" s="5"/>
      <c r="I29" s="5"/>
      <c r="J29" s="5"/>
      <c r="K29" s="5"/>
      <c r="L29" s="406"/>
      <c r="M29" s="5"/>
      <c r="N29" s="5"/>
      <c r="O29" s="5"/>
      <c r="P29" s="5"/>
      <c r="Q29" s="5"/>
      <c r="R29" s="5"/>
      <c r="S29" s="325"/>
      <c r="U29" s="325"/>
      <c r="V29" s="325"/>
      <c r="W29" s="325"/>
      <c r="X29" s="325"/>
      <c r="Y29" s="325"/>
    </row>
    <row r="30" spans="1:36" hidden="1">
      <c r="A30" s="5"/>
      <c r="B30" s="5"/>
      <c r="C30" s="5"/>
      <c r="D30" s="5"/>
      <c r="E30" s="18"/>
      <c r="F30" s="18"/>
      <c r="G30" s="18"/>
      <c r="H30" s="5"/>
      <c r="I30" s="5"/>
      <c r="J30" s="5"/>
      <c r="K30" s="5"/>
      <c r="L30" s="406"/>
      <c r="M30" s="5"/>
      <c r="N30" s="5"/>
      <c r="O30" s="5"/>
      <c r="P30" s="5"/>
      <c r="Q30" s="5"/>
      <c r="R30" s="5"/>
      <c r="S30" s="325"/>
      <c r="U30" s="325"/>
      <c r="V30" s="325"/>
      <c r="W30" s="325"/>
      <c r="X30" s="325"/>
      <c r="Y30" s="325"/>
    </row>
    <row r="31" spans="1:36" hidden="1">
      <c r="A31" s="5"/>
      <c r="B31" s="5"/>
      <c r="C31" s="5"/>
      <c r="D31" s="5"/>
      <c r="E31" s="18"/>
      <c r="F31" s="18"/>
      <c r="G31" s="18"/>
      <c r="H31" s="5"/>
      <c r="I31" s="5"/>
      <c r="J31" s="5"/>
      <c r="K31" s="5"/>
      <c r="L31" s="406"/>
      <c r="M31" s="5"/>
      <c r="N31" s="5"/>
      <c r="O31" s="5"/>
      <c r="P31" s="5"/>
      <c r="Q31" s="5"/>
      <c r="R31" s="5"/>
      <c r="S31" s="325"/>
      <c r="U31" s="325"/>
      <c r="V31" s="325"/>
      <c r="W31" s="325"/>
      <c r="X31" s="325"/>
      <c r="Y31" s="325"/>
    </row>
    <row r="32" spans="1:36" hidden="1">
      <c r="A32" s="5"/>
      <c r="B32" s="5"/>
      <c r="C32" s="5"/>
      <c r="D32" s="5"/>
      <c r="E32" s="18"/>
      <c r="F32" s="18"/>
      <c r="G32" s="18"/>
      <c r="H32" s="5"/>
      <c r="I32" s="5"/>
      <c r="J32" s="5"/>
      <c r="K32" s="5"/>
      <c r="L32" s="406"/>
      <c r="M32" s="5"/>
      <c r="N32" s="5"/>
      <c r="O32" s="5"/>
      <c r="P32" s="5"/>
      <c r="Q32" s="5"/>
      <c r="R32" s="5"/>
      <c r="S32" s="325"/>
      <c r="U32" s="325"/>
      <c r="V32" s="325"/>
      <c r="W32" s="325"/>
      <c r="X32" s="325"/>
      <c r="Y32" s="325"/>
    </row>
    <row r="33" spans="1:25" hidden="1">
      <c r="A33" s="5"/>
      <c r="B33" s="5"/>
      <c r="C33" s="5"/>
      <c r="D33" s="5"/>
      <c r="E33" s="18"/>
      <c r="F33" s="18"/>
      <c r="G33" s="18"/>
      <c r="H33" s="5"/>
      <c r="I33" s="5"/>
      <c r="J33" s="5"/>
      <c r="K33" s="5"/>
      <c r="L33" s="406"/>
      <c r="M33" s="5"/>
      <c r="N33" s="5"/>
      <c r="O33" s="5"/>
      <c r="P33" s="5"/>
      <c r="Q33" s="5"/>
      <c r="R33" s="5"/>
      <c r="S33" s="325"/>
      <c r="U33" s="325"/>
      <c r="V33" s="325"/>
      <c r="W33" s="325"/>
      <c r="X33" s="325"/>
      <c r="Y33" s="325"/>
    </row>
    <row r="34" spans="1:25" hidden="1">
      <c r="A34" s="5"/>
      <c r="B34" s="5"/>
      <c r="C34" s="5"/>
      <c r="D34" s="5"/>
      <c r="E34" s="18"/>
      <c r="F34" s="18"/>
      <c r="G34" s="18"/>
      <c r="H34" s="5"/>
      <c r="I34" s="5"/>
      <c r="J34" s="5"/>
      <c r="K34" s="5"/>
      <c r="L34" s="406"/>
      <c r="M34" s="5"/>
      <c r="N34" s="5"/>
      <c r="O34" s="5"/>
      <c r="P34" s="5"/>
      <c r="Q34" s="5"/>
      <c r="R34" s="5"/>
      <c r="S34" s="325"/>
      <c r="U34" s="325"/>
      <c r="V34" s="325"/>
      <c r="W34" s="325"/>
      <c r="X34" s="325"/>
      <c r="Y34" s="325"/>
    </row>
    <row r="35" spans="1:25" hidden="1">
      <c r="A35" s="5"/>
      <c r="B35" s="5"/>
      <c r="C35" s="5"/>
      <c r="D35" s="5"/>
      <c r="E35" s="18"/>
      <c r="F35" s="18"/>
      <c r="G35" s="18"/>
      <c r="H35" s="5"/>
      <c r="I35" s="5"/>
      <c r="J35" s="5"/>
      <c r="K35" s="5"/>
      <c r="L35" s="406"/>
      <c r="M35" s="5"/>
      <c r="N35" s="5"/>
      <c r="O35" s="5"/>
      <c r="P35" s="5"/>
      <c r="Q35" s="5"/>
      <c r="R35" s="5"/>
      <c r="S35" s="325"/>
      <c r="U35" s="325"/>
      <c r="V35" s="325"/>
      <c r="W35" s="325"/>
      <c r="X35" s="325"/>
      <c r="Y35" s="325"/>
    </row>
    <row r="36" spans="1:25" hidden="1">
      <c r="A36" s="5"/>
      <c r="B36" s="5"/>
      <c r="C36" s="5"/>
      <c r="D36" s="5"/>
      <c r="E36" s="18"/>
      <c r="F36" s="18"/>
      <c r="G36" s="18"/>
      <c r="H36" s="5"/>
      <c r="I36" s="5"/>
      <c r="J36" s="5"/>
      <c r="K36" s="5"/>
      <c r="L36" s="406"/>
      <c r="M36" s="5"/>
      <c r="N36" s="5"/>
      <c r="O36" s="5"/>
      <c r="P36" s="5"/>
      <c r="Q36" s="5"/>
      <c r="R36" s="5"/>
      <c r="S36" s="325"/>
      <c r="U36" s="325"/>
      <c r="V36" s="325"/>
      <c r="W36" s="325"/>
      <c r="X36" s="325"/>
      <c r="Y36" s="325"/>
    </row>
    <row r="37" spans="1:25" hidden="1">
      <c r="A37" s="5"/>
      <c r="B37" s="5"/>
      <c r="C37" s="5"/>
      <c r="D37" s="5"/>
      <c r="E37" s="18"/>
      <c r="F37" s="18"/>
      <c r="G37" s="18"/>
      <c r="H37" s="5"/>
      <c r="I37" s="5"/>
      <c r="J37" s="5"/>
      <c r="K37" s="5"/>
      <c r="L37" s="406"/>
      <c r="M37" s="5"/>
      <c r="N37" s="5"/>
      <c r="O37" s="5"/>
      <c r="P37" s="5"/>
      <c r="Q37" s="5"/>
      <c r="R37" s="5"/>
      <c r="S37" s="325"/>
      <c r="U37" s="325"/>
      <c r="V37" s="325"/>
      <c r="W37" s="325"/>
      <c r="X37" s="325"/>
      <c r="Y37" s="325"/>
    </row>
    <row r="38" spans="1:25" hidden="1">
      <c r="A38" s="5"/>
      <c r="B38" s="5"/>
      <c r="C38" s="5"/>
      <c r="D38" s="5"/>
      <c r="E38" s="18"/>
      <c r="F38" s="18"/>
      <c r="G38" s="18"/>
      <c r="H38" s="5"/>
      <c r="I38" s="5"/>
      <c r="J38" s="5"/>
      <c r="K38" s="5"/>
      <c r="L38" s="406"/>
      <c r="M38" s="5"/>
      <c r="N38" s="5"/>
      <c r="O38" s="5"/>
      <c r="P38" s="5"/>
      <c r="Q38" s="5"/>
      <c r="R38" s="5"/>
      <c r="S38" s="325"/>
      <c r="U38" s="325"/>
      <c r="V38" s="325"/>
      <c r="W38" s="325"/>
      <c r="X38" s="325"/>
      <c r="Y38" s="325"/>
    </row>
    <row r="39" spans="1:25" hidden="1">
      <c r="A39" s="5"/>
      <c r="B39" s="5"/>
      <c r="C39" s="5"/>
      <c r="D39" s="5"/>
      <c r="E39" s="18"/>
      <c r="F39" s="18"/>
      <c r="G39" s="18"/>
      <c r="H39" s="5"/>
      <c r="I39" s="5"/>
      <c r="J39" s="5"/>
      <c r="K39" s="5"/>
      <c r="L39" s="406"/>
      <c r="M39" s="5"/>
      <c r="N39" s="5"/>
      <c r="O39" s="5"/>
      <c r="P39" s="5"/>
      <c r="Q39" s="5"/>
      <c r="R39" s="5"/>
      <c r="S39" s="325"/>
      <c r="U39" s="325"/>
      <c r="V39" s="325"/>
      <c r="W39" s="325"/>
      <c r="X39" s="325"/>
      <c r="Y39" s="325"/>
    </row>
    <row r="40" spans="1:25" hidden="1">
      <c r="A40" s="5"/>
      <c r="B40" s="5"/>
      <c r="C40" s="5"/>
      <c r="D40" s="5"/>
      <c r="E40" s="18"/>
      <c r="F40" s="18"/>
      <c r="G40" s="18"/>
      <c r="H40" s="5"/>
      <c r="I40" s="5"/>
      <c r="J40" s="5"/>
      <c r="K40" s="5"/>
      <c r="L40" s="406"/>
      <c r="M40" s="5"/>
      <c r="N40" s="5"/>
      <c r="O40" s="5"/>
      <c r="P40" s="5"/>
      <c r="Q40" s="5"/>
      <c r="R40" s="5"/>
      <c r="S40" s="325"/>
      <c r="U40" s="325"/>
      <c r="V40" s="325"/>
      <c r="W40" s="325"/>
      <c r="X40" s="325"/>
      <c r="Y40" s="325"/>
    </row>
    <row r="41" spans="1:25" hidden="1">
      <c r="A41" s="5"/>
      <c r="B41" s="5"/>
      <c r="C41" s="5"/>
      <c r="D41" s="5"/>
      <c r="E41" s="18"/>
      <c r="F41" s="18"/>
      <c r="G41" s="18"/>
      <c r="H41" s="5"/>
      <c r="I41" s="5"/>
      <c r="J41" s="5"/>
      <c r="K41" s="5"/>
      <c r="L41" s="406"/>
      <c r="M41" s="5"/>
      <c r="N41" s="5"/>
      <c r="O41" s="5"/>
      <c r="P41" s="5"/>
      <c r="Q41" s="5"/>
      <c r="R41" s="5"/>
      <c r="S41" s="325"/>
      <c r="U41" s="325"/>
      <c r="V41" s="325"/>
      <c r="W41" s="325"/>
      <c r="X41" s="325"/>
      <c r="Y41" s="325"/>
    </row>
    <row r="42" spans="1:25" hidden="1">
      <c r="A42" s="5"/>
      <c r="B42" s="5"/>
      <c r="C42" s="5"/>
      <c r="D42" s="5"/>
      <c r="E42" s="18"/>
      <c r="F42" s="18"/>
      <c r="G42" s="18"/>
      <c r="H42" s="5"/>
      <c r="I42" s="5"/>
      <c r="J42" s="5"/>
      <c r="K42" s="5"/>
      <c r="L42" s="406"/>
      <c r="M42" s="5"/>
      <c r="N42" s="5"/>
      <c r="O42" s="5"/>
      <c r="P42" s="5"/>
      <c r="Q42" s="5"/>
      <c r="R42" s="5"/>
      <c r="S42" s="325"/>
      <c r="U42" s="325"/>
      <c r="V42" s="325"/>
      <c r="W42" s="325"/>
      <c r="X42" s="325"/>
      <c r="Y42" s="325"/>
    </row>
    <row r="43" spans="1:25" hidden="1">
      <c r="A43" s="5"/>
      <c r="B43" s="5"/>
      <c r="C43" s="5"/>
      <c r="D43" s="5"/>
      <c r="E43" s="18"/>
      <c r="F43" s="18"/>
      <c r="G43" s="18"/>
      <c r="H43" s="5"/>
      <c r="I43" s="5"/>
      <c r="J43" s="5"/>
      <c r="K43" s="5"/>
      <c r="L43" s="406"/>
      <c r="M43" s="5"/>
      <c r="N43" s="5"/>
      <c r="O43" s="5"/>
      <c r="P43" s="5"/>
      <c r="Q43" s="5"/>
      <c r="R43" s="5"/>
      <c r="S43" s="325"/>
      <c r="U43" s="325"/>
      <c r="V43" s="325"/>
      <c r="W43" s="325"/>
      <c r="X43" s="325"/>
      <c r="Y43" s="325"/>
    </row>
    <row r="44" spans="1:25" hidden="1">
      <c r="A44" s="5"/>
      <c r="B44" s="5"/>
      <c r="C44" s="5"/>
      <c r="D44" s="5"/>
      <c r="E44" s="18"/>
      <c r="F44" s="18"/>
      <c r="G44" s="18"/>
      <c r="H44" s="5"/>
      <c r="I44" s="5"/>
      <c r="J44" s="5"/>
      <c r="K44" s="5"/>
      <c r="L44" s="406"/>
      <c r="M44" s="5"/>
      <c r="N44" s="5"/>
      <c r="O44" s="5"/>
      <c r="P44" s="5"/>
      <c r="Q44" s="5"/>
      <c r="R44" s="5"/>
      <c r="S44" s="325"/>
      <c r="U44" s="325"/>
      <c r="V44" s="325"/>
      <c r="W44" s="325"/>
      <c r="X44" s="325"/>
      <c r="Y44" s="325"/>
    </row>
    <row r="45" spans="1:25" hidden="1">
      <c r="A45" s="5"/>
      <c r="B45" s="5"/>
      <c r="C45" s="5"/>
      <c r="D45" s="5"/>
      <c r="E45" s="18"/>
      <c r="F45" s="18"/>
      <c r="G45" s="18"/>
      <c r="H45" s="5"/>
      <c r="I45" s="5"/>
      <c r="J45" s="5"/>
      <c r="K45" s="5"/>
      <c r="L45" s="406"/>
      <c r="M45" s="5"/>
      <c r="N45" s="5"/>
      <c r="O45" s="5"/>
      <c r="P45" s="5"/>
      <c r="Q45" s="5"/>
      <c r="R45" s="5"/>
      <c r="S45" s="325"/>
      <c r="U45" s="325"/>
      <c r="V45" s="325"/>
      <c r="W45" s="325"/>
      <c r="X45" s="325"/>
      <c r="Y45" s="325"/>
    </row>
    <row r="46" spans="1:25" hidden="1">
      <c r="A46" s="5"/>
      <c r="B46" s="5"/>
      <c r="C46" s="5"/>
      <c r="D46" s="5"/>
      <c r="E46" s="18"/>
      <c r="F46" s="18"/>
      <c r="G46" s="18"/>
      <c r="H46" s="5"/>
      <c r="I46" s="5"/>
      <c r="J46" s="5"/>
      <c r="K46" s="5"/>
      <c r="L46" s="406"/>
      <c r="M46" s="5"/>
      <c r="N46" s="5"/>
      <c r="O46" s="5"/>
      <c r="P46" s="5"/>
      <c r="Q46" s="5"/>
      <c r="R46" s="5"/>
      <c r="S46" s="325"/>
      <c r="U46" s="325"/>
      <c r="V46" s="325"/>
      <c r="W46" s="325"/>
      <c r="X46" s="325"/>
      <c r="Y46" s="325"/>
    </row>
    <row r="47" spans="1:25" hidden="1">
      <c r="A47" s="5"/>
      <c r="B47" s="5"/>
      <c r="C47" s="5"/>
      <c r="D47" s="5"/>
      <c r="E47" s="18"/>
      <c r="F47" s="18"/>
      <c r="G47" s="18"/>
      <c r="H47" s="5"/>
      <c r="I47" s="5"/>
      <c r="J47" s="5"/>
      <c r="K47" s="5"/>
      <c r="L47" s="406"/>
      <c r="M47" s="5"/>
      <c r="N47" s="5"/>
      <c r="O47" s="5"/>
      <c r="P47" s="5"/>
      <c r="Q47" s="5"/>
      <c r="R47" s="5"/>
      <c r="S47" s="325"/>
      <c r="U47" s="325"/>
      <c r="V47" s="325"/>
      <c r="W47" s="325"/>
      <c r="X47" s="325"/>
      <c r="Y47" s="325"/>
    </row>
    <row r="48" spans="1:25" hidden="1">
      <c r="A48" s="5"/>
      <c r="B48" s="5"/>
      <c r="C48" s="5"/>
      <c r="D48" s="5"/>
      <c r="E48" s="18"/>
      <c r="F48" s="18"/>
      <c r="G48" s="18"/>
      <c r="H48" s="5"/>
      <c r="I48" s="5"/>
      <c r="J48" s="5"/>
      <c r="K48" s="5"/>
      <c r="L48" s="406"/>
      <c r="M48" s="5"/>
      <c r="N48" s="5"/>
      <c r="O48" s="5"/>
      <c r="P48" s="5"/>
      <c r="Q48" s="5"/>
      <c r="R48" s="5"/>
      <c r="S48" s="325"/>
      <c r="U48" s="325"/>
      <c r="V48" s="325"/>
      <c r="W48" s="325"/>
      <c r="X48" s="325"/>
      <c r="Y48" s="325"/>
    </row>
    <row r="49" spans="1:25" hidden="1">
      <c r="A49" s="5"/>
      <c r="B49" s="5"/>
      <c r="C49" s="5"/>
      <c r="D49" s="5"/>
      <c r="E49" s="18"/>
      <c r="F49" s="18"/>
      <c r="G49" s="18"/>
      <c r="H49" s="5"/>
      <c r="I49" s="5"/>
      <c r="J49" s="5"/>
      <c r="K49" s="5"/>
      <c r="L49" s="406"/>
      <c r="M49" s="5"/>
      <c r="N49" s="5"/>
      <c r="O49" s="5"/>
      <c r="P49" s="5"/>
      <c r="Q49" s="5"/>
      <c r="R49" s="5"/>
      <c r="S49" s="325"/>
      <c r="U49" s="325"/>
      <c r="V49" s="325"/>
      <c r="W49" s="325"/>
      <c r="X49" s="325"/>
      <c r="Y49" s="325"/>
    </row>
    <row r="50" spans="1:25" hidden="1">
      <c r="A50" s="5"/>
      <c r="B50" s="5"/>
      <c r="C50" s="5"/>
      <c r="D50" s="5"/>
      <c r="E50" s="18"/>
      <c r="F50" s="18"/>
      <c r="G50" s="18"/>
      <c r="H50" s="5"/>
      <c r="I50" s="5"/>
      <c r="J50" s="5"/>
      <c r="K50" s="5"/>
      <c r="L50" s="406"/>
      <c r="M50" s="5"/>
      <c r="N50" s="5"/>
      <c r="O50" s="5"/>
      <c r="P50" s="5"/>
      <c r="Q50" s="5"/>
      <c r="R50" s="5"/>
      <c r="S50" s="325"/>
      <c r="U50" s="325"/>
      <c r="V50" s="325"/>
      <c r="W50" s="325"/>
      <c r="X50" s="325"/>
      <c r="Y50" s="325"/>
    </row>
    <row r="51" spans="1:25" hidden="1">
      <c r="A51" s="5"/>
      <c r="B51" s="5"/>
      <c r="C51" s="5"/>
      <c r="D51" s="5"/>
      <c r="E51" s="18"/>
      <c r="F51" s="18"/>
      <c r="G51" s="18"/>
      <c r="H51" s="5"/>
      <c r="I51" s="5"/>
      <c r="J51" s="5"/>
      <c r="K51" s="5"/>
      <c r="L51" s="406"/>
      <c r="M51" s="5"/>
      <c r="N51" s="5"/>
      <c r="O51" s="5"/>
      <c r="P51" s="5"/>
      <c r="Q51" s="5"/>
      <c r="R51" s="5"/>
      <c r="S51" s="325"/>
      <c r="U51" s="325"/>
      <c r="V51" s="325"/>
      <c r="W51" s="325"/>
      <c r="X51" s="325"/>
      <c r="Y51" s="325"/>
    </row>
    <row r="52" spans="1:25" hidden="1">
      <c r="A52" s="5"/>
      <c r="B52" s="5"/>
      <c r="C52" s="5"/>
      <c r="D52" s="5"/>
      <c r="E52" s="18"/>
      <c r="F52" s="18"/>
      <c r="G52" s="18"/>
      <c r="H52" s="5"/>
      <c r="I52" s="5"/>
      <c r="J52" s="5"/>
      <c r="K52" s="5"/>
      <c r="L52" s="406"/>
      <c r="M52" s="5"/>
      <c r="N52" s="5"/>
      <c r="O52" s="5"/>
      <c r="P52" s="5"/>
      <c r="Q52" s="5"/>
      <c r="R52" s="5"/>
      <c r="S52" s="325"/>
      <c r="U52" s="325"/>
      <c r="V52" s="325"/>
      <c r="W52" s="325"/>
      <c r="X52" s="325"/>
      <c r="Y52" s="325"/>
    </row>
    <row r="53" spans="1:25" hidden="1">
      <c r="A53" s="5"/>
      <c r="B53" s="5"/>
      <c r="C53" s="5"/>
      <c r="D53" s="5"/>
      <c r="E53" s="18"/>
      <c r="F53" s="18"/>
      <c r="G53" s="18"/>
      <c r="H53" s="5"/>
      <c r="I53" s="5"/>
      <c r="J53" s="5"/>
      <c r="K53" s="5"/>
      <c r="L53" s="406"/>
      <c r="M53" s="5"/>
      <c r="N53" s="5"/>
      <c r="O53" s="5"/>
      <c r="P53" s="5"/>
      <c r="Q53" s="5"/>
      <c r="R53" s="5"/>
      <c r="S53" s="325"/>
      <c r="U53" s="325"/>
      <c r="V53" s="325"/>
      <c r="W53" s="325"/>
      <c r="X53" s="325"/>
      <c r="Y53" s="325"/>
    </row>
    <row r="54" spans="1:25" hidden="1">
      <c r="A54" s="5"/>
      <c r="B54" s="5"/>
      <c r="C54" s="5"/>
      <c r="D54" s="5"/>
      <c r="E54" s="18"/>
      <c r="F54" s="18"/>
      <c r="G54" s="18"/>
      <c r="H54" s="5"/>
      <c r="I54" s="5"/>
      <c r="J54" s="5"/>
      <c r="K54" s="5"/>
      <c r="L54" s="406"/>
      <c r="M54" s="5"/>
      <c r="N54" s="5"/>
      <c r="O54" s="5"/>
      <c r="P54" s="5"/>
      <c r="Q54" s="5"/>
      <c r="R54" s="5"/>
      <c r="S54" s="325"/>
      <c r="U54" s="325"/>
      <c r="V54" s="325"/>
      <c r="W54" s="325"/>
      <c r="X54" s="325"/>
      <c r="Y54" s="325"/>
    </row>
    <row r="55" spans="1:25" hidden="1">
      <c r="A55" s="5"/>
      <c r="B55" s="5"/>
      <c r="C55" s="5"/>
      <c r="D55" s="5"/>
      <c r="E55" s="18"/>
      <c r="F55" s="18"/>
      <c r="G55" s="18"/>
      <c r="H55" s="5"/>
      <c r="I55" s="5"/>
      <c r="J55" s="5"/>
      <c r="K55" s="5"/>
      <c r="L55" s="406"/>
      <c r="M55" s="5"/>
      <c r="N55" s="5"/>
      <c r="O55" s="5"/>
      <c r="P55" s="5"/>
      <c r="Q55" s="5"/>
      <c r="R55" s="5"/>
      <c r="S55" s="325"/>
      <c r="U55" s="325"/>
      <c r="V55" s="325"/>
      <c r="W55" s="325"/>
      <c r="X55" s="325"/>
      <c r="Y55" s="325"/>
    </row>
    <row r="56" spans="1:25" hidden="1">
      <c r="A56" s="5"/>
      <c r="B56" s="5"/>
      <c r="C56" s="5"/>
      <c r="D56" s="5"/>
      <c r="E56" s="18"/>
      <c r="F56" s="18"/>
      <c r="G56" s="18"/>
      <c r="H56" s="5"/>
      <c r="I56" s="5"/>
      <c r="J56" s="5"/>
      <c r="K56" s="5"/>
      <c r="L56" s="406"/>
      <c r="M56" s="5"/>
      <c r="N56" s="5"/>
      <c r="O56" s="5"/>
      <c r="P56" s="5"/>
      <c r="Q56" s="5"/>
      <c r="R56" s="5"/>
      <c r="S56" s="325"/>
      <c r="U56" s="325"/>
      <c r="V56" s="325"/>
      <c r="W56" s="325"/>
      <c r="X56" s="325"/>
      <c r="Y56" s="325"/>
    </row>
    <row r="57" spans="1:25" hidden="1">
      <c r="A57" s="5"/>
      <c r="B57" s="5"/>
      <c r="C57" s="5"/>
      <c r="D57" s="5"/>
      <c r="E57" s="18"/>
      <c r="F57" s="18"/>
      <c r="G57" s="18"/>
      <c r="H57" s="5"/>
      <c r="I57" s="5"/>
      <c r="J57" s="5"/>
      <c r="K57" s="5"/>
      <c r="L57" s="406"/>
      <c r="M57" s="5"/>
      <c r="N57" s="5"/>
      <c r="O57" s="5"/>
      <c r="P57" s="5"/>
      <c r="Q57" s="5"/>
      <c r="R57" s="5"/>
      <c r="S57" s="325"/>
      <c r="U57" s="325"/>
      <c r="V57" s="325"/>
      <c r="W57" s="325"/>
      <c r="X57" s="325"/>
      <c r="Y57" s="325"/>
    </row>
    <row r="58" spans="1:25" hidden="1">
      <c r="A58" s="5"/>
      <c r="B58" s="5"/>
      <c r="C58" s="5"/>
      <c r="D58" s="5"/>
      <c r="E58" s="18"/>
      <c r="F58" s="18"/>
      <c r="G58" s="18"/>
      <c r="H58" s="5"/>
      <c r="I58" s="5"/>
      <c r="J58" s="5"/>
      <c r="K58" s="5"/>
      <c r="L58" s="406"/>
      <c r="M58" s="5"/>
      <c r="N58" s="5"/>
      <c r="O58" s="5"/>
      <c r="P58" s="5"/>
      <c r="Q58" s="5"/>
      <c r="R58" s="5"/>
      <c r="S58" s="325"/>
      <c r="U58" s="325"/>
      <c r="V58" s="325"/>
      <c r="W58" s="325"/>
      <c r="X58" s="325"/>
      <c r="Y58" s="325"/>
    </row>
    <row r="59" spans="1:25" hidden="1">
      <c r="A59" s="5"/>
      <c r="B59" s="5"/>
      <c r="C59" s="5"/>
      <c r="D59" s="5"/>
      <c r="E59" s="18"/>
      <c r="F59" s="18"/>
      <c r="G59" s="18"/>
      <c r="H59" s="5"/>
      <c r="I59" s="5"/>
      <c r="J59" s="5"/>
      <c r="K59" s="5"/>
      <c r="L59" s="406"/>
      <c r="M59" s="5"/>
      <c r="N59" s="5"/>
      <c r="O59" s="5"/>
      <c r="P59" s="5"/>
      <c r="Q59" s="5"/>
      <c r="R59" s="5"/>
      <c r="S59" s="325"/>
      <c r="U59" s="325"/>
      <c r="V59" s="325"/>
      <c r="W59" s="325"/>
      <c r="X59" s="325"/>
      <c r="Y59" s="325"/>
    </row>
    <row r="60" spans="1:25" hidden="1">
      <c r="A60" s="5"/>
      <c r="B60" s="5"/>
      <c r="C60" s="5"/>
      <c r="D60" s="5"/>
      <c r="E60" s="18"/>
      <c r="F60" s="18"/>
      <c r="G60" s="18"/>
      <c r="H60" s="5"/>
      <c r="I60" s="5"/>
      <c r="J60" s="5"/>
      <c r="K60" s="5"/>
      <c r="L60" s="406"/>
      <c r="M60" s="5"/>
      <c r="N60" s="5"/>
      <c r="O60" s="5"/>
      <c r="P60" s="5"/>
      <c r="Q60" s="5"/>
      <c r="R60" s="5"/>
      <c r="S60" s="325"/>
      <c r="U60" s="325"/>
      <c r="V60" s="325"/>
      <c r="W60" s="325"/>
      <c r="X60" s="325"/>
      <c r="Y60" s="325"/>
    </row>
    <row r="61" spans="1:25" hidden="1">
      <c r="A61" s="5"/>
      <c r="B61" s="5"/>
      <c r="C61" s="5"/>
      <c r="D61" s="5"/>
      <c r="E61" s="18"/>
      <c r="F61" s="18"/>
      <c r="G61" s="18"/>
      <c r="H61" s="5"/>
      <c r="I61" s="5"/>
      <c r="J61" s="5"/>
      <c r="K61" s="5"/>
      <c r="L61" s="406"/>
      <c r="M61" s="5"/>
      <c r="N61" s="5"/>
      <c r="O61" s="5"/>
      <c r="P61" s="5"/>
      <c r="Q61" s="5"/>
      <c r="R61" s="5"/>
      <c r="X61" s="325"/>
      <c r="Y61" s="325"/>
    </row>
    <row r="62" spans="1:25" hidden="1">
      <c r="A62" s="5"/>
      <c r="B62" s="5"/>
      <c r="C62" s="5"/>
      <c r="D62" s="5"/>
      <c r="E62" s="18"/>
      <c r="F62" s="18"/>
      <c r="G62" s="18"/>
      <c r="H62" s="5"/>
      <c r="I62" s="5"/>
      <c r="J62" s="5"/>
      <c r="K62" s="5"/>
      <c r="L62" s="406"/>
      <c r="M62" s="5"/>
      <c r="N62" s="5"/>
      <c r="O62" s="5"/>
      <c r="P62" s="5"/>
      <c r="Q62" s="5"/>
      <c r="R62" s="5"/>
      <c r="X62" s="325"/>
      <c r="Y62" s="325"/>
    </row>
    <row r="63" spans="1:25" hidden="1">
      <c r="A63" s="5"/>
      <c r="B63" s="5"/>
      <c r="C63" s="5"/>
      <c r="D63" s="5"/>
      <c r="E63" s="18"/>
      <c r="F63" s="18"/>
      <c r="G63" s="18"/>
      <c r="H63" s="5"/>
      <c r="I63" s="5"/>
      <c r="J63" s="5"/>
      <c r="K63" s="5"/>
      <c r="L63" s="406"/>
      <c r="M63" s="5"/>
      <c r="N63" s="5"/>
      <c r="O63" s="5"/>
      <c r="P63" s="5"/>
      <c r="Q63" s="5"/>
      <c r="R63" s="5"/>
      <c r="X63" s="325"/>
      <c r="Y63" s="325"/>
    </row>
    <row r="64" spans="1:25" hidden="1">
      <c r="A64" s="5"/>
      <c r="B64" s="5"/>
      <c r="C64" s="5"/>
      <c r="D64" s="5"/>
      <c r="E64" s="18"/>
      <c r="F64" s="18"/>
      <c r="G64" s="18"/>
      <c r="H64" s="5"/>
      <c r="I64" s="5"/>
      <c r="J64" s="5"/>
      <c r="K64" s="5"/>
      <c r="L64" s="406"/>
      <c r="M64" s="5"/>
      <c r="N64" s="5"/>
      <c r="O64" s="5"/>
      <c r="P64" s="5"/>
      <c r="Q64" s="5"/>
      <c r="R64" s="5"/>
      <c r="X64" s="325"/>
      <c r="Y64" s="325"/>
    </row>
    <row r="65" spans="1:25" hidden="1">
      <c r="A65" s="5"/>
      <c r="B65" s="5"/>
      <c r="C65" s="5"/>
      <c r="D65" s="5"/>
      <c r="E65" s="18"/>
      <c r="F65" s="18"/>
      <c r="G65" s="18"/>
      <c r="H65" s="5"/>
      <c r="I65" s="5"/>
      <c r="J65" s="5"/>
      <c r="K65" s="5"/>
      <c r="L65" s="406"/>
      <c r="M65" s="5"/>
      <c r="N65" s="5"/>
      <c r="O65" s="5"/>
      <c r="P65" s="5"/>
      <c r="Q65" s="5"/>
      <c r="R65" s="5"/>
      <c r="X65" s="325"/>
      <c r="Y65" s="325"/>
    </row>
    <row r="66" spans="1:25" hidden="1">
      <c r="A66" s="5"/>
      <c r="B66" s="5"/>
      <c r="C66" s="5"/>
      <c r="D66" s="5"/>
      <c r="E66" s="18"/>
      <c r="F66" s="18"/>
      <c r="G66" s="18"/>
      <c r="H66" s="5"/>
      <c r="I66" s="5"/>
      <c r="J66" s="5"/>
      <c r="K66" s="5"/>
      <c r="L66" s="406"/>
      <c r="M66" s="5"/>
      <c r="N66" s="5"/>
      <c r="O66" s="5"/>
      <c r="P66" s="5"/>
      <c r="Q66" s="5"/>
      <c r="R66" s="5"/>
      <c r="X66" s="325"/>
      <c r="Y66" s="325"/>
    </row>
    <row r="67" spans="1:25" hidden="1">
      <c r="A67" s="5"/>
      <c r="B67" s="5"/>
      <c r="C67" s="5"/>
      <c r="D67" s="5"/>
      <c r="E67" s="18"/>
      <c r="F67" s="18"/>
      <c r="G67" s="18"/>
      <c r="H67" s="5"/>
      <c r="I67" s="5"/>
      <c r="J67" s="5"/>
      <c r="K67" s="5"/>
      <c r="L67" s="406"/>
      <c r="M67" s="5"/>
      <c r="N67" s="5"/>
      <c r="O67" s="5"/>
      <c r="P67" s="5"/>
      <c r="Q67" s="5"/>
      <c r="R67" s="5"/>
      <c r="X67" s="325"/>
      <c r="Y67" s="325"/>
    </row>
    <row r="68" spans="1:25" hidden="1">
      <c r="A68" s="5"/>
      <c r="B68" s="5"/>
      <c r="C68" s="5"/>
      <c r="D68" s="5"/>
      <c r="E68" s="18"/>
      <c r="F68" s="18"/>
      <c r="G68" s="18"/>
      <c r="H68" s="5"/>
      <c r="I68" s="5"/>
      <c r="J68" s="5"/>
      <c r="K68" s="5"/>
      <c r="L68" s="406"/>
      <c r="M68" s="5"/>
      <c r="N68" s="5"/>
      <c r="O68" s="5"/>
      <c r="P68" s="5"/>
      <c r="Q68" s="5"/>
      <c r="R68" s="5"/>
      <c r="X68" s="325"/>
      <c r="Y68" s="325"/>
    </row>
    <row r="69" spans="1:25" hidden="1">
      <c r="A69" s="5"/>
      <c r="B69" s="5"/>
      <c r="C69" s="5"/>
      <c r="D69" s="5"/>
      <c r="E69" s="18"/>
      <c r="F69" s="18"/>
      <c r="G69" s="18"/>
      <c r="H69" s="5"/>
      <c r="I69" s="5"/>
      <c r="J69" s="5"/>
      <c r="K69" s="5"/>
      <c r="L69" s="406"/>
      <c r="M69" s="5"/>
      <c r="N69" s="5"/>
      <c r="O69" s="5"/>
      <c r="P69" s="5"/>
      <c r="Q69" s="5"/>
      <c r="R69" s="5"/>
      <c r="X69" s="325"/>
      <c r="Y69" s="325"/>
    </row>
    <row r="70" spans="1:25" hidden="1">
      <c r="A70" s="5"/>
      <c r="B70" s="5"/>
      <c r="C70" s="5"/>
      <c r="D70" s="5"/>
      <c r="E70" s="18"/>
      <c r="F70" s="18"/>
      <c r="G70" s="18"/>
      <c r="H70" s="5"/>
      <c r="I70" s="5"/>
      <c r="J70" s="5"/>
      <c r="K70" s="5"/>
      <c r="L70" s="406"/>
      <c r="M70" s="5"/>
      <c r="N70" s="5"/>
      <c r="O70" s="5"/>
      <c r="P70" s="5"/>
      <c r="Q70" s="5"/>
      <c r="R70" s="5"/>
      <c r="X70" s="325"/>
      <c r="Y70" s="325"/>
    </row>
    <row r="71" spans="1:25" hidden="1">
      <c r="A71" s="5"/>
      <c r="B71" s="5"/>
      <c r="C71" s="5"/>
      <c r="D71" s="5"/>
      <c r="E71" s="18"/>
      <c r="F71" s="18"/>
      <c r="G71" s="18"/>
      <c r="H71" s="5"/>
      <c r="I71" s="5"/>
      <c r="J71" s="5"/>
      <c r="K71" s="5"/>
      <c r="L71" s="406"/>
      <c r="M71" s="5"/>
      <c r="N71" s="5"/>
      <c r="O71" s="5"/>
      <c r="P71" s="5"/>
      <c r="Q71" s="5"/>
      <c r="R71" s="5"/>
      <c r="X71" s="325"/>
      <c r="Y71" s="325"/>
    </row>
    <row r="72" spans="1:25" hidden="1">
      <c r="A72" s="5"/>
      <c r="B72" s="5"/>
      <c r="C72" s="5"/>
      <c r="D72" s="5"/>
      <c r="E72" s="18"/>
      <c r="F72" s="18"/>
      <c r="G72" s="18"/>
      <c r="H72" s="5"/>
      <c r="I72" s="5"/>
      <c r="J72" s="5"/>
      <c r="K72" s="5"/>
      <c r="L72" s="406"/>
      <c r="M72" s="5"/>
      <c r="N72" s="5"/>
      <c r="O72" s="5"/>
      <c r="P72" s="5"/>
      <c r="Q72" s="5"/>
      <c r="R72" s="5"/>
      <c r="X72" s="325"/>
      <c r="Y72" s="325"/>
    </row>
  </sheetData>
  <mergeCells count="4">
    <mergeCell ref="I1:J1"/>
    <mergeCell ref="S2:S13"/>
    <mergeCell ref="Z2:Z13"/>
    <mergeCell ref="M2:M13"/>
  </mergeCells>
  <phoneticPr fontId="2" type="noConversion"/>
  <conditionalFormatting sqref="I2:J13">
    <cfRule type="cellIs" dxfId="239" priority="25" operator="equal">
      <formula>"/"</formula>
    </cfRule>
    <cfRule type="cellIs" dxfId="238" priority="28" operator="lessThan">
      <formula>0</formula>
    </cfRule>
    <cfRule type="cellIs" dxfId="237" priority="29" operator="greaterThan">
      <formula>0</formula>
    </cfRule>
  </conditionalFormatting>
  <conditionalFormatting sqref="L2:L13">
    <cfRule type="cellIs" dxfId="236" priority="22" operator="equal">
      <formula>2</formula>
    </cfRule>
    <cfRule type="cellIs" dxfId="235" priority="23" operator="equal">
      <formula>1</formula>
    </cfRule>
    <cfRule type="cellIs" dxfId="234" priority="24" operator="equal">
      <formula>0</formula>
    </cfRule>
  </conditionalFormatting>
  <conditionalFormatting sqref="G2:G13">
    <cfRule type="expression" dxfId="233" priority="7">
      <formula>$I$1="差距(LQ)"</formula>
    </cfRule>
  </conditionalFormatting>
  <conditionalFormatting sqref="F2:F13">
    <cfRule type="expression" dxfId="232" priority="6">
      <formula>$I$1="差距(Median)"</formula>
    </cfRule>
  </conditionalFormatting>
  <conditionalFormatting sqref="T3:Y13 T2:Z2 AA2:XFD13 A2:M2 A3:L13">
    <cfRule type="expression" dxfId="231" priority="1172">
      <formula>MOD(ROW(),2)=0</formula>
    </cfRule>
  </conditionalFormatting>
  <conditionalFormatting sqref="S2">
    <cfRule type="expression" dxfId="230" priority="5">
      <formula>MOD(ROW(),2)=0</formula>
    </cfRule>
  </conditionalFormatting>
  <conditionalFormatting sqref="S2 Z2 AG2:AG13">
    <cfRule type="expression" dxfId="229" priority="4">
      <formula>TRUE</formula>
    </cfRule>
  </conditionalFormatting>
  <hyperlinks>
    <hyperlink ref="A24" r:id="rId1" xr:uid="{00000000-0004-0000-0D00-000000000000}"/>
    <hyperlink ref="A25" r:id="rId2" xr:uid="{00000000-0004-0000-0D00-000001000000}"/>
    <hyperlink ref="A26" r:id="rId3" xr:uid="{00000000-0004-0000-0D00-000002000000}"/>
    <hyperlink ref="A27" r:id="rId4" xr:uid="{00000000-0004-0000-0D00-000003000000}"/>
  </hyperlinks>
  <pageMargins left="0.7" right="0.7" top="0.75" bottom="0.75" header="0.3" footer="0.3"/>
  <pageSetup paperSize="9" orientation="portrait" r:id="rId5"/>
  <legacyDrawing r:id="rId6"/>
  <extLst>
    <ext xmlns:x14="http://schemas.microsoft.com/office/spreadsheetml/2009/9/main" uri="{78C0D931-6437-407d-A8EE-F0AAD7539E65}">
      <x14:conditionalFormattings>
        <x14:conditionalFormatting xmlns:xm="http://schemas.microsoft.com/office/excel/2006/main">
          <x14:cfRule type="expression" priority="1" id="{69743272-38CC-4487-95D6-BECFF9968576}">
            <xm:f>入學要求!L285=0</xm:f>
            <x14:dxf>
              <font>
                <color rgb="FF9C0006"/>
              </font>
              <fill>
                <patternFill>
                  <bgColor rgb="FFFFC7CE"/>
                </patternFill>
              </fill>
            </x14:dxf>
          </x14:cfRule>
          <x14:cfRule type="expression" priority="2" id="{DFAE2804-858E-4D9F-BF5B-4A3504355F09}">
            <xm:f>入學要求!L285=2</xm:f>
            <x14:dxf>
              <font>
                <color rgb="FF9C5700"/>
              </font>
              <fill>
                <patternFill>
                  <bgColor rgb="FFFFEB9C"/>
                </patternFill>
              </fill>
            </x14:dxf>
          </x14:cfRule>
          <x14:cfRule type="expression" priority="3" id="{D746DC3F-B538-4C98-9654-C5CA1C33FC5B}">
            <xm:f>入學要求!L285=1</xm:f>
            <x14:dxf>
              <font>
                <color rgb="FF006100"/>
              </font>
              <fill>
                <patternFill>
                  <bgColor rgb="FFC6EFCE"/>
                </patternFill>
              </fill>
            </x14:dxf>
          </x14:cfRule>
          <xm:sqref>N2:R13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選單!$J$2:$J$3</xm:f>
          </x14:formula1>
          <xm:sqref>I1:J1</xm:sqref>
        </x14:dataValidation>
        <x14:dataValidation type="list" allowBlank="1" showInputMessage="1" showErrorMessage="1" xr:uid="{00000000-0002-0000-0D00-000001000000}">
          <x14:formula1>
            <xm:f>選單!$I$1:$I$3</xm:f>
          </x14:formula1>
          <xm:sqref>S2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12"/>
  <dimension ref="A1:AJ39"/>
  <sheetViews>
    <sheetView zoomScaleNormal="100" workbookViewId="0">
      <pane ySplit="1" topLeftCell="A2" activePane="bottomLeft" state="frozen"/>
      <selection pane="bottomLeft"/>
    </sheetView>
  </sheetViews>
  <sheetFormatPr defaultColWidth="0" defaultRowHeight="16.2" zeroHeight="1"/>
  <cols>
    <col min="1" max="1" width="7.109375" style="6" customWidth="1"/>
    <col min="2" max="2" width="9.109375" style="6" customWidth="1"/>
    <col min="3" max="3" width="25.77734375" style="6" customWidth="1"/>
    <col min="4" max="4" width="10.6640625" style="6" hidden="1" customWidth="1"/>
    <col min="5" max="5" width="7.77734375" style="333" customWidth="1"/>
    <col min="6" max="6" width="7.77734375" style="18" customWidth="1"/>
    <col min="7" max="7" width="7.77734375" style="17" customWidth="1"/>
    <col min="8" max="8" width="7.6640625" style="22" customWidth="1"/>
    <col min="9" max="9" width="7.6640625" style="23" customWidth="1"/>
    <col min="10" max="10" width="4.88671875" style="17" customWidth="1"/>
    <col min="11" max="11" width="4.6640625" style="17" customWidth="1"/>
    <col min="12" max="12" width="9.77734375" style="17" customWidth="1"/>
    <col min="13" max="17" width="2.21875" style="17" customWidth="1"/>
    <col min="18" max="18" width="8.88671875" style="17" customWidth="1"/>
    <col min="19" max="19" width="6.33203125" style="350" customWidth="1"/>
    <col min="20" max="21" width="6.33203125" style="17" customWidth="1"/>
    <col min="22" max="24" width="6.33203125" style="50" customWidth="1"/>
    <col min="25" max="25" width="8.88671875" style="50" customWidth="1"/>
    <col min="26" max="26" width="6.33203125" style="350" customWidth="1"/>
    <col min="27" max="31" width="6.33203125" style="50" customWidth="1"/>
    <col min="32" max="32" width="3.109375" style="50" customWidth="1"/>
    <col min="33" max="33" width="8.109375" style="50" customWidth="1"/>
    <col min="34" max="16384" width="9" style="135" hidden="1"/>
  </cols>
  <sheetData>
    <row r="1" spans="1:33" s="274" customFormat="1" ht="18" customHeight="1">
      <c r="A1" s="51" t="s">
        <v>203</v>
      </c>
      <c r="B1" s="51" t="s">
        <v>298</v>
      </c>
      <c r="C1" s="51" t="s">
        <v>367</v>
      </c>
      <c r="D1" s="51"/>
      <c r="E1" s="340" t="s">
        <v>204</v>
      </c>
      <c r="F1" s="340" t="s">
        <v>776</v>
      </c>
      <c r="G1" s="327" t="s">
        <v>205</v>
      </c>
      <c r="H1" s="510" t="s">
        <v>840</v>
      </c>
      <c r="I1" s="510"/>
      <c r="J1" s="327" t="s">
        <v>361</v>
      </c>
      <c r="K1" s="409" t="s">
        <v>376</v>
      </c>
      <c r="L1" s="327" t="s">
        <v>2189</v>
      </c>
      <c r="M1" s="327" t="s">
        <v>369</v>
      </c>
      <c r="N1" s="327" t="s">
        <v>370</v>
      </c>
      <c r="O1" s="327" t="s">
        <v>371</v>
      </c>
      <c r="P1" s="327" t="s">
        <v>372</v>
      </c>
      <c r="Q1" s="327" t="s">
        <v>373</v>
      </c>
      <c r="R1" s="327" t="s">
        <v>2029</v>
      </c>
      <c r="S1" s="327" t="s">
        <v>2027</v>
      </c>
      <c r="T1" s="327" t="s">
        <v>2021</v>
      </c>
      <c r="U1" s="327" t="s">
        <v>2022</v>
      </c>
      <c r="V1" s="327" t="s">
        <v>2023</v>
      </c>
      <c r="W1" s="327" t="s">
        <v>2024</v>
      </c>
      <c r="X1" s="327" t="s">
        <v>2025</v>
      </c>
      <c r="Y1" s="327" t="s">
        <v>2038</v>
      </c>
      <c r="Z1" s="327" t="s">
        <v>2027</v>
      </c>
      <c r="AA1" s="327" t="s">
        <v>2021</v>
      </c>
      <c r="AB1" s="327" t="s">
        <v>2022</v>
      </c>
      <c r="AC1" s="327" t="s">
        <v>2023</v>
      </c>
      <c r="AD1" s="327" t="s">
        <v>2024</v>
      </c>
      <c r="AE1" s="327" t="s">
        <v>2025</v>
      </c>
      <c r="AF1" s="327"/>
      <c r="AG1" s="327"/>
    </row>
    <row r="2" spans="1:33" ht="18" customHeight="1">
      <c r="A2" s="175" t="s">
        <v>1017</v>
      </c>
      <c r="B2" s="175" t="s">
        <v>2002</v>
      </c>
      <c r="C2" s="175" t="s">
        <v>794</v>
      </c>
      <c r="D2" s="175" t="s">
        <v>1465</v>
      </c>
      <c r="E2" s="338" t="s">
        <v>189</v>
      </c>
      <c r="F2" s="67">
        <v>22</v>
      </c>
      <c r="G2" s="193">
        <f>計分版!D315</f>
        <v>3.9500000000000006E-9</v>
      </c>
      <c r="H2" s="188">
        <f>G2-F2</f>
        <v>-21.999999996050001</v>
      </c>
      <c r="I2" s="189">
        <f>(G2-F2)/G2</f>
        <v>-5569620252.1645565</v>
      </c>
      <c r="J2" s="322">
        <v>82</v>
      </c>
      <c r="K2" s="380">
        <f>入學要求!S300</f>
        <v>0</v>
      </c>
      <c r="L2" s="502" t="s">
        <v>2194</v>
      </c>
      <c r="M2" s="325">
        <v>3</v>
      </c>
      <c r="N2" s="325">
        <v>3</v>
      </c>
      <c r="O2" s="325">
        <v>2</v>
      </c>
      <c r="P2" s="325">
        <v>2</v>
      </c>
      <c r="Q2" s="325">
        <v>2</v>
      </c>
      <c r="R2" s="501" t="s">
        <v>2030</v>
      </c>
      <c r="S2" s="322">
        <f>IF($R$2="2018年",'Offer Statistics'!EE2,IF($R$2="2019年",'Offer Statistics'!EE26,IF($R$2="2020年",'Offer Statistics'!EE50)))</f>
        <v>61</v>
      </c>
      <c r="T2" s="284">
        <f>IF($R$2="2018年",'Offer Statistics'!DZ2,IF($R$2="2019年",'Offer Statistics'!DZ26,IF($R$2="2020年",'Offer Statistics'!DZ50)))</f>
        <v>58</v>
      </c>
      <c r="U2" s="284">
        <f>IF($R$2="2018年",'Offer Statistics'!EA2,IF($R$2="2019年",'Offer Statistics'!EA26,IF($R$2="2020年",'Offer Statistics'!EA50)))</f>
        <v>3</v>
      </c>
      <c r="V2" s="284">
        <f>IF($R$2="2018年",'Offer Statistics'!EB2,IF($R$2="2019年",'Offer Statistics'!EB26,IF($R$2="2020年",'Offer Statistics'!EB50)))</f>
        <v>0</v>
      </c>
      <c r="W2" s="284">
        <f>IF($R$2="2018年",'Offer Statistics'!EC2,IF($R$2="2019年",'Offer Statistics'!EC26,IF($R$2="2020年",'Offer Statistics'!EC50)))</f>
        <v>0</v>
      </c>
      <c r="X2" s="284">
        <f>IF($R$2="2018年",'Offer Statistics'!ED2,IF($R$2="2019年",'Offer Statistics'!ED26,IF($R$2="2020年",'Offer Statistics'!ED50)))</f>
        <v>0</v>
      </c>
      <c r="Y2" s="501" t="str">
        <f>R2</f>
        <v>2020年</v>
      </c>
      <c r="Z2" s="322">
        <f>IF($R$2="2018年",'Offer Statistics'!DW2,IF($R$2="2019年",'Offer Statistics'!DW26,IF($R$2="2020年",'Offer Statistics'!DW50)))</f>
        <v>2790</v>
      </c>
      <c r="AA2" s="284">
        <f>IF($R$2="2018年",'Offer Statistics'!DR2,IF($R$2="2019年",'Offer Statistics'!DR26,IF($R$2="2020年",'Offer Statistics'!DR50)))</f>
        <v>619</v>
      </c>
      <c r="AB2" s="284">
        <f>IF($R$2="2018年",'Offer Statistics'!DS2,IF($R$2="2019年",'Offer Statistics'!DS26,IF($R$2="2020年",'Offer Statistics'!DS50)))</f>
        <v>517</v>
      </c>
      <c r="AC2" s="284">
        <f>IF($R$2="2018年",'Offer Statistics'!DT2,IF($R$2="2019年",'Offer Statistics'!DT26,IF($R$2="2020年",'Offer Statistics'!DT50)))</f>
        <v>565</v>
      </c>
      <c r="AD2" s="284">
        <f>IF($R$2="2018年",'Offer Statistics'!DU2,IF($R$2="2019年",'Offer Statistics'!DU26,IF($R$2="2020年",'Offer Statistics'!DU50)))</f>
        <v>618</v>
      </c>
      <c r="AE2" s="284">
        <f>IF($R$2="2018年",'Offer Statistics'!DV2,IF($R$2="2019年",'Offer Statistics'!DV26,IF($R$2="2020年",'Offer Statistics'!DV50)))</f>
        <v>471</v>
      </c>
      <c r="AF2" s="17"/>
      <c r="AG2" s="325" t="str">
        <f>A2</f>
        <v>JS8105</v>
      </c>
    </row>
    <row r="3" spans="1:33" ht="18" customHeight="1">
      <c r="A3" s="175" t="s">
        <v>1018</v>
      </c>
      <c r="B3" s="175" t="s">
        <v>2002</v>
      </c>
      <c r="C3" s="175" t="s">
        <v>796</v>
      </c>
      <c r="D3" s="175" t="s">
        <v>1467</v>
      </c>
      <c r="E3" s="338" t="s">
        <v>189</v>
      </c>
      <c r="F3" s="67">
        <v>20</v>
      </c>
      <c r="G3" s="193">
        <f>計分版!D316</f>
        <v>3.9500000000000006E-9</v>
      </c>
      <c r="H3" s="188">
        <f t="shared" ref="H3:H24" si="0">G3-F3</f>
        <v>-19.999999996050001</v>
      </c>
      <c r="I3" s="189">
        <f t="shared" ref="I3:I8" si="1">(G3-F3)/G3</f>
        <v>-5063291138.2405052</v>
      </c>
      <c r="J3" s="322">
        <v>20</v>
      </c>
      <c r="K3" s="380">
        <f>入學要求!S301</f>
        <v>0</v>
      </c>
      <c r="L3" s="502"/>
      <c r="M3" s="325">
        <v>3</v>
      </c>
      <c r="N3" s="325">
        <v>3</v>
      </c>
      <c r="O3" s="325">
        <v>2</v>
      </c>
      <c r="P3" s="325">
        <v>2</v>
      </c>
      <c r="Q3" s="325">
        <v>2</v>
      </c>
      <c r="R3" s="501"/>
      <c r="S3" s="322">
        <f>IF($R$2="2018年",'Offer Statistics'!EE3,IF($R$2="2019年",'Offer Statistics'!EE27,IF($R$2="2020年",'Offer Statistics'!EE51)))</f>
        <v>20</v>
      </c>
      <c r="T3" s="284">
        <f>IF($R$2="2018年",'Offer Statistics'!DZ3,IF($R$2="2019年",'Offer Statistics'!DZ27,IF($R$2="2020年",'Offer Statistics'!DZ51)))</f>
        <v>20</v>
      </c>
      <c r="U3" s="284">
        <f>IF($R$2="2018年",'Offer Statistics'!EA3,IF($R$2="2019年",'Offer Statistics'!EA27,IF($R$2="2020年",'Offer Statistics'!EA51)))</f>
        <v>0</v>
      </c>
      <c r="V3" s="284">
        <f>IF($R$2="2018年",'Offer Statistics'!EB3,IF($R$2="2019年",'Offer Statistics'!EB27,IF($R$2="2020年",'Offer Statistics'!EB51)))</f>
        <v>0</v>
      </c>
      <c r="W3" s="284">
        <f>IF($R$2="2018年",'Offer Statistics'!EC3,IF($R$2="2019年",'Offer Statistics'!EC27,IF($R$2="2020年",'Offer Statistics'!EC51)))</f>
        <v>0</v>
      </c>
      <c r="X3" s="284">
        <f>IF($R$2="2018年",'Offer Statistics'!ED3,IF($R$2="2019年",'Offer Statistics'!ED27,IF($R$2="2020年",'Offer Statistics'!ED51)))</f>
        <v>0</v>
      </c>
      <c r="Y3" s="501"/>
      <c r="Z3" s="322">
        <f>IF($R$2="2018年",'Offer Statistics'!DW3,IF($R$2="2019年",'Offer Statistics'!DW27,IF($R$2="2020年",'Offer Statistics'!DW51)))</f>
        <v>1623</v>
      </c>
      <c r="AA3" s="284">
        <f>IF($R$2="2018年",'Offer Statistics'!DR3,IF($R$2="2019年",'Offer Statistics'!DR27,IF($R$2="2020年",'Offer Statistics'!DR51)))</f>
        <v>260</v>
      </c>
      <c r="AB3" s="284">
        <f>IF($R$2="2018年",'Offer Statistics'!DS3,IF($R$2="2019年",'Offer Statistics'!DS27,IF($R$2="2020年",'Offer Statistics'!DS51)))</f>
        <v>317</v>
      </c>
      <c r="AC3" s="284">
        <f>IF($R$2="2018年",'Offer Statistics'!DT3,IF($R$2="2019年",'Offer Statistics'!DT27,IF($R$2="2020年",'Offer Statistics'!DT51)))</f>
        <v>369</v>
      </c>
      <c r="AD3" s="284">
        <f>IF($R$2="2018年",'Offer Statistics'!DU3,IF($R$2="2019年",'Offer Statistics'!DU27,IF($R$2="2020年",'Offer Statistics'!DU51)))</f>
        <v>372</v>
      </c>
      <c r="AE3" s="284">
        <f>IF($R$2="2018年",'Offer Statistics'!DV3,IF($R$2="2019年",'Offer Statistics'!DV27,IF($R$2="2020年",'Offer Statistics'!DV51)))</f>
        <v>305</v>
      </c>
      <c r="AF3" s="17"/>
      <c r="AG3" s="338" t="str">
        <f t="shared" ref="AG3:AG24" si="2">A3</f>
        <v>JS8222</v>
      </c>
    </row>
    <row r="4" spans="1:33" ht="18" customHeight="1">
      <c r="A4" s="175" t="s">
        <v>1019</v>
      </c>
      <c r="B4" s="175" t="s">
        <v>2008</v>
      </c>
      <c r="C4" s="175" t="s">
        <v>798</v>
      </c>
      <c r="D4" s="175" t="s">
        <v>1469</v>
      </c>
      <c r="E4" s="338" t="s">
        <v>189</v>
      </c>
      <c r="F4" s="67">
        <v>20</v>
      </c>
      <c r="G4" s="193">
        <f>計分版!D317</f>
        <v>3.9500000000000006E-9</v>
      </c>
      <c r="H4" s="188">
        <f t="shared" si="0"/>
        <v>-19.999999996050001</v>
      </c>
      <c r="I4" s="189">
        <f t="shared" si="1"/>
        <v>-5063291138.2405052</v>
      </c>
      <c r="J4" s="322">
        <v>45</v>
      </c>
      <c r="K4" s="380">
        <f>入學要求!S302</f>
        <v>0</v>
      </c>
      <c r="L4" s="502"/>
      <c r="M4" s="325">
        <v>3</v>
      </c>
      <c r="N4" s="325">
        <v>3</v>
      </c>
      <c r="O4" s="325">
        <v>2</v>
      </c>
      <c r="P4" s="325">
        <v>2</v>
      </c>
      <c r="Q4" s="325">
        <v>2</v>
      </c>
      <c r="R4" s="501"/>
      <c r="S4" s="322">
        <f>IF($R$2="2018年",'Offer Statistics'!EE4,IF($R$2="2019年",'Offer Statistics'!EE28,IF($R$2="2020年",'Offer Statistics'!EE52)))</f>
        <v>40</v>
      </c>
      <c r="T4" s="284">
        <f>IF($R$2="2018年",'Offer Statistics'!DZ4,IF($R$2="2019年",'Offer Statistics'!DZ28,IF($R$2="2020年",'Offer Statistics'!DZ52)))</f>
        <v>39</v>
      </c>
      <c r="U4" s="284">
        <f>IF($R$2="2018年",'Offer Statistics'!EA4,IF($R$2="2019年",'Offer Statistics'!EA28,IF($R$2="2020年",'Offer Statistics'!EA52)))</f>
        <v>1</v>
      </c>
      <c r="V4" s="284">
        <f>IF($R$2="2018年",'Offer Statistics'!EB4,IF($R$2="2019年",'Offer Statistics'!EB28,IF($R$2="2020年",'Offer Statistics'!EB52)))</f>
        <v>0</v>
      </c>
      <c r="W4" s="284">
        <f>IF($R$2="2018年",'Offer Statistics'!EC4,IF($R$2="2019年",'Offer Statistics'!EC28,IF($R$2="2020年",'Offer Statistics'!EC52)))</f>
        <v>0</v>
      </c>
      <c r="X4" s="284">
        <f>IF($R$2="2018年",'Offer Statistics'!ED4,IF($R$2="2019年",'Offer Statistics'!ED28,IF($R$2="2020年",'Offer Statistics'!ED52)))</f>
        <v>0</v>
      </c>
      <c r="Y4" s="501"/>
      <c r="Z4" s="322">
        <f>IF($R$2="2018年",'Offer Statistics'!DW4,IF($R$2="2019年",'Offer Statistics'!DW28,IF($R$2="2020年",'Offer Statistics'!DW52)))</f>
        <v>4578</v>
      </c>
      <c r="AA4" s="284">
        <f>IF($R$2="2018年",'Offer Statistics'!DR4,IF($R$2="2019年",'Offer Statistics'!DR28,IF($R$2="2020年",'Offer Statistics'!DR52)))</f>
        <v>793</v>
      </c>
      <c r="AB4" s="284">
        <f>IF($R$2="2018年",'Offer Statistics'!DS4,IF($R$2="2019年",'Offer Statistics'!DS28,IF($R$2="2020年",'Offer Statistics'!DS52)))</f>
        <v>1011</v>
      </c>
      <c r="AC4" s="284">
        <f>IF($R$2="2018年",'Offer Statistics'!DT4,IF($R$2="2019年",'Offer Statistics'!DT28,IF($R$2="2020年",'Offer Statistics'!DT52)))</f>
        <v>1000</v>
      </c>
      <c r="AD4" s="284">
        <f>IF($R$2="2018年",'Offer Statistics'!DU4,IF($R$2="2019年",'Offer Statistics'!DU28,IF($R$2="2020年",'Offer Statistics'!DU52)))</f>
        <v>1017</v>
      </c>
      <c r="AE4" s="284">
        <f>IF($R$2="2018年",'Offer Statistics'!DV4,IF($R$2="2019年",'Offer Statistics'!DV28,IF($R$2="2020年",'Offer Statistics'!DV52)))</f>
        <v>757</v>
      </c>
      <c r="AF4" s="17"/>
      <c r="AG4" s="338" t="str">
        <f t="shared" si="2"/>
        <v>JS8234</v>
      </c>
    </row>
    <row r="5" spans="1:33" ht="18" customHeight="1">
      <c r="A5" s="175" t="s">
        <v>1020</v>
      </c>
      <c r="B5" s="175" t="s">
        <v>2008</v>
      </c>
      <c r="C5" s="175" t="s">
        <v>800</v>
      </c>
      <c r="D5" s="175" t="s">
        <v>1471</v>
      </c>
      <c r="E5" s="437" t="s">
        <v>189</v>
      </c>
      <c r="F5" s="67">
        <v>21</v>
      </c>
      <c r="G5" s="193">
        <f>計分版!D318</f>
        <v>3.9500000000000006E-9</v>
      </c>
      <c r="H5" s="188">
        <f t="shared" si="0"/>
        <v>-20.999999996050001</v>
      </c>
      <c r="I5" s="189">
        <f t="shared" si="1"/>
        <v>-5316455695.2025309</v>
      </c>
      <c r="J5" s="322">
        <v>70</v>
      </c>
      <c r="K5" s="380">
        <f>入學要求!S303</f>
        <v>0</v>
      </c>
      <c r="L5" s="502"/>
      <c r="M5" s="325">
        <v>3</v>
      </c>
      <c r="N5" s="325">
        <v>3</v>
      </c>
      <c r="O5" s="325">
        <v>3</v>
      </c>
      <c r="P5" s="325">
        <v>2</v>
      </c>
      <c r="Q5" s="325">
        <v>2</v>
      </c>
      <c r="R5" s="501"/>
      <c r="S5" s="322">
        <f>IF($R$2="2018年",'Offer Statistics'!EE5,IF($R$2="2019年",'Offer Statistics'!EE29,IF($R$2="2020年",'Offer Statistics'!EE53)))</f>
        <v>41</v>
      </c>
      <c r="T5" s="284">
        <f>IF($R$2="2018年",'Offer Statistics'!DZ5,IF($R$2="2019年",'Offer Statistics'!DZ29,IF($R$2="2020年",'Offer Statistics'!DZ53)))</f>
        <v>39</v>
      </c>
      <c r="U5" s="284">
        <f>IF($R$2="2018年",'Offer Statistics'!EA5,IF($R$2="2019年",'Offer Statistics'!EA29,IF($R$2="2020年",'Offer Statistics'!EA53)))</f>
        <v>2</v>
      </c>
      <c r="V5" s="284">
        <f>IF($R$2="2018年",'Offer Statistics'!EB5,IF($R$2="2019年",'Offer Statistics'!EB29,IF($R$2="2020年",'Offer Statistics'!EB53)))</f>
        <v>0</v>
      </c>
      <c r="W5" s="284">
        <f>IF($R$2="2018年",'Offer Statistics'!EC5,IF($R$2="2019年",'Offer Statistics'!EC29,IF($R$2="2020年",'Offer Statistics'!EC53)))</f>
        <v>0</v>
      </c>
      <c r="X5" s="284">
        <f>IF($R$2="2018年",'Offer Statistics'!ED5,IF($R$2="2019年",'Offer Statistics'!ED29,IF($R$2="2020年",'Offer Statistics'!ED53)))</f>
        <v>0</v>
      </c>
      <c r="Y5" s="501"/>
      <c r="Z5" s="322">
        <f>IF($R$2="2018年",'Offer Statistics'!DW5,IF($R$2="2019年",'Offer Statistics'!DW29,IF($R$2="2020年",'Offer Statistics'!DW53)))</f>
        <v>2817</v>
      </c>
      <c r="AA5" s="284">
        <f>IF($R$2="2018年",'Offer Statistics'!DR5,IF($R$2="2019年",'Offer Statistics'!DR29,IF($R$2="2020年",'Offer Statistics'!DR53)))</f>
        <v>403</v>
      </c>
      <c r="AB5" s="284">
        <f>IF($R$2="2018年",'Offer Statistics'!DS5,IF($R$2="2019年",'Offer Statistics'!DS29,IF($R$2="2020年",'Offer Statistics'!DS53)))</f>
        <v>439</v>
      </c>
      <c r="AC5" s="284">
        <f>IF($R$2="2018年",'Offer Statistics'!DT5,IF($R$2="2019年",'Offer Statistics'!DT29,IF($R$2="2020年",'Offer Statistics'!DT53)))</f>
        <v>657</v>
      </c>
      <c r="AD5" s="284">
        <f>IF($R$2="2018年",'Offer Statistics'!DU5,IF($R$2="2019年",'Offer Statistics'!DU29,IF($R$2="2020年",'Offer Statistics'!DU53)))</f>
        <v>681</v>
      </c>
      <c r="AE5" s="284">
        <f>IF($R$2="2018年",'Offer Statistics'!DV5,IF($R$2="2019年",'Offer Statistics'!DV29,IF($R$2="2020年",'Offer Statistics'!DV53)))</f>
        <v>637</v>
      </c>
      <c r="AF5" s="17"/>
      <c r="AG5" s="338" t="str">
        <f t="shared" si="2"/>
        <v>JS8246</v>
      </c>
    </row>
    <row r="6" spans="1:33" ht="18" customHeight="1">
      <c r="A6" s="175" t="s">
        <v>1021</v>
      </c>
      <c r="B6" s="175" t="s">
        <v>2008</v>
      </c>
      <c r="C6" s="175" t="s">
        <v>802</v>
      </c>
      <c r="D6" s="175" t="s">
        <v>1473</v>
      </c>
      <c r="E6" s="437" t="s">
        <v>189</v>
      </c>
      <c r="F6" s="67">
        <v>21</v>
      </c>
      <c r="G6" s="193">
        <f>計分版!D319</f>
        <v>3.9500000000000006E-9</v>
      </c>
      <c r="H6" s="188">
        <f t="shared" si="0"/>
        <v>-20.999999996050001</v>
      </c>
      <c r="I6" s="189">
        <f t="shared" si="1"/>
        <v>-5316455695.2025309</v>
      </c>
      <c r="J6" s="322">
        <v>31</v>
      </c>
      <c r="K6" s="380">
        <f>入學要求!S304</f>
        <v>0</v>
      </c>
      <c r="L6" s="502"/>
      <c r="M6" s="325">
        <v>3</v>
      </c>
      <c r="N6" s="325">
        <v>3</v>
      </c>
      <c r="O6" s="325">
        <v>2</v>
      </c>
      <c r="P6" s="325">
        <v>2</v>
      </c>
      <c r="Q6" s="325">
        <v>2</v>
      </c>
      <c r="R6" s="501"/>
      <c r="S6" s="322">
        <f>IF($R$2="2018年",'Offer Statistics'!EE6,IF($R$2="2019年",'Offer Statistics'!EE30,IF($R$2="2020年",'Offer Statistics'!EE54)))</f>
        <v>19</v>
      </c>
      <c r="T6" s="284">
        <f>IF($R$2="2018年",'Offer Statistics'!DZ6,IF($R$2="2019年",'Offer Statistics'!DZ30,IF($R$2="2020年",'Offer Statistics'!DZ54)))</f>
        <v>19</v>
      </c>
      <c r="U6" s="284">
        <f>IF($R$2="2018年",'Offer Statistics'!EA6,IF($R$2="2019年",'Offer Statistics'!EA30,IF($R$2="2020年",'Offer Statistics'!EA54)))</f>
        <v>0</v>
      </c>
      <c r="V6" s="284">
        <f>IF($R$2="2018年",'Offer Statistics'!EB6,IF($R$2="2019年",'Offer Statistics'!EB30,IF($R$2="2020年",'Offer Statistics'!EB54)))</f>
        <v>0</v>
      </c>
      <c r="W6" s="284">
        <f>IF($R$2="2018年",'Offer Statistics'!EC6,IF($R$2="2019年",'Offer Statistics'!EC30,IF($R$2="2020年",'Offer Statistics'!EC54)))</f>
        <v>0</v>
      </c>
      <c r="X6" s="284">
        <f>IF($R$2="2018年",'Offer Statistics'!ED6,IF($R$2="2019年",'Offer Statistics'!ED30,IF($R$2="2020年",'Offer Statistics'!ED54)))</f>
        <v>0</v>
      </c>
      <c r="Y6" s="501"/>
      <c r="Z6" s="322">
        <f>IF($R$2="2018年",'Offer Statistics'!DW6,IF($R$2="2019年",'Offer Statistics'!DW30,IF($R$2="2020年",'Offer Statistics'!DW54)))</f>
        <v>2507</v>
      </c>
      <c r="AA6" s="284">
        <f>IF($R$2="2018年",'Offer Statistics'!DR6,IF($R$2="2019年",'Offer Statistics'!DR30,IF($R$2="2020年",'Offer Statistics'!DR54)))</f>
        <v>890</v>
      </c>
      <c r="AB6" s="284">
        <f>IF($R$2="2018年",'Offer Statistics'!DS6,IF($R$2="2019年",'Offer Statistics'!DS30,IF($R$2="2020年",'Offer Statistics'!DS54)))</f>
        <v>436</v>
      </c>
      <c r="AC6" s="284">
        <f>IF($R$2="2018年",'Offer Statistics'!DT6,IF($R$2="2019年",'Offer Statistics'!DT30,IF($R$2="2020年",'Offer Statistics'!DT54)))</f>
        <v>448</v>
      </c>
      <c r="AD6" s="284">
        <f>IF($R$2="2018年",'Offer Statistics'!DU6,IF($R$2="2019年",'Offer Statistics'!DU30,IF($R$2="2020年",'Offer Statistics'!DU54)))</f>
        <v>425</v>
      </c>
      <c r="AE6" s="284">
        <f>IF($R$2="2018年",'Offer Statistics'!DV6,IF($R$2="2019年",'Offer Statistics'!DV30,IF($R$2="2020年",'Offer Statistics'!DV54)))</f>
        <v>308</v>
      </c>
      <c r="AF6" s="17"/>
      <c r="AG6" s="338" t="str">
        <f t="shared" si="2"/>
        <v>JS8325</v>
      </c>
    </row>
    <row r="7" spans="1:33" ht="18" customHeight="1">
      <c r="A7" s="175" t="s">
        <v>1022</v>
      </c>
      <c r="B7" s="175" t="s">
        <v>2008</v>
      </c>
      <c r="C7" s="175" t="s">
        <v>804</v>
      </c>
      <c r="D7" s="175" t="s">
        <v>1475</v>
      </c>
      <c r="E7" s="437" t="s">
        <v>189</v>
      </c>
      <c r="F7" s="67">
        <v>19</v>
      </c>
      <c r="G7" s="193">
        <f>計分版!D320</f>
        <v>3.9500000000000006E-9</v>
      </c>
      <c r="H7" s="188">
        <f t="shared" si="0"/>
        <v>-18.999999996050001</v>
      </c>
      <c r="I7" s="189">
        <f t="shared" si="1"/>
        <v>-4810126581.2784805</v>
      </c>
      <c r="J7" s="322">
        <v>20</v>
      </c>
      <c r="K7" s="380">
        <f>入學要求!S305</f>
        <v>0</v>
      </c>
      <c r="L7" s="502"/>
      <c r="M7" s="325">
        <v>3</v>
      </c>
      <c r="N7" s="325">
        <v>3</v>
      </c>
      <c r="O7" s="325">
        <v>2</v>
      </c>
      <c r="P7" s="325">
        <v>2</v>
      </c>
      <c r="Q7" s="325">
        <v>2</v>
      </c>
      <c r="R7" s="501"/>
      <c r="S7" s="322">
        <f>IF($R$2="2018年",'Offer Statistics'!EE7,IF($R$2="2019年",'Offer Statistics'!EE31,IF($R$2="2020年",'Offer Statistics'!EE55)))</f>
        <v>14</v>
      </c>
      <c r="T7" s="284">
        <f>IF($R$2="2018年",'Offer Statistics'!DZ7,IF($R$2="2019年",'Offer Statistics'!DZ31,IF($R$2="2020年",'Offer Statistics'!DZ55)))</f>
        <v>14</v>
      </c>
      <c r="U7" s="284">
        <f>IF($R$2="2018年",'Offer Statistics'!EA7,IF($R$2="2019年",'Offer Statistics'!EA31,IF($R$2="2020年",'Offer Statistics'!EA55)))</f>
        <v>0</v>
      </c>
      <c r="V7" s="284">
        <f>IF($R$2="2018年",'Offer Statistics'!EB7,IF($R$2="2019年",'Offer Statistics'!EB31,IF($R$2="2020年",'Offer Statistics'!EB55)))</f>
        <v>0</v>
      </c>
      <c r="W7" s="284">
        <f>IF($R$2="2018年",'Offer Statistics'!EC7,IF($R$2="2019年",'Offer Statistics'!EC31,IF($R$2="2020年",'Offer Statistics'!EC55)))</f>
        <v>0</v>
      </c>
      <c r="X7" s="284">
        <f>IF($R$2="2018年",'Offer Statistics'!ED7,IF($R$2="2019年",'Offer Statistics'!ED31,IF($R$2="2020年",'Offer Statistics'!ED55)))</f>
        <v>0</v>
      </c>
      <c r="Y7" s="501"/>
      <c r="Z7" s="322">
        <f>IF($R$2="2018年",'Offer Statistics'!DW7,IF($R$2="2019年",'Offer Statistics'!DW31,IF($R$2="2020年",'Offer Statistics'!DW55)))</f>
        <v>1069</v>
      </c>
      <c r="AA7" s="284">
        <f>IF($R$2="2018年",'Offer Statistics'!DR7,IF($R$2="2019年",'Offer Statistics'!DR31,IF($R$2="2020年",'Offer Statistics'!DR55)))</f>
        <v>198</v>
      </c>
      <c r="AB7" s="284">
        <f>IF($R$2="2018年",'Offer Statistics'!DS7,IF($R$2="2019年",'Offer Statistics'!DS31,IF($R$2="2020年",'Offer Statistics'!DS55)))</f>
        <v>204</v>
      </c>
      <c r="AC7" s="284">
        <f>IF($R$2="2018年",'Offer Statistics'!DT7,IF($R$2="2019年",'Offer Statistics'!DT31,IF($R$2="2020年",'Offer Statistics'!DT55)))</f>
        <v>226</v>
      </c>
      <c r="AD7" s="284">
        <f>IF($R$2="2018年",'Offer Statistics'!DU7,IF($R$2="2019年",'Offer Statistics'!DU31,IF($R$2="2020年",'Offer Statistics'!DU55)))</f>
        <v>247</v>
      </c>
      <c r="AE7" s="284">
        <f>IF($R$2="2018年",'Offer Statistics'!DV7,IF($R$2="2019年",'Offer Statistics'!DV31,IF($R$2="2020年",'Offer Statistics'!DV55)))</f>
        <v>194</v>
      </c>
      <c r="AF7" s="17"/>
      <c r="AG7" s="338" t="str">
        <f t="shared" si="2"/>
        <v>JS8361</v>
      </c>
    </row>
    <row r="8" spans="1:33" ht="18" customHeight="1">
      <c r="A8" s="175" t="s">
        <v>1023</v>
      </c>
      <c r="B8" s="175" t="s">
        <v>2008</v>
      </c>
      <c r="C8" s="175" t="s">
        <v>806</v>
      </c>
      <c r="D8" s="175" t="s">
        <v>1477</v>
      </c>
      <c r="E8" s="437" t="s">
        <v>189</v>
      </c>
      <c r="F8" s="67">
        <v>19</v>
      </c>
      <c r="G8" s="193">
        <f>計分版!D321</f>
        <v>3.9500000000000006E-9</v>
      </c>
      <c r="H8" s="188">
        <f t="shared" si="0"/>
        <v>-18.999999996050001</v>
      </c>
      <c r="I8" s="189">
        <f t="shared" si="1"/>
        <v>-4810126581.2784805</v>
      </c>
      <c r="J8" s="322">
        <v>20</v>
      </c>
      <c r="K8" s="380">
        <f>入學要求!S306</f>
        <v>0</v>
      </c>
      <c r="L8" s="502"/>
      <c r="M8" s="325">
        <v>3</v>
      </c>
      <c r="N8" s="325">
        <v>3</v>
      </c>
      <c r="O8" s="325">
        <v>2</v>
      </c>
      <c r="P8" s="325">
        <v>2</v>
      </c>
      <c r="Q8" s="325">
        <v>2</v>
      </c>
      <c r="R8" s="501"/>
      <c r="S8" s="322">
        <f>IF($R$2="2018年",'Offer Statistics'!EE8,IF($R$2="2019年",'Offer Statistics'!EE32,IF($R$2="2020年",'Offer Statistics'!EE56)))</f>
        <v>20</v>
      </c>
      <c r="T8" s="284">
        <f>IF($R$2="2018年",'Offer Statistics'!DZ8,IF($R$2="2019年",'Offer Statistics'!DZ32,IF($R$2="2020年",'Offer Statistics'!DZ56)))</f>
        <v>20</v>
      </c>
      <c r="U8" s="284">
        <f>IF($R$2="2018年",'Offer Statistics'!EA8,IF($R$2="2019年",'Offer Statistics'!EA32,IF($R$2="2020年",'Offer Statistics'!EA56)))</f>
        <v>0</v>
      </c>
      <c r="V8" s="284">
        <f>IF($R$2="2018年",'Offer Statistics'!EB8,IF($R$2="2019年",'Offer Statistics'!EB32,IF($R$2="2020年",'Offer Statistics'!EB56)))</f>
        <v>0</v>
      </c>
      <c r="W8" s="284">
        <f>IF($R$2="2018年",'Offer Statistics'!EC8,IF($R$2="2019年",'Offer Statistics'!EC32,IF($R$2="2020年",'Offer Statistics'!EC56)))</f>
        <v>0</v>
      </c>
      <c r="X8" s="284">
        <f>IF($R$2="2018年",'Offer Statistics'!ED8,IF($R$2="2019年",'Offer Statistics'!ED32,IF($R$2="2020年",'Offer Statistics'!ED56)))</f>
        <v>0</v>
      </c>
      <c r="Y8" s="501"/>
      <c r="Z8" s="322">
        <f>IF($R$2="2018年",'Offer Statistics'!DW8,IF($R$2="2019年",'Offer Statistics'!DW32,IF($R$2="2020年",'Offer Statistics'!DW56)))</f>
        <v>1740</v>
      </c>
      <c r="AA8" s="284">
        <f>IF($R$2="2018年",'Offer Statistics'!DR8,IF($R$2="2019年",'Offer Statistics'!DR32,IF($R$2="2020年",'Offer Statistics'!DR56)))</f>
        <v>221</v>
      </c>
      <c r="AB8" s="284">
        <f>IF($R$2="2018年",'Offer Statistics'!DS8,IF($R$2="2019年",'Offer Statistics'!DS32,IF($R$2="2020年",'Offer Statistics'!DS56)))</f>
        <v>260</v>
      </c>
      <c r="AC8" s="284">
        <f>IF($R$2="2018年",'Offer Statistics'!DT8,IF($R$2="2019年",'Offer Statistics'!DT32,IF($R$2="2020年",'Offer Statistics'!DT56)))</f>
        <v>384</v>
      </c>
      <c r="AD8" s="284">
        <f>IF($R$2="2018年",'Offer Statistics'!DU8,IF($R$2="2019年",'Offer Statistics'!DU32,IF($R$2="2020年",'Offer Statistics'!DU56)))</f>
        <v>463</v>
      </c>
      <c r="AE8" s="284">
        <f>IF($R$2="2018年",'Offer Statistics'!DV8,IF($R$2="2019年",'Offer Statistics'!DV32,IF($R$2="2020年",'Offer Statistics'!DV56)))</f>
        <v>412</v>
      </c>
      <c r="AF8" s="17"/>
      <c r="AG8" s="338" t="str">
        <f t="shared" si="2"/>
        <v>JS8371</v>
      </c>
    </row>
    <row r="9" spans="1:33" ht="18" customHeight="1">
      <c r="A9" s="175" t="s">
        <v>1024</v>
      </c>
      <c r="B9" s="175" t="s">
        <v>2008</v>
      </c>
      <c r="C9" s="175" t="s">
        <v>808</v>
      </c>
      <c r="D9" s="175" t="s">
        <v>1479</v>
      </c>
      <c r="E9" s="437" t="s">
        <v>189</v>
      </c>
      <c r="F9" s="67">
        <v>21</v>
      </c>
      <c r="G9" s="193">
        <f>計分版!D322</f>
        <v>3.9500000000000006E-9</v>
      </c>
      <c r="H9" s="188">
        <f t="shared" ref="H9:H23" si="3">G9-F9</f>
        <v>-20.999999996050001</v>
      </c>
      <c r="I9" s="189">
        <f t="shared" ref="I9:I23" si="4">(G9-F9)/G9</f>
        <v>-5316455695.2025309</v>
      </c>
      <c r="J9" s="322">
        <v>18</v>
      </c>
      <c r="K9" s="380">
        <f>入學要求!S307</f>
        <v>0</v>
      </c>
      <c r="L9" s="502"/>
      <c r="M9" s="325">
        <v>3</v>
      </c>
      <c r="N9" s="325">
        <v>3</v>
      </c>
      <c r="O9" s="325">
        <v>3</v>
      </c>
      <c r="P9" s="325">
        <v>2</v>
      </c>
      <c r="Q9" s="325">
        <v>2</v>
      </c>
      <c r="R9" s="501"/>
      <c r="S9" s="322">
        <f>IF($R$2="2018年",'Offer Statistics'!EE9,IF($R$2="2019年",'Offer Statistics'!EE33,IF($R$2="2020年",'Offer Statistics'!EE57)))</f>
        <v>16</v>
      </c>
      <c r="T9" s="284">
        <f>IF($R$2="2018年",'Offer Statistics'!DZ9,IF($R$2="2019年",'Offer Statistics'!DZ33,IF($R$2="2020年",'Offer Statistics'!DZ57)))</f>
        <v>16</v>
      </c>
      <c r="U9" s="284">
        <f>IF($R$2="2018年",'Offer Statistics'!EA9,IF($R$2="2019年",'Offer Statistics'!EA33,IF($R$2="2020年",'Offer Statistics'!EA57)))</f>
        <v>0</v>
      </c>
      <c r="V9" s="284">
        <f>IF($R$2="2018年",'Offer Statistics'!EB9,IF($R$2="2019年",'Offer Statistics'!EB33,IF($R$2="2020年",'Offer Statistics'!EB57)))</f>
        <v>0</v>
      </c>
      <c r="W9" s="284">
        <f>IF($R$2="2018年",'Offer Statistics'!EC9,IF($R$2="2019年",'Offer Statistics'!EC33,IF($R$2="2020年",'Offer Statistics'!EC57)))</f>
        <v>0</v>
      </c>
      <c r="X9" s="284">
        <f>IF($R$2="2018年",'Offer Statistics'!ED9,IF($R$2="2019年",'Offer Statistics'!ED33,IF($R$2="2020年",'Offer Statistics'!ED57)))</f>
        <v>0</v>
      </c>
      <c r="Y9" s="501"/>
      <c r="Z9" s="322">
        <f>IF($R$2="2018年",'Offer Statistics'!DW9,IF($R$2="2019年",'Offer Statistics'!DW33,IF($R$2="2020年",'Offer Statistics'!DW57)))</f>
        <v>1626</v>
      </c>
      <c r="AA9" s="284">
        <f>IF($R$2="2018年",'Offer Statistics'!DR9,IF($R$2="2019年",'Offer Statistics'!DR33,IF($R$2="2020年",'Offer Statistics'!DR57)))</f>
        <v>208</v>
      </c>
      <c r="AB9" s="284">
        <f>IF($R$2="2018年",'Offer Statistics'!DS9,IF($R$2="2019年",'Offer Statistics'!DS33,IF($R$2="2020年",'Offer Statistics'!DS57)))</f>
        <v>250</v>
      </c>
      <c r="AC9" s="284">
        <f>IF($R$2="2018年",'Offer Statistics'!DT9,IF($R$2="2019年",'Offer Statistics'!DT33,IF($R$2="2020年",'Offer Statistics'!DT57)))</f>
        <v>356</v>
      </c>
      <c r="AD9" s="284">
        <f>IF($R$2="2018年",'Offer Statistics'!DU9,IF($R$2="2019年",'Offer Statistics'!DU33,IF($R$2="2020年",'Offer Statistics'!DU57)))</f>
        <v>436</v>
      </c>
      <c r="AE9" s="284">
        <f>IF($R$2="2018年",'Offer Statistics'!DV9,IF($R$2="2019年",'Offer Statistics'!DV33,IF($R$2="2020年",'Offer Statistics'!DV57)))</f>
        <v>376</v>
      </c>
      <c r="AF9" s="17"/>
      <c r="AG9" s="338" t="str">
        <f t="shared" si="2"/>
        <v>JS8391</v>
      </c>
    </row>
    <row r="10" spans="1:33" ht="18" customHeight="1">
      <c r="A10" s="175" t="s">
        <v>1025</v>
      </c>
      <c r="B10" s="175" t="s">
        <v>2007</v>
      </c>
      <c r="C10" s="175" t="s">
        <v>810</v>
      </c>
      <c r="D10" s="175" t="s">
        <v>1481</v>
      </c>
      <c r="E10" s="338" t="s">
        <v>189</v>
      </c>
      <c r="F10" s="67">
        <v>21</v>
      </c>
      <c r="G10" s="193">
        <f>計分版!D323</f>
        <v>3.9500000000000006E-9</v>
      </c>
      <c r="H10" s="188">
        <f t="shared" si="3"/>
        <v>-20.999999996050001</v>
      </c>
      <c r="I10" s="189">
        <f t="shared" si="4"/>
        <v>-5316455695.2025309</v>
      </c>
      <c r="J10" s="322">
        <v>49</v>
      </c>
      <c r="K10" s="380">
        <f>入學要求!S308</f>
        <v>0</v>
      </c>
      <c r="L10" s="502"/>
      <c r="M10" s="325">
        <v>3</v>
      </c>
      <c r="N10" s="325">
        <v>3</v>
      </c>
      <c r="O10" s="325">
        <v>2</v>
      </c>
      <c r="P10" s="325">
        <v>2</v>
      </c>
      <c r="Q10" s="325">
        <v>2</v>
      </c>
      <c r="R10" s="501"/>
      <c r="S10" s="322">
        <f>IF($R$2="2018年",'Offer Statistics'!EE10,IF($R$2="2019年",'Offer Statistics'!EE34,IF($R$2="2020年",'Offer Statistics'!EE58)))</f>
        <v>46</v>
      </c>
      <c r="T10" s="284">
        <f>IF($R$2="2018年",'Offer Statistics'!DZ10,IF($R$2="2019年",'Offer Statistics'!DZ34,IF($R$2="2020年",'Offer Statistics'!DZ58)))</f>
        <v>46</v>
      </c>
      <c r="U10" s="284">
        <f>IF($R$2="2018年",'Offer Statistics'!EA10,IF($R$2="2019年",'Offer Statistics'!EA34,IF($R$2="2020年",'Offer Statistics'!EA58)))</f>
        <v>0</v>
      </c>
      <c r="V10" s="284">
        <f>IF($R$2="2018年",'Offer Statistics'!EB10,IF($R$2="2019年",'Offer Statistics'!EB34,IF($R$2="2020年",'Offer Statistics'!EB58)))</f>
        <v>0</v>
      </c>
      <c r="W10" s="284">
        <f>IF($R$2="2018年",'Offer Statistics'!EC10,IF($R$2="2019年",'Offer Statistics'!EC34,IF($R$2="2020年",'Offer Statistics'!EC58)))</f>
        <v>0</v>
      </c>
      <c r="X10" s="284">
        <f>IF($R$2="2018年",'Offer Statistics'!ED10,IF($R$2="2019年",'Offer Statistics'!ED34,IF($R$2="2020年",'Offer Statistics'!ED58)))</f>
        <v>0</v>
      </c>
      <c r="Y10" s="501"/>
      <c r="Z10" s="322">
        <f>IF($R$2="2018年",'Offer Statistics'!DW10,IF($R$2="2019年",'Offer Statistics'!DW34,IF($R$2="2020年",'Offer Statistics'!DW58)))</f>
        <v>6139</v>
      </c>
      <c r="AA10" s="284">
        <f>IF($R$2="2018年",'Offer Statistics'!DR10,IF($R$2="2019年",'Offer Statistics'!DR34,IF($R$2="2020年",'Offer Statistics'!DR58)))</f>
        <v>1491</v>
      </c>
      <c r="AB10" s="284">
        <f>IF($R$2="2018年",'Offer Statistics'!DS10,IF($R$2="2019年",'Offer Statistics'!DS34,IF($R$2="2020年",'Offer Statistics'!DS58)))</f>
        <v>1039</v>
      </c>
      <c r="AC10" s="284">
        <f>IF($R$2="2018年",'Offer Statistics'!DT10,IF($R$2="2019年",'Offer Statistics'!DT34,IF($R$2="2020年",'Offer Statistics'!DT58)))</f>
        <v>1275</v>
      </c>
      <c r="AD10" s="284">
        <f>IF($R$2="2018年",'Offer Statistics'!DU10,IF($R$2="2019年",'Offer Statistics'!DU34,IF($R$2="2020年",'Offer Statistics'!DU58)))</f>
        <v>1334</v>
      </c>
      <c r="AE10" s="284">
        <f>IF($R$2="2018年",'Offer Statistics'!DV10,IF($R$2="2019年",'Offer Statistics'!DV34,IF($R$2="2020年",'Offer Statistics'!DV58)))</f>
        <v>1000</v>
      </c>
      <c r="AF10" s="17"/>
      <c r="AG10" s="338" t="str">
        <f t="shared" si="2"/>
        <v>JS8404</v>
      </c>
    </row>
    <row r="11" spans="1:33" ht="18" customHeight="1">
      <c r="A11" s="175" t="s">
        <v>2004</v>
      </c>
      <c r="B11" s="175" t="s">
        <v>2002</v>
      </c>
      <c r="C11" s="175" t="s">
        <v>2005</v>
      </c>
      <c r="D11" s="175" t="s">
        <v>1484</v>
      </c>
      <c r="E11" s="437" t="s">
        <v>189</v>
      </c>
      <c r="F11" s="67">
        <v>22</v>
      </c>
      <c r="G11" s="193">
        <f>計分版!D324</f>
        <v>3.9500000000000006E-9</v>
      </c>
      <c r="H11" s="188">
        <f t="shared" ref="H11" si="5">G11-F11</f>
        <v>-21.999999996050001</v>
      </c>
      <c r="I11" s="189">
        <f t="shared" ref="I11" si="6">(G11-F11)/G11</f>
        <v>-5569620252.1645565</v>
      </c>
      <c r="J11" s="322">
        <v>10</v>
      </c>
      <c r="K11" s="380">
        <f>入學要求!S309</f>
        <v>0</v>
      </c>
      <c r="L11" s="502"/>
      <c r="M11" s="325">
        <v>3</v>
      </c>
      <c r="N11" s="325">
        <v>3</v>
      </c>
      <c r="O11" s="325">
        <v>2</v>
      </c>
      <c r="P11" s="325">
        <v>2</v>
      </c>
      <c r="Q11" s="325">
        <v>2</v>
      </c>
      <c r="R11" s="501"/>
      <c r="S11" s="322" t="str">
        <f>IF($R$2="2018年",'Offer Statistics'!EE11,IF($R$2="2019年",'Offer Statistics'!EE35,IF($R$2="2020年",'Offer Statistics'!EE59)))</f>
        <v>/</v>
      </c>
      <c r="T11" s="284" t="str">
        <f>IF($R$2="2018年",'Offer Statistics'!DZ11,IF($R$2="2019年",'Offer Statistics'!DZ35,IF($R$2="2020年",'Offer Statistics'!DZ59)))</f>
        <v>/</v>
      </c>
      <c r="U11" s="284" t="str">
        <f>IF($R$2="2018年",'Offer Statistics'!EA11,IF($R$2="2019年",'Offer Statistics'!EA35,IF($R$2="2020年",'Offer Statistics'!EA59)))</f>
        <v>/</v>
      </c>
      <c r="V11" s="284" t="str">
        <f>IF($R$2="2018年",'Offer Statistics'!EB11,IF($R$2="2019年",'Offer Statistics'!EB35,IF($R$2="2020年",'Offer Statistics'!EB59)))</f>
        <v>/</v>
      </c>
      <c r="W11" s="284" t="str">
        <f>IF($R$2="2018年",'Offer Statistics'!EC11,IF($R$2="2019年",'Offer Statistics'!EC35,IF($R$2="2020年",'Offer Statistics'!EC59)))</f>
        <v>/</v>
      </c>
      <c r="X11" s="284" t="str">
        <f>IF($R$2="2018年",'Offer Statistics'!ED11,IF($R$2="2019年",'Offer Statistics'!ED35,IF($R$2="2020年",'Offer Statistics'!ED59)))</f>
        <v>/</v>
      </c>
      <c r="Y11" s="501"/>
      <c r="Z11" s="322" t="str">
        <f>IF($R$2="2018年",'Offer Statistics'!DW11,IF($R$2="2019年",'Offer Statistics'!DW35,IF($R$2="2020年",'Offer Statistics'!DW59)))</f>
        <v>/</v>
      </c>
      <c r="AA11" s="284" t="str">
        <f>IF($R$2="2018年",'Offer Statistics'!DR11,IF($R$2="2019年",'Offer Statistics'!DR35,IF($R$2="2020年",'Offer Statistics'!DR59)))</f>
        <v>/</v>
      </c>
      <c r="AB11" s="284" t="str">
        <f>IF($R$2="2018年",'Offer Statistics'!DS11,IF($R$2="2019年",'Offer Statistics'!DS35,IF($R$2="2020年",'Offer Statistics'!DS59)))</f>
        <v>/</v>
      </c>
      <c r="AC11" s="284" t="str">
        <f>IF($R$2="2018年",'Offer Statistics'!DT11,IF($R$2="2019年",'Offer Statistics'!DT35,IF($R$2="2020年",'Offer Statistics'!DT59)))</f>
        <v>/</v>
      </c>
      <c r="AD11" s="284" t="str">
        <f>IF($R$2="2018年",'Offer Statistics'!DU11,IF($R$2="2019年",'Offer Statistics'!DU35,IF($R$2="2020年",'Offer Statistics'!DU59)))</f>
        <v>/</v>
      </c>
      <c r="AE11" s="284" t="str">
        <f>IF($R$2="2018年",'Offer Statistics'!DV11,IF($R$2="2019年",'Offer Statistics'!DV35,IF($R$2="2020年",'Offer Statistics'!DV59)))</f>
        <v>/</v>
      </c>
      <c r="AF11" s="17"/>
      <c r="AG11" s="338" t="str">
        <f t="shared" si="2"/>
        <v>JS8416</v>
      </c>
    </row>
    <row r="12" spans="1:33" ht="18" customHeight="1">
      <c r="A12" s="175" t="s">
        <v>1026</v>
      </c>
      <c r="B12" s="175" t="s">
        <v>2008</v>
      </c>
      <c r="C12" s="175" t="s">
        <v>812</v>
      </c>
      <c r="D12" s="175" t="s">
        <v>1487</v>
      </c>
      <c r="E12" s="437" t="s">
        <v>189</v>
      </c>
      <c r="F12" s="67">
        <v>21</v>
      </c>
      <c r="G12" s="193">
        <f>計分版!D325</f>
        <v>3.9500000000000006E-9</v>
      </c>
      <c r="H12" s="188">
        <f t="shared" si="3"/>
        <v>-20.999999996050001</v>
      </c>
      <c r="I12" s="189">
        <f t="shared" si="4"/>
        <v>-5316455695.2025309</v>
      </c>
      <c r="J12" s="322">
        <v>10</v>
      </c>
      <c r="K12" s="380">
        <f>入學要求!S310</f>
        <v>0</v>
      </c>
      <c r="L12" s="502"/>
      <c r="M12" s="325">
        <v>3</v>
      </c>
      <c r="N12" s="325">
        <v>3</v>
      </c>
      <c r="O12" s="325">
        <v>2</v>
      </c>
      <c r="P12" s="325">
        <v>2</v>
      </c>
      <c r="Q12" s="325">
        <v>2</v>
      </c>
      <c r="R12" s="501"/>
      <c r="S12" s="322">
        <f>IF($R$2="2018年",'Offer Statistics'!EE12,IF($R$2="2019年",'Offer Statistics'!EE36,IF($R$2="2020年",'Offer Statistics'!EE60)))</f>
        <v>11</v>
      </c>
      <c r="T12" s="284">
        <f>IF($R$2="2018年",'Offer Statistics'!DZ12,IF($R$2="2019年",'Offer Statistics'!DZ36,IF($R$2="2020年",'Offer Statistics'!DZ60)))</f>
        <v>11</v>
      </c>
      <c r="U12" s="284">
        <f>IF($R$2="2018年",'Offer Statistics'!EA12,IF($R$2="2019年",'Offer Statistics'!EA36,IF($R$2="2020年",'Offer Statistics'!EA60)))</f>
        <v>0</v>
      </c>
      <c r="V12" s="284">
        <f>IF($R$2="2018年",'Offer Statistics'!EB12,IF($R$2="2019年",'Offer Statistics'!EB36,IF($R$2="2020年",'Offer Statistics'!EB60)))</f>
        <v>0</v>
      </c>
      <c r="W12" s="284">
        <f>IF($R$2="2018年",'Offer Statistics'!EC12,IF($R$2="2019年",'Offer Statistics'!EC36,IF($R$2="2020年",'Offer Statistics'!EC60)))</f>
        <v>0</v>
      </c>
      <c r="X12" s="284">
        <f>IF($R$2="2018年",'Offer Statistics'!ED12,IF($R$2="2019年",'Offer Statistics'!ED36,IF($R$2="2020年",'Offer Statistics'!ED60)))</f>
        <v>0</v>
      </c>
      <c r="Y12" s="501"/>
      <c r="Z12" s="322">
        <f>IF($R$2="2018年",'Offer Statistics'!DW12,IF($R$2="2019年",'Offer Statistics'!DW36,IF($R$2="2020年",'Offer Statistics'!DW60)))</f>
        <v>1454</v>
      </c>
      <c r="AA12" s="284">
        <f>IF($R$2="2018年",'Offer Statistics'!DR12,IF($R$2="2019年",'Offer Statistics'!DR36,IF($R$2="2020年",'Offer Statistics'!DR60)))</f>
        <v>188</v>
      </c>
      <c r="AB12" s="284">
        <f>IF($R$2="2018年",'Offer Statistics'!DS12,IF($R$2="2019年",'Offer Statistics'!DS36,IF($R$2="2020年",'Offer Statistics'!DS60)))</f>
        <v>238</v>
      </c>
      <c r="AC12" s="284">
        <f>IF($R$2="2018年",'Offer Statistics'!DT12,IF($R$2="2019年",'Offer Statistics'!DT36,IF($R$2="2020年",'Offer Statistics'!DT60)))</f>
        <v>353</v>
      </c>
      <c r="AD12" s="284">
        <f>IF($R$2="2018年",'Offer Statistics'!DU12,IF($R$2="2019年",'Offer Statistics'!DU36,IF($R$2="2020年",'Offer Statistics'!DU60)))</f>
        <v>404</v>
      </c>
      <c r="AE12" s="284">
        <f>IF($R$2="2018年",'Offer Statistics'!DV12,IF($R$2="2019年",'Offer Statistics'!DV36,IF($R$2="2020年",'Offer Statistics'!DV60)))</f>
        <v>271</v>
      </c>
      <c r="AF12" s="17"/>
      <c r="AG12" s="338" t="str">
        <f t="shared" si="2"/>
        <v>JS8428</v>
      </c>
    </row>
    <row r="13" spans="1:33" ht="18" customHeight="1">
      <c r="A13" s="175" t="s">
        <v>1027</v>
      </c>
      <c r="B13" s="175" t="s">
        <v>2008</v>
      </c>
      <c r="C13" s="175" t="s">
        <v>814</v>
      </c>
      <c r="D13" s="175" t="s">
        <v>1489</v>
      </c>
      <c r="E13" s="437" t="s">
        <v>189</v>
      </c>
      <c r="F13" s="67">
        <v>19</v>
      </c>
      <c r="G13" s="193">
        <f>計分版!D326</f>
        <v>3.9500000000000006E-9</v>
      </c>
      <c r="H13" s="188">
        <f t="shared" si="3"/>
        <v>-18.999999996050001</v>
      </c>
      <c r="I13" s="189">
        <f t="shared" si="4"/>
        <v>-4810126581.2784805</v>
      </c>
      <c r="J13" s="322">
        <v>14</v>
      </c>
      <c r="K13" s="380">
        <f>入學要求!S311</f>
        <v>0</v>
      </c>
      <c r="L13" s="502"/>
      <c r="M13" s="325">
        <v>3</v>
      </c>
      <c r="N13" s="325">
        <v>3</v>
      </c>
      <c r="O13" s="325">
        <v>2</v>
      </c>
      <c r="P13" s="325">
        <v>2</v>
      </c>
      <c r="Q13" s="325">
        <v>4</v>
      </c>
      <c r="R13" s="501"/>
      <c r="S13" s="322">
        <f>IF($R$2="2018年",'Offer Statistics'!EE13,IF($R$2="2019年",'Offer Statistics'!EE37,IF($R$2="2020年",'Offer Statistics'!EE61)))</f>
        <v>16</v>
      </c>
      <c r="T13" s="284">
        <f>IF($R$2="2018年",'Offer Statistics'!DZ13,IF($R$2="2019年",'Offer Statistics'!DZ37,IF($R$2="2020年",'Offer Statistics'!DZ61)))</f>
        <v>15</v>
      </c>
      <c r="U13" s="284">
        <f>IF($R$2="2018年",'Offer Statistics'!EA13,IF($R$2="2019年",'Offer Statistics'!EA37,IF($R$2="2020年",'Offer Statistics'!EA61)))</f>
        <v>1</v>
      </c>
      <c r="V13" s="284">
        <f>IF($R$2="2018年",'Offer Statistics'!EB13,IF($R$2="2019年",'Offer Statistics'!EB37,IF($R$2="2020年",'Offer Statistics'!EB61)))</f>
        <v>0</v>
      </c>
      <c r="W13" s="284">
        <f>IF($R$2="2018年",'Offer Statistics'!EC13,IF($R$2="2019年",'Offer Statistics'!EC37,IF($R$2="2020年",'Offer Statistics'!EC61)))</f>
        <v>0</v>
      </c>
      <c r="X13" s="284">
        <f>IF($R$2="2018年",'Offer Statistics'!ED13,IF($R$2="2019年",'Offer Statistics'!ED37,IF($R$2="2020年",'Offer Statistics'!ED61)))</f>
        <v>0</v>
      </c>
      <c r="Y13" s="501"/>
      <c r="Z13" s="322">
        <f>IF($R$2="2018年",'Offer Statistics'!DW13,IF($R$2="2019年",'Offer Statistics'!DW37,IF($R$2="2020年",'Offer Statistics'!DW61)))</f>
        <v>1521</v>
      </c>
      <c r="AA13" s="284">
        <f>IF($R$2="2018年",'Offer Statistics'!DR13,IF($R$2="2019年",'Offer Statistics'!DR37,IF($R$2="2020年",'Offer Statistics'!DR61)))</f>
        <v>131</v>
      </c>
      <c r="AB13" s="284">
        <f>IF($R$2="2018年",'Offer Statistics'!DS13,IF($R$2="2019年",'Offer Statistics'!DS37,IF($R$2="2020年",'Offer Statistics'!DS61)))</f>
        <v>215</v>
      </c>
      <c r="AC13" s="284">
        <f>IF($R$2="2018年",'Offer Statistics'!DT13,IF($R$2="2019年",'Offer Statistics'!DT37,IF($R$2="2020年",'Offer Statistics'!DT61)))</f>
        <v>372</v>
      </c>
      <c r="AD13" s="284">
        <f>IF($R$2="2018年",'Offer Statistics'!DU13,IF($R$2="2019年",'Offer Statistics'!DU37,IF($R$2="2020年",'Offer Statistics'!DU61)))</f>
        <v>439</v>
      </c>
      <c r="AE13" s="284">
        <f>IF($R$2="2018年",'Offer Statistics'!DV13,IF($R$2="2019年",'Offer Statistics'!DV37,IF($R$2="2020年",'Offer Statistics'!DV61)))</f>
        <v>364</v>
      </c>
      <c r="AF13" s="17"/>
      <c r="AG13" s="338" t="str">
        <f t="shared" si="2"/>
        <v>JS8430</v>
      </c>
    </row>
    <row r="14" spans="1:33" ht="18" customHeight="1">
      <c r="A14" s="175" t="s">
        <v>1028</v>
      </c>
      <c r="B14" s="175" t="s">
        <v>768</v>
      </c>
      <c r="C14" s="175" t="s">
        <v>816</v>
      </c>
      <c r="D14" s="175" t="s">
        <v>1491</v>
      </c>
      <c r="E14" s="437" t="s">
        <v>189</v>
      </c>
      <c r="F14" s="67">
        <v>20</v>
      </c>
      <c r="G14" s="193">
        <f>計分版!D327</f>
        <v>3.9500000000000006E-9</v>
      </c>
      <c r="H14" s="188">
        <f t="shared" si="3"/>
        <v>-19.999999996050001</v>
      </c>
      <c r="I14" s="189">
        <f t="shared" si="4"/>
        <v>-5063291138.2405052</v>
      </c>
      <c r="J14" s="322">
        <v>16</v>
      </c>
      <c r="K14" s="380">
        <f>入學要求!S312</f>
        <v>0</v>
      </c>
      <c r="L14" s="502"/>
      <c r="M14" s="325">
        <v>3</v>
      </c>
      <c r="N14" s="325">
        <v>3</v>
      </c>
      <c r="O14" s="325">
        <v>2</v>
      </c>
      <c r="P14" s="325">
        <v>2</v>
      </c>
      <c r="Q14" s="325">
        <v>2</v>
      </c>
      <c r="R14" s="501"/>
      <c r="S14" s="322">
        <f>IF($R$2="2018年",'Offer Statistics'!EE14,IF($R$2="2019年",'Offer Statistics'!EE38,IF($R$2="2020年",'Offer Statistics'!EE62)))</f>
        <v>21</v>
      </c>
      <c r="T14" s="284">
        <f>IF($R$2="2018年",'Offer Statistics'!DZ14,IF($R$2="2019年",'Offer Statistics'!DZ38,IF($R$2="2020年",'Offer Statistics'!DZ62)))</f>
        <v>19</v>
      </c>
      <c r="U14" s="284">
        <f>IF($R$2="2018年",'Offer Statistics'!EA14,IF($R$2="2019年",'Offer Statistics'!EA38,IF($R$2="2020年",'Offer Statistics'!EA62)))</f>
        <v>2</v>
      </c>
      <c r="V14" s="284">
        <f>IF($R$2="2018年",'Offer Statistics'!EB14,IF($R$2="2019年",'Offer Statistics'!EB38,IF($R$2="2020年",'Offer Statistics'!EB62)))</f>
        <v>0</v>
      </c>
      <c r="W14" s="284">
        <f>IF($R$2="2018年",'Offer Statistics'!EC14,IF($R$2="2019年",'Offer Statistics'!EC38,IF($R$2="2020年",'Offer Statistics'!EC62)))</f>
        <v>0</v>
      </c>
      <c r="X14" s="284">
        <f>IF($R$2="2018年",'Offer Statistics'!ED14,IF($R$2="2019年",'Offer Statistics'!ED38,IF($R$2="2020年",'Offer Statistics'!ED62)))</f>
        <v>0</v>
      </c>
      <c r="Y14" s="501"/>
      <c r="Z14" s="322">
        <f>IF($R$2="2018年",'Offer Statistics'!DW14,IF($R$2="2019年",'Offer Statistics'!DW38,IF($R$2="2020年",'Offer Statistics'!DW62)))</f>
        <v>1468</v>
      </c>
      <c r="AA14" s="284">
        <f>IF($R$2="2018年",'Offer Statistics'!DR14,IF($R$2="2019年",'Offer Statistics'!DR38,IF($R$2="2020年",'Offer Statistics'!DR62)))</f>
        <v>203</v>
      </c>
      <c r="AB14" s="284">
        <f>IF($R$2="2018年",'Offer Statistics'!DS14,IF($R$2="2019年",'Offer Statistics'!DS38,IF($R$2="2020年",'Offer Statistics'!DS62)))</f>
        <v>264</v>
      </c>
      <c r="AC14" s="284">
        <f>IF($R$2="2018年",'Offer Statistics'!DT14,IF($R$2="2019年",'Offer Statistics'!DT38,IF($R$2="2020年",'Offer Statistics'!DT62)))</f>
        <v>311</v>
      </c>
      <c r="AD14" s="284">
        <f>IF($R$2="2018年",'Offer Statistics'!DU14,IF($R$2="2019年",'Offer Statistics'!DU38,IF($R$2="2020年",'Offer Statistics'!DU62)))</f>
        <v>390</v>
      </c>
      <c r="AE14" s="284">
        <f>IF($R$2="2018年",'Offer Statistics'!DV14,IF($R$2="2019年",'Offer Statistics'!DV38,IF($R$2="2020年",'Offer Statistics'!DV62)))</f>
        <v>300</v>
      </c>
      <c r="AF14" s="17"/>
      <c r="AG14" s="338" t="str">
        <f t="shared" si="2"/>
        <v>JS8600</v>
      </c>
    </row>
    <row r="15" spans="1:33" ht="18" customHeight="1">
      <c r="A15" s="175" t="s">
        <v>1029</v>
      </c>
      <c r="B15" s="175" t="s">
        <v>768</v>
      </c>
      <c r="C15" s="175" t="s">
        <v>818</v>
      </c>
      <c r="D15" s="175" t="s">
        <v>1493</v>
      </c>
      <c r="E15" s="437" t="s">
        <v>189</v>
      </c>
      <c r="F15" s="67">
        <v>20</v>
      </c>
      <c r="G15" s="193">
        <f>計分版!D328</f>
        <v>3.9500000000000006E-9</v>
      </c>
      <c r="H15" s="188">
        <f t="shared" si="3"/>
        <v>-19.999999996050001</v>
      </c>
      <c r="I15" s="189">
        <f t="shared" si="4"/>
        <v>-5063291138.2405052</v>
      </c>
      <c r="J15" s="322">
        <v>16</v>
      </c>
      <c r="K15" s="380">
        <f>入學要求!S313</f>
        <v>0</v>
      </c>
      <c r="L15" s="502"/>
      <c r="M15" s="325">
        <v>3</v>
      </c>
      <c r="N15" s="325">
        <v>3</v>
      </c>
      <c r="O15" s="325">
        <v>2</v>
      </c>
      <c r="P15" s="325">
        <v>2</v>
      </c>
      <c r="Q15" s="325">
        <v>2</v>
      </c>
      <c r="R15" s="501"/>
      <c r="S15" s="322">
        <f>IF($R$2="2018年",'Offer Statistics'!EE15,IF($R$2="2019年",'Offer Statistics'!EE39,IF($R$2="2020年",'Offer Statistics'!EE63)))</f>
        <v>12</v>
      </c>
      <c r="T15" s="284">
        <f>IF($R$2="2018年",'Offer Statistics'!DZ15,IF($R$2="2019年",'Offer Statistics'!DZ39,IF($R$2="2020年",'Offer Statistics'!DZ63)))</f>
        <v>11</v>
      </c>
      <c r="U15" s="284">
        <f>IF($R$2="2018年",'Offer Statistics'!EA15,IF($R$2="2019年",'Offer Statistics'!EA39,IF($R$2="2020年",'Offer Statistics'!EA63)))</f>
        <v>1</v>
      </c>
      <c r="V15" s="284">
        <f>IF($R$2="2018年",'Offer Statistics'!EB15,IF($R$2="2019年",'Offer Statistics'!EB39,IF($R$2="2020年",'Offer Statistics'!EB63)))</f>
        <v>0</v>
      </c>
      <c r="W15" s="284">
        <f>IF($R$2="2018年",'Offer Statistics'!EC15,IF($R$2="2019年",'Offer Statistics'!EC39,IF($R$2="2020年",'Offer Statistics'!EC63)))</f>
        <v>0</v>
      </c>
      <c r="X15" s="284">
        <f>IF($R$2="2018年",'Offer Statistics'!ED15,IF($R$2="2019年",'Offer Statistics'!ED39,IF($R$2="2020年",'Offer Statistics'!ED63)))</f>
        <v>0</v>
      </c>
      <c r="Y15" s="501"/>
      <c r="Z15" s="322">
        <f>IF($R$2="2018年",'Offer Statistics'!DW15,IF($R$2="2019年",'Offer Statistics'!DW39,IF($R$2="2020年",'Offer Statistics'!DW63)))</f>
        <v>1025</v>
      </c>
      <c r="AA15" s="284">
        <f>IF($R$2="2018年",'Offer Statistics'!DR15,IF($R$2="2019年",'Offer Statistics'!DR39,IF($R$2="2020年",'Offer Statistics'!DR63)))</f>
        <v>123</v>
      </c>
      <c r="AB15" s="284">
        <f>IF($R$2="2018年",'Offer Statistics'!DS15,IF($R$2="2019年",'Offer Statistics'!DS39,IF($R$2="2020年",'Offer Statistics'!DS63)))</f>
        <v>169</v>
      </c>
      <c r="AC15" s="284">
        <f>IF($R$2="2018年",'Offer Statistics'!DT15,IF($R$2="2019年",'Offer Statistics'!DT39,IF($R$2="2020年",'Offer Statistics'!DT63)))</f>
        <v>208</v>
      </c>
      <c r="AD15" s="284">
        <f>IF($R$2="2018年",'Offer Statistics'!DU15,IF($R$2="2019年",'Offer Statistics'!DU39,IF($R$2="2020年",'Offer Statistics'!DU63)))</f>
        <v>263</v>
      </c>
      <c r="AE15" s="284">
        <f>IF($R$2="2018年",'Offer Statistics'!DV15,IF($R$2="2019年",'Offer Statistics'!DV39,IF($R$2="2020年",'Offer Statistics'!DV63)))</f>
        <v>262</v>
      </c>
      <c r="AF15" s="17"/>
      <c r="AG15" s="338" t="str">
        <f t="shared" si="2"/>
        <v>JS8612</v>
      </c>
    </row>
    <row r="16" spans="1:33" ht="18" customHeight="1">
      <c r="A16" s="175" t="s">
        <v>1030</v>
      </c>
      <c r="B16" s="175" t="s">
        <v>2008</v>
      </c>
      <c r="C16" s="175" t="s">
        <v>820</v>
      </c>
      <c r="D16" s="175" t="s">
        <v>1495</v>
      </c>
      <c r="E16" s="338" t="s">
        <v>189</v>
      </c>
      <c r="F16" s="67">
        <v>20</v>
      </c>
      <c r="G16" s="193">
        <f>計分版!D329</f>
        <v>3.9500000000000006E-9</v>
      </c>
      <c r="H16" s="188">
        <f t="shared" si="3"/>
        <v>-19.999999996050001</v>
      </c>
      <c r="I16" s="189">
        <f t="shared" si="4"/>
        <v>-5063291138.2405052</v>
      </c>
      <c r="J16" s="322">
        <v>24</v>
      </c>
      <c r="K16" s="380">
        <f>入學要求!S314</f>
        <v>0</v>
      </c>
      <c r="L16" s="502"/>
      <c r="M16" s="325">
        <v>3</v>
      </c>
      <c r="N16" s="325">
        <v>3</v>
      </c>
      <c r="O16" s="325">
        <v>2</v>
      </c>
      <c r="P16" s="325">
        <v>2</v>
      </c>
      <c r="Q16" s="325">
        <v>2</v>
      </c>
      <c r="R16" s="501"/>
      <c r="S16" s="322">
        <f>IF($R$2="2018年",'Offer Statistics'!EE16,IF($R$2="2019年",'Offer Statistics'!EE40,IF($R$2="2020年",'Offer Statistics'!EE64)))</f>
        <v>21</v>
      </c>
      <c r="T16" s="284">
        <f>IF($R$2="2018年",'Offer Statistics'!DZ16,IF($R$2="2019年",'Offer Statistics'!DZ40,IF($R$2="2020年",'Offer Statistics'!DZ64)))</f>
        <v>21</v>
      </c>
      <c r="U16" s="284">
        <f>IF($R$2="2018年",'Offer Statistics'!EA16,IF($R$2="2019年",'Offer Statistics'!EA40,IF($R$2="2020年",'Offer Statistics'!EA64)))</f>
        <v>0</v>
      </c>
      <c r="V16" s="284">
        <f>IF($R$2="2018年",'Offer Statistics'!EB16,IF($R$2="2019年",'Offer Statistics'!EB40,IF($R$2="2020年",'Offer Statistics'!EB64)))</f>
        <v>0</v>
      </c>
      <c r="W16" s="284">
        <f>IF($R$2="2018年",'Offer Statistics'!EC16,IF($R$2="2019年",'Offer Statistics'!EC40,IF($R$2="2020年",'Offer Statistics'!EC64)))</f>
        <v>0</v>
      </c>
      <c r="X16" s="284">
        <f>IF($R$2="2018年",'Offer Statistics'!ED16,IF($R$2="2019年",'Offer Statistics'!ED40,IF($R$2="2020年",'Offer Statistics'!ED64)))</f>
        <v>0</v>
      </c>
      <c r="Y16" s="501"/>
      <c r="Z16" s="322">
        <f>IF($R$2="2018年",'Offer Statistics'!DW16,IF($R$2="2019年",'Offer Statistics'!DW40,IF($R$2="2020年",'Offer Statistics'!DW64)))</f>
        <v>1658</v>
      </c>
      <c r="AA16" s="284">
        <f>IF($R$2="2018年",'Offer Statistics'!DR16,IF($R$2="2019年",'Offer Statistics'!DR40,IF($R$2="2020年",'Offer Statistics'!DR64)))</f>
        <v>225</v>
      </c>
      <c r="AB16" s="284">
        <f>IF($R$2="2018年",'Offer Statistics'!DS16,IF($R$2="2019年",'Offer Statistics'!DS40,IF($R$2="2020年",'Offer Statistics'!DS64)))</f>
        <v>250</v>
      </c>
      <c r="AC16" s="284">
        <f>IF($R$2="2018年",'Offer Statistics'!DT16,IF($R$2="2019年",'Offer Statistics'!DT40,IF($R$2="2020年",'Offer Statistics'!DT64)))</f>
        <v>357</v>
      </c>
      <c r="AD16" s="284">
        <f>IF($R$2="2018年",'Offer Statistics'!DU16,IF($R$2="2019年",'Offer Statistics'!DU40,IF($R$2="2020年",'Offer Statistics'!DU64)))</f>
        <v>428</v>
      </c>
      <c r="AE16" s="284">
        <f>IF($R$2="2018年",'Offer Statistics'!DV16,IF($R$2="2019年",'Offer Statistics'!DV40,IF($R$2="2020年",'Offer Statistics'!DV64)))</f>
        <v>398</v>
      </c>
      <c r="AF16" s="17"/>
      <c r="AG16" s="338" t="str">
        <f t="shared" si="2"/>
        <v>JS8624</v>
      </c>
    </row>
    <row r="17" spans="1:36" ht="18" customHeight="1">
      <c r="A17" s="175" t="s">
        <v>1031</v>
      </c>
      <c r="B17" s="175" t="s">
        <v>2008</v>
      </c>
      <c r="C17" s="175" t="s">
        <v>822</v>
      </c>
      <c r="D17" s="175" t="s">
        <v>1497</v>
      </c>
      <c r="E17" s="437" t="s">
        <v>189</v>
      </c>
      <c r="F17" s="67">
        <v>18</v>
      </c>
      <c r="G17" s="193">
        <f>計分版!D330</f>
        <v>3.9500000000000006E-9</v>
      </c>
      <c r="H17" s="188">
        <f t="shared" si="3"/>
        <v>-17.999999996050001</v>
      </c>
      <c r="I17" s="189">
        <f t="shared" si="4"/>
        <v>-4556962024.3164549</v>
      </c>
      <c r="J17" s="322">
        <v>12</v>
      </c>
      <c r="K17" s="380">
        <f>入學要求!S315</f>
        <v>0</v>
      </c>
      <c r="L17" s="502"/>
      <c r="M17" s="325">
        <v>3</v>
      </c>
      <c r="N17" s="325">
        <v>3</v>
      </c>
      <c r="O17" s="325">
        <v>2</v>
      </c>
      <c r="P17" s="325">
        <v>2</v>
      </c>
      <c r="Q17" s="406">
        <v>2</v>
      </c>
      <c r="R17" s="501"/>
      <c r="S17" s="322">
        <f>IF($R$2="2018年",'Offer Statistics'!EE17,IF($R$2="2019年",'Offer Statistics'!EE41,IF($R$2="2020年",'Offer Statistics'!EE65)))</f>
        <v>14</v>
      </c>
      <c r="T17" s="284">
        <f>IF($R$2="2018年",'Offer Statistics'!DZ17,IF($R$2="2019年",'Offer Statistics'!DZ41,IF($R$2="2020年",'Offer Statistics'!DZ65)))</f>
        <v>14</v>
      </c>
      <c r="U17" s="284">
        <f>IF($R$2="2018年",'Offer Statistics'!EA17,IF($R$2="2019年",'Offer Statistics'!EA41,IF($R$2="2020年",'Offer Statistics'!EA65)))</f>
        <v>0</v>
      </c>
      <c r="V17" s="284">
        <f>IF($R$2="2018年",'Offer Statistics'!EB17,IF($R$2="2019年",'Offer Statistics'!EB41,IF($R$2="2020年",'Offer Statistics'!EB65)))</f>
        <v>0</v>
      </c>
      <c r="W17" s="284">
        <f>IF($R$2="2018年",'Offer Statistics'!EC17,IF($R$2="2019年",'Offer Statistics'!EC41,IF($R$2="2020年",'Offer Statistics'!EC65)))</f>
        <v>0</v>
      </c>
      <c r="X17" s="284">
        <f>IF($R$2="2018年",'Offer Statistics'!ED17,IF($R$2="2019年",'Offer Statistics'!ED41,IF($R$2="2020年",'Offer Statistics'!ED65)))</f>
        <v>0</v>
      </c>
      <c r="Y17" s="501"/>
      <c r="Z17" s="322">
        <f>IF($R$2="2018年",'Offer Statistics'!DW17,IF($R$2="2019年",'Offer Statistics'!DW41,IF($R$2="2020年",'Offer Statistics'!DW65)))</f>
        <v>776</v>
      </c>
      <c r="AA17" s="284">
        <f>IF($R$2="2018年",'Offer Statistics'!DR17,IF($R$2="2019年",'Offer Statistics'!DR41,IF($R$2="2020年",'Offer Statistics'!DR65)))</f>
        <v>178</v>
      </c>
      <c r="AB17" s="284">
        <f>IF($R$2="2018年",'Offer Statistics'!DS17,IF($R$2="2019年",'Offer Statistics'!DS41,IF($R$2="2020年",'Offer Statistics'!DS65)))</f>
        <v>141</v>
      </c>
      <c r="AC17" s="284">
        <f>IF($R$2="2018年",'Offer Statistics'!DT17,IF($R$2="2019年",'Offer Statistics'!DT41,IF($R$2="2020年",'Offer Statistics'!DT65)))</f>
        <v>152</v>
      </c>
      <c r="AD17" s="284">
        <f>IF($R$2="2018年",'Offer Statistics'!DU17,IF($R$2="2019年",'Offer Statistics'!DU41,IF($R$2="2020年",'Offer Statistics'!DU65)))</f>
        <v>169</v>
      </c>
      <c r="AE17" s="284">
        <f>IF($R$2="2018年",'Offer Statistics'!DV17,IF($R$2="2019年",'Offer Statistics'!DV41,IF($R$2="2020年",'Offer Statistics'!DV65)))</f>
        <v>136</v>
      </c>
      <c r="AF17" s="17"/>
      <c r="AG17" s="338" t="str">
        <f t="shared" si="2"/>
        <v>JS8636</v>
      </c>
    </row>
    <row r="18" spans="1:36" ht="18" customHeight="1">
      <c r="A18" s="175" t="s">
        <v>1032</v>
      </c>
      <c r="B18" s="175" t="s">
        <v>2008</v>
      </c>
      <c r="C18" s="175" t="s">
        <v>824</v>
      </c>
      <c r="D18" s="175" t="s">
        <v>1499</v>
      </c>
      <c r="E18" s="437" t="s">
        <v>189</v>
      </c>
      <c r="F18" s="67">
        <v>20</v>
      </c>
      <c r="G18" s="193">
        <f>計分版!D331</f>
        <v>3.9500000000000006E-9</v>
      </c>
      <c r="H18" s="188">
        <f t="shared" si="3"/>
        <v>-19.999999996050001</v>
      </c>
      <c r="I18" s="189">
        <f t="shared" si="4"/>
        <v>-5063291138.2405052</v>
      </c>
      <c r="J18" s="322">
        <v>12</v>
      </c>
      <c r="K18" s="380">
        <f>入學要求!S316</f>
        <v>0</v>
      </c>
      <c r="L18" s="502"/>
      <c r="M18" s="325">
        <v>3</v>
      </c>
      <c r="N18" s="325">
        <v>3</v>
      </c>
      <c r="O18" s="325">
        <v>2</v>
      </c>
      <c r="P18" s="325">
        <v>2</v>
      </c>
      <c r="Q18" s="406">
        <v>2</v>
      </c>
      <c r="R18" s="501"/>
      <c r="S18" s="322">
        <f>IF($R$2="2018年",'Offer Statistics'!EE18,IF($R$2="2019年",'Offer Statistics'!EE42,IF($R$2="2020年",'Offer Statistics'!EE66)))</f>
        <v>13</v>
      </c>
      <c r="T18" s="284">
        <f>IF($R$2="2018年",'Offer Statistics'!DZ18,IF($R$2="2019年",'Offer Statistics'!DZ42,IF($R$2="2020年",'Offer Statistics'!DZ66)))</f>
        <v>8</v>
      </c>
      <c r="U18" s="284">
        <f>IF($R$2="2018年",'Offer Statistics'!EA18,IF($R$2="2019年",'Offer Statistics'!EA42,IF($R$2="2020年",'Offer Statistics'!EA66)))</f>
        <v>5</v>
      </c>
      <c r="V18" s="284">
        <f>IF($R$2="2018年",'Offer Statistics'!EB18,IF($R$2="2019年",'Offer Statistics'!EB42,IF($R$2="2020年",'Offer Statistics'!EB66)))</f>
        <v>0</v>
      </c>
      <c r="W18" s="284">
        <f>IF($R$2="2018年",'Offer Statistics'!EC18,IF($R$2="2019年",'Offer Statistics'!EC42,IF($R$2="2020年",'Offer Statistics'!EC66)))</f>
        <v>0</v>
      </c>
      <c r="X18" s="284">
        <f>IF($R$2="2018年",'Offer Statistics'!ED18,IF($R$2="2019年",'Offer Statistics'!ED42,IF($R$2="2020年",'Offer Statistics'!ED66)))</f>
        <v>0</v>
      </c>
      <c r="Y18" s="501"/>
      <c r="Z18" s="322">
        <f>IF($R$2="2018年",'Offer Statistics'!DW18,IF($R$2="2019年",'Offer Statistics'!DW42,IF($R$2="2020年",'Offer Statistics'!DW66)))</f>
        <v>1897</v>
      </c>
      <c r="AA18" s="284">
        <f>IF($R$2="2018年",'Offer Statistics'!DR18,IF($R$2="2019年",'Offer Statistics'!DR42,IF($R$2="2020年",'Offer Statistics'!DR66)))</f>
        <v>354</v>
      </c>
      <c r="AB18" s="284">
        <f>IF($R$2="2018年",'Offer Statistics'!DS18,IF($R$2="2019年",'Offer Statistics'!DS42,IF($R$2="2020年",'Offer Statistics'!DS66)))</f>
        <v>424</v>
      </c>
      <c r="AC18" s="284">
        <f>IF($R$2="2018年",'Offer Statistics'!DT18,IF($R$2="2019年",'Offer Statistics'!DT42,IF($R$2="2020年",'Offer Statistics'!DT66)))</f>
        <v>439</v>
      </c>
      <c r="AD18" s="284">
        <f>IF($R$2="2018年",'Offer Statistics'!DU18,IF($R$2="2019年",'Offer Statistics'!DU42,IF($R$2="2020年",'Offer Statistics'!DU66)))</f>
        <v>395</v>
      </c>
      <c r="AE18" s="284">
        <f>IF($R$2="2018年",'Offer Statistics'!DV18,IF($R$2="2019年",'Offer Statistics'!DV42,IF($R$2="2020年",'Offer Statistics'!DV66)))</f>
        <v>285</v>
      </c>
      <c r="AF18" s="17"/>
      <c r="AG18" s="338" t="str">
        <f t="shared" si="2"/>
        <v>JS8648</v>
      </c>
    </row>
    <row r="19" spans="1:36" ht="18" customHeight="1">
      <c r="A19" s="175" t="s">
        <v>1033</v>
      </c>
      <c r="B19" s="175" t="s">
        <v>2007</v>
      </c>
      <c r="C19" s="175" t="s">
        <v>826</v>
      </c>
      <c r="D19" s="175" t="s">
        <v>1501</v>
      </c>
      <c r="E19" s="437" t="s">
        <v>189</v>
      </c>
      <c r="F19" s="67">
        <v>21</v>
      </c>
      <c r="G19" s="193">
        <f>計分版!D332</f>
        <v>3.9500000000000006E-9</v>
      </c>
      <c r="H19" s="188">
        <f t="shared" si="3"/>
        <v>-20.999999996050001</v>
      </c>
      <c r="I19" s="189">
        <f t="shared" si="4"/>
        <v>-5316455695.2025309</v>
      </c>
      <c r="J19" s="322">
        <v>20</v>
      </c>
      <c r="K19" s="380">
        <f>入學要求!S317</f>
        <v>0</v>
      </c>
      <c r="L19" s="502"/>
      <c r="M19" s="325">
        <v>3</v>
      </c>
      <c r="N19" s="325">
        <v>3</v>
      </c>
      <c r="O19" s="325">
        <v>2</v>
      </c>
      <c r="P19" s="325">
        <v>2</v>
      </c>
      <c r="Q19" s="325">
        <v>2</v>
      </c>
      <c r="R19" s="501"/>
      <c r="S19" s="322">
        <f>IF($R$2="2018年",'Offer Statistics'!EE19,IF($R$2="2019年",'Offer Statistics'!EE43,IF($R$2="2020年",'Offer Statistics'!EE67)))</f>
        <v>26</v>
      </c>
      <c r="T19" s="284">
        <f>IF($R$2="2018年",'Offer Statistics'!DZ19,IF($R$2="2019年",'Offer Statistics'!DZ43,IF($R$2="2020年",'Offer Statistics'!DZ67)))</f>
        <v>21</v>
      </c>
      <c r="U19" s="284">
        <f>IF($R$2="2018年",'Offer Statistics'!EA19,IF($R$2="2019年",'Offer Statistics'!EA43,IF($R$2="2020年",'Offer Statistics'!EA67)))</f>
        <v>5</v>
      </c>
      <c r="V19" s="284">
        <f>IF($R$2="2018年",'Offer Statistics'!EB19,IF($R$2="2019年",'Offer Statistics'!EB43,IF($R$2="2020年",'Offer Statistics'!EB67)))</f>
        <v>0</v>
      </c>
      <c r="W19" s="284">
        <f>IF($R$2="2018年",'Offer Statistics'!EC19,IF($R$2="2019年",'Offer Statistics'!EC43,IF($R$2="2020年",'Offer Statistics'!EC67)))</f>
        <v>0</v>
      </c>
      <c r="X19" s="284">
        <f>IF($R$2="2018年",'Offer Statistics'!ED19,IF($R$2="2019年",'Offer Statistics'!ED43,IF($R$2="2020年",'Offer Statistics'!ED67)))</f>
        <v>0</v>
      </c>
      <c r="Y19" s="501"/>
      <c r="Z19" s="322">
        <f>IF($R$2="2018年",'Offer Statistics'!DW19,IF($R$2="2019年",'Offer Statistics'!DW43,IF($R$2="2020年",'Offer Statistics'!DW67)))</f>
        <v>4689</v>
      </c>
      <c r="AA19" s="284">
        <f>IF($R$2="2018年",'Offer Statistics'!DR19,IF($R$2="2019年",'Offer Statistics'!DR43,IF($R$2="2020年",'Offer Statistics'!DR67)))</f>
        <v>481</v>
      </c>
      <c r="AB19" s="284">
        <f>IF($R$2="2018年",'Offer Statistics'!DS19,IF($R$2="2019年",'Offer Statistics'!DS43,IF($R$2="2020年",'Offer Statistics'!DS67)))</f>
        <v>689</v>
      </c>
      <c r="AC19" s="284">
        <f>IF($R$2="2018年",'Offer Statistics'!DT19,IF($R$2="2019年",'Offer Statistics'!DT43,IF($R$2="2020年",'Offer Statistics'!DT67)))</f>
        <v>1066</v>
      </c>
      <c r="AD19" s="284">
        <f>IF($R$2="2018年",'Offer Statistics'!DU19,IF($R$2="2019年",'Offer Statistics'!DU43,IF($R$2="2020年",'Offer Statistics'!DU67)))</f>
        <v>1307</v>
      </c>
      <c r="AE19" s="284">
        <f>IF($R$2="2018年",'Offer Statistics'!DV19,IF($R$2="2019年",'Offer Statistics'!DV43,IF($R$2="2020年",'Offer Statistics'!DV67)))</f>
        <v>1146</v>
      </c>
      <c r="AF19" s="17"/>
      <c r="AG19" s="338" t="str">
        <f t="shared" si="2"/>
        <v>JS8651</v>
      </c>
    </row>
    <row r="20" spans="1:36" ht="18" customHeight="1">
      <c r="A20" s="175" t="s">
        <v>1034</v>
      </c>
      <c r="B20" s="175" t="s">
        <v>2006</v>
      </c>
      <c r="C20" s="175" t="s">
        <v>828</v>
      </c>
      <c r="D20" s="175" t="s">
        <v>1503</v>
      </c>
      <c r="E20" s="338" t="s">
        <v>189</v>
      </c>
      <c r="F20" s="67">
        <v>20</v>
      </c>
      <c r="G20" s="193">
        <f>計分版!D333</f>
        <v>3.9500000000000006E-9</v>
      </c>
      <c r="H20" s="188">
        <f t="shared" si="3"/>
        <v>-19.999999996050001</v>
      </c>
      <c r="I20" s="189">
        <f t="shared" si="4"/>
        <v>-5063291138.2405052</v>
      </c>
      <c r="J20" s="322">
        <v>20</v>
      </c>
      <c r="K20" s="380">
        <f>入學要求!S318</f>
        <v>0</v>
      </c>
      <c r="L20" s="502"/>
      <c r="M20" s="325">
        <v>3</v>
      </c>
      <c r="N20" s="325">
        <v>3</v>
      </c>
      <c r="O20" s="325">
        <v>2</v>
      </c>
      <c r="P20" s="325">
        <v>2</v>
      </c>
      <c r="Q20" s="325">
        <v>2</v>
      </c>
      <c r="R20" s="501"/>
      <c r="S20" s="322">
        <f>IF($R$2="2018年",'Offer Statistics'!EE20,IF($R$2="2019年",'Offer Statistics'!EE44,IF($R$2="2020年",'Offer Statistics'!EE68)))</f>
        <v>21</v>
      </c>
      <c r="T20" s="284">
        <f>IF($R$2="2018年",'Offer Statistics'!DZ20,IF($R$2="2019年",'Offer Statistics'!DZ44,IF($R$2="2020年",'Offer Statistics'!DZ68)))</f>
        <v>21</v>
      </c>
      <c r="U20" s="284">
        <f>IF($R$2="2018年",'Offer Statistics'!EA20,IF($R$2="2019年",'Offer Statistics'!EA44,IF($R$2="2020年",'Offer Statistics'!EA68)))</f>
        <v>0</v>
      </c>
      <c r="V20" s="284">
        <f>IF($R$2="2018年",'Offer Statistics'!EB20,IF($R$2="2019年",'Offer Statistics'!EB44,IF($R$2="2020年",'Offer Statistics'!EB68)))</f>
        <v>0</v>
      </c>
      <c r="W20" s="284">
        <f>IF($R$2="2018年",'Offer Statistics'!EC20,IF($R$2="2019年",'Offer Statistics'!EC44,IF($R$2="2020年",'Offer Statistics'!EC68)))</f>
        <v>0</v>
      </c>
      <c r="X20" s="284">
        <f>IF($R$2="2018年",'Offer Statistics'!ED20,IF($R$2="2019年",'Offer Statistics'!ED44,IF($R$2="2020年",'Offer Statistics'!ED68)))</f>
        <v>0</v>
      </c>
      <c r="Y20" s="501"/>
      <c r="Z20" s="322">
        <f>IF($R$2="2018年",'Offer Statistics'!DW20,IF($R$2="2019年",'Offer Statistics'!DW44,IF($R$2="2020年",'Offer Statistics'!DW68)))</f>
        <v>1989</v>
      </c>
      <c r="AA20" s="284">
        <f>IF($R$2="2018年",'Offer Statistics'!DR20,IF($R$2="2019年",'Offer Statistics'!DR44,IF($R$2="2020年",'Offer Statistics'!DR68)))</f>
        <v>303</v>
      </c>
      <c r="AB20" s="284">
        <f>IF($R$2="2018年",'Offer Statistics'!DS20,IF($R$2="2019年",'Offer Statistics'!DS44,IF($R$2="2020年",'Offer Statistics'!DS68)))</f>
        <v>410</v>
      </c>
      <c r="AC20" s="284">
        <f>IF($R$2="2018年",'Offer Statistics'!DT20,IF($R$2="2019年",'Offer Statistics'!DT44,IF($R$2="2020年",'Offer Statistics'!DT68)))</f>
        <v>465</v>
      </c>
      <c r="AD20" s="284">
        <f>IF($R$2="2018年",'Offer Statistics'!DU20,IF($R$2="2019年",'Offer Statistics'!DU44,IF($R$2="2020年",'Offer Statistics'!DU68)))</f>
        <v>450</v>
      </c>
      <c r="AE20" s="284">
        <f>IF($R$2="2018年",'Offer Statistics'!DV20,IF($R$2="2019年",'Offer Statistics'!DV44,IF($R$2="2020年",'Offer Statistics'!DV68)))</f>
        <v>361</v>
      </c>
      <c r="AF20" s="17"/>
      <c r="AG20" s="338" t="str">
        <f t="shared" si="2"/>
        <v>JS8663</v>
      </c>
    </row>
    <row r="21" spans="1:36" ht="18" customHeight="1">
      <c r="A21" s="175" t="s">
        <v>1035</v>
      </c>
      <c r="B21" s="175" t="s">
        <v>2008</v>
      </c>
      <c r="C21" s="175" t="s">
        <v>830</v>
      </c>
      <c r="D21" s="175" t="s">
        <v>1505</v>
      </c>
      <c r="E21" s="437" t="s">
        <v>189</v>
      </c>
      <c r="F21" s="67">
        <v>19</v>
      </c>
      <c r="G21" s="193">
        <f>計分版!D334</f>
        <v>3.9500000000000006E-9</v>
      </c>
      <c r="H21" s="188">
        <f t="shared" si="3"/>
        <v>-18.999999996050001</v>
      </c>
      <c r="I21" s="189">
        <f t="shared" si="4"/>
        <v>-4810126581.2784805</v>
      </c>
      <c r="J21" s="322">
        <v>40</v>
      </c>
      <c r="K21" s="380">
        <f>入學要求!S319</f>
        <v>0</v>
      </c>
      <c r="L21" s="502"/>
      <c r="M21" s="325">
        <v>3</v>
      </c>
      <c r="N21" s="325">
        <v>3</v>
      </c>
      <c r="O21" s="325">
        <v>2</v>
      </c>
      <c r="P21" s="325">
        <v>2</v>
      </c>
      <c r="Q21" s="406">
        <v>2</v>
      </c>
      <c r="R21" s="501"/>
      <c r="S21" s="322">
        <f>IF($R$2="2018年",'Offer Statistics'!EE21,IF($R$2="2019年",'Offer Statistics'!EE45,IF($R$2="2020年",'Offer Statistics'!EE69)))</f>
        <v>32</v>
      </c>
      <c r="T21" s="284">
        <f>IF($R$2="2018年",'Offer Statistics'!DZ21,IF($R$2="2019年",'Offer Statistics'!DZ45,IF($R$2="2020年",'Offer Statistics'!DZ69)))</f>
        <v>31</v>
      </c>
      <c r="U21" s="284">
        <f>IF($R$2="2018年",'Offer Statistics'!EA21,IF($R$2="2019年",'Offer Statistics'!EA45,IF($R$2="2020年",'Offer Statistics'!EA69)))</f>
        <v>1</v>
      </c>
      <c r="V21" s="284">
        <f>IF($R$2="2018年",'Offer Statistics'!EB21,IF($R$2="2019年",'Offer Statistics'!EB45,IF($R$2="2020年",'Offer Statistics'!EB69)))</f>
        <v>0</v>
      </c>
      <c r="W21" s="284">
        <f>IF($R$2="2018年",'Offer Statistics'!EC21,IF($R$2="2019年",'Offer Statistics'!EC45,IF($R$2="2020年",'Offer Statistics'!EC69)))</f>
        <v>0</v>
      </c>
      <c r="X21" s="284">
        <f>IF($R$2="2018年",'Offer Statistics'!ED21,IF($R$2="2019年",'Offer Statistics'!ED45,IF($R$2="2020年",'Offer Statistics'!ED69)))</f>
        <v>0</v>
      </c>
      <c r="Y21" s="501"/>
      <c r="Z21" s="322">
        <f>IF($R$2="2018年",'Offer Statistics'!DW21,IF($R$2="2019年",'Offer Statistics'!DW45,IF($R$2="2020年",'Offer Statistics'!DW69)))</f>
        <v>599</v>
      </c>
      <c r="AA21" s="284">
        <f>IF($R$2="2018年",'Offer Statistics'!DR21,IF($R$2="2019年",'Offer Statistics'!DR45,IF($R$2="2020年",'Offer Statistics'!DR69)))</f>
        <v>164</v>
      </c>
      <c r="AB21" s="284">
        <f>IF($R$2="2018年",'Offer Statistics'!DS21,IF($R$2="2019年",'Offer Statistics'!DS45,IF($R$2="2020年",'Offer Statistics'!DS69)))</f>
        <v>107</v>
      </c>
      <c r="AC21" s="284">
        <f>IF($R$2="2018年",'Offer Statistics'!DT21,IF($R$2="2019年",'Offer Statistics'!DT45,IF($R$2="2020年",'Offer Statistics'!DT69)))</f>
        <v>104</v>
      </c>
      <c r="AD21" s="284">
        <f>IF($R$2="2018年",'Offer Statistics'!DU21,IF($R$2="2019年",'Offer Statistics'!DU45,IF($R$2="2020年",'Offer Statistics'!DU69)))</f>
        <v>105</v>
      </c>
      <c r="AE21" s="284">
        <f>IF($R$2="2018年",'Offer Statistics'!DV21,IF($R$2="2019年",'Offer Statistics'!DV45,IF($R$2="2020年",'Offer Statistics'!DV69)))</f>
        <v>119</v>
      </c>
      <c r="AF21" s="17"/>
      <c r="AG21" s="338" t="str">
        <f t="shared" si="2"/>
        <v>JS8801</v>
      </c>
    </row>
    <row r="22" spans="1:36" ht="18" customHeight="1">
      <c r="A22" s="175" t="s">
        <v>1036</v>
      </c>
      <c r="B22" s="175" t="s">
        <v>2008</v>
      </c>
      <c r="C22" s="175" t="s">
        <v>832</v>
      </c>
      <c r="D22" s="175" t="s">
        <v>1507</v>
      </c>
      <c r="E22" s="437" t="s">
        <v>189</v>
      </c>
      <c r="F22" s="67">
        <v>20</v>
      </c>
      <c r="G22" s="193">
        <f>計分版!D335</f>
        <v>3.9500000000000006E-9</v>
      </c>
      <c r="H22" s="188">
        <f t="shared" si="3"/>
        <v>-19.999999996050001</v>
      </c>
      <c r="I22" s="189">
        <f t="shared" si="4"/>
        <v>-5063291138.2405052</v>
      </c>
      <c r="J22" s="322">
        <v>40</v>
      </c>
      <c r="K22" s="380">
        <f>入學要求!S320</f>
        <v>0</v>
      </c>
      <c r="L22" s="502"/>
      <c r="M22" s="325">
        <v>3</v>
      </c>
      <c r="N22" s="325">
        <v>3</v>
      </c>
      <c r="O22" s="325">
        <v>2</v>
      </c>
      <c r="P22" s="325">
        <v>2</v>
      </c>
      <c r="Q22" s="406">
        <v>2</v>
      </c>
      <c r="R22" s="501"/>
      <c r="S22" s="322">
        <f>IF($R$2="2018年",'Offer Statistics'!EE22,IF($R$2="2019年",'Offer Statistics'!EE46,IF($R$2="2020年",'Offer Statistics'!EE70)))</f>
        <v>27</v>
      </c>
      <c r="T22" s="284">
        <f>IF($R$2="2018年",'Offer Statistics'!DZ22,IF($R$2="2019年",'Offer Statistics'!DZ46,IF($R$2="2020年",'Offer Statistics'!DZ70)))</f>
        <v>27</v>
      </c>
      <c r="U22" s="284">
        <f>IF($R$2="2018年",'Offer Statistics'!EA22,IF($R$2="2019年",'Offer Statistics'!EA46,IF($R$2="2020年",'Offer Statistics'!EA70)))</f>
        <v>0</v>
      </c>
      <c r="V22" s="284">
        <f>IF($R$2="2018年",'Offer Statistics'!EB22,IF($R$2="2019年",'Offer Statistics'!EB46,IF($R$2="2020年",'Offer Statistics'!EB70)))</f>
        <v>0</v>
      </c>
      <c r="W22" s="284">
        <f>IF($R$2="2018年",'Offer Statistics'!EC22,IF($R$2="2019年",'Offer Statistics'!EC46,IF($R$2="2020年",'Offer Statistics'!EC70)))</f>
        <v>0</v>
      </c>
      <c r="X22" s="284">
        <f>IF($R$2="2018年",'Offer Statistics'!ED22,IF($R$2="2019年",'Offer Statistics'!ED46,IF($R$2="2020年",'Offer Statistics'!ED70)))</f>
        <v>0</v>
      </c>
      <c r="Y22" s="501"/>
      <c r="Z22" s="322">
        <f>IF($R$2="2018年",'Offer Statistics'!DW22,IF($R$2="2019年",'Offer Statistics'!DW46,IF($R$2="2020年",'Offer Statistics'!DW70)))</f>
        <v>1385</v>
      </c>
      <c r="AA22" s="284">
        <f>IF($R$2="2018年",'Offer Statistics'!DR22,IF($R$2="2019年",'Offer Statistics'!DR46,IF($R$2="2020年",'Offer Statistics'!DR70)))</f>
        <v>298</v>
      </c>
      <c r="AB22" s="284">
        <f>IF($R$2="2018年",'Offer Statistics'!DS22,IF($R$2="2019年",'Offer Statistics'!DS46,IF($R$2="2020年",'Offer Statistics'!DS70)))</f>
        <v>264</v>
      </c>
      <c r="AC22" s="284">
        <f>IF($R$2="2018年",'Offer Statistics'!DT22,IF($R$2="2019年",'Offer Statistics'!DT46,IF($R$2="2020年",'Offer Statistics'!DT70)))</f>
        <v>326</v>
      </c>
      <c r="AD22" s="284">
        <f>IF($R$2="2018年",'Offer Statistics'!DU22,IF($R$2="2019年",'Offer Statistics'!DU46,IF($R$2="2020年",'Offer Statistics'!DU70)))</f>
        <v>274</v>
      </c>
      <c r="AE22" s="284">
        <f>IF($R$2="2018年",'Offer Statistics'!DV22,IF($R$2="2019年",'Offer Statistics'!DV46,IF($R$2="2020年",'Offer Statistics'!DV70)))</f>
        <v>223</v>
      </c>
      <c r="AF22" s="17"/>
      <c r="AG22" s="338" t="str">
        <f t="shared" si="2"/>
        <v>JS8813</v>
      </c>
    </row>
    <row r="23" spans="1:36" ht="18" customHeight="1">
      <c r="A23" s="175" t="s">
        <v>1037</v>
      </c>
      <c r="B23" s="175" t="s">
        <v>2002</v>
      </c>
      <c r="C23" s="175" t="s">
        <v>834</v>
      </c>
      <c r="D23" s="175" t="s">
        <v>1510</v>
      </c>
      <c r="E23" s="338" t="s">
        <v>189</v>
      </c>
      <c r="F23" s="67">
        <v>21</v>
      </c>
      <c r="G23" s="193">
        <f>計分版!D336</f>
        <v>3.9500000000000006E-9</v>
      </c>
      <c r="H23" s="188">
        <f t="shared" si="3"/>
        <v>-20.999999996050001</v>
      </c>
      <c r="I23" s="189">
        <f t="shared" si="4"/>
        <v>-5316455695.2025309</v>
      </c>
      <c r="J23" s="322">
        <v>20</v>
      </c>
      <c r="K23" s="380">
        <f>入學要求!S321</f>
        <v>0</v>
      </c>
      <c r="L23" s="502"/>
      <c r="M23" s="325">
        <v>3</v>
      </c>
      <c r="N23" s="325">
        <v>3</v>
      </c>
      <c r="O23" s="325">
        <v>2</v>
      </c>
      <c r="P23" s="325">
        <v>2</v>
      </c>
      <c r="Q23" s="325">
        <v>2</v>
      </c>
      <c r="R23" s="501"/>
      <c r="S23" s="322">
        <f>IF($R$2="2018年",'Offer Statistics'!EE23,IF($R$2="2019年",'Offer Statistics'!EE47,IF($R$2="2020年",'Offer Statistics'!EE71)))</f>
        <v>15</v>
      </c>
      <c r="T23" s="284">
        <f>IF($R$2="2018年",'Offer Statistics'!DZ23,IF($R$2="2019年",'Offer Statistics'!DZ47,IF($R$2="2020年",'Offer Statistics'!DZ71)))</f>
        <v>15</v>
      </c>
      <c r="U23" s="284">
        <f>IF($R$2="2018年",'Offer Statistics'!EA23,IF($R$2="2019年",'Offer Statistics'!EA47,IF($R$2="2020年",'Offer Statistics'!EA71)))</f>
        <v>0</v>
      </c>
      <c r="V23" s="284">
        <f>IF($R$2="2018年",'Offer Statistics'!EB23,IF($R$2="2019年",'Offer Statistics'!EB47,IF($R$2="2020年",'Offer Statistics'!EB71)))</f>
        <v>0</v>
      </c>
      <c r="W23" s="284">
        <f>IF($R$2="2018年",'Offer Statistics'!EC23,IF($R$2="2019年",'Offer Statistics'!EC47,IF($R$2="2020年",'Offer Statistics'!EC71)))</f>
        <v>0</v>
      </c>
      <c r="X23" s="284">
        <f>IF($R$2="2018年",'Offer Statistics'!ED23,IF($R$2="2019年",'Offer Statistics'!ED47,IF($R$2="2020年",'Offer Statistics'!ED71)))</f>
        <v>0</v>
      </c>
      <c r="Y23" s="501"/>
      <c r="Z23" s="322">
        <f>IF($R$2="2018年",'Offer Statistics'!DW23,IF($R$2="2019年",'Offer Statistics'!DW47,IF($R$2="2020年",'Offer Statistics'!DW71)))</f>
        <v>804</v>
      </c>
      <c r="AA23" s="284">
        <f>IF($R$2="2018年",'Offer Statistics'!DR23,IF($R$2="2019年",'Offer Statistics'!DR47,IF($R$2="2020年",'Offer Statistics'!DR71)))</f>
        <v>147</v>
      </c>
      <c r="AB23" s="284">
        <f>IF($R$2="2018年",'Offer Statistics'!DS23,IF($R$2="2019年",'Offer Statistics'!DS47,IF($R$2="2020年",'Offer Statistics'!DS71)))</f>
        <v>121</v>
      </c>
      <c r="AC23" s="284">
        <f>IF($R$2="2018年",'Offer Statistics'!DT23,IF($R$2="2019年",'Offer Statistics'!DT47,IF($R$2="2020年",'Offer Statistics'!DT71)))</f>
        <v>177</v>
      </c>
      <c r="AD23" s="284">
        <f>IF($R$2="2018年",'Offer Statistics'!DU23,IF($R$2="2019年",'Offer Statistics'!DU47,IF($R$2="2020年",'Offer Statistics'!DU71)))</f>
        <v>182</v>
      </c>
      <c r="AE23" s="284">
        <f>IF($R$2="2018年",'Offer Statistics'!DV23,IF($R$2="2019年",'Offer Statistics'!DV47,IF($R$2="2020年",'Offer Statistics'!DV71)))</f>
        <v>177</v>
      </c>
      <c r="AF23" s="17"/>
      <c r="AG23" s="338" t="str">
        <f t="shared" si="2"/>
        <v>JS8825</v>
      </c>
    </row>
    <row r="24" spans="1:36" ht="18" customHeight="1">
      <c r="A24" s="175" t="s">
        <v>2300</v>
      </c>
      <c r="B24" s="175" t="s">
        <v>2007</v>
      </c>
      <c r="C24" s="175" t="s">
        <v>836</v>
      </c>
      <c r="D24" s="175" t="s">
        <v>1512</v>
      </c>
      <c r="E24" s="338" t="s">
        <v>59</v>
      </c>
      <c r="F24" s="67">
        <v>17</v>
      </c>
      <c r="G24" s="193">
        <f>計分版!D337</f>
        <v>3.9500000000000006E-9</v>
      </c>
      <c r="H24" s="188">
        <f t="shared" si="0"/>
        <v>-16.999999996050001</v>
      </c>
      <c r="I24" s="189">
        <f t="shared" ref="I24" si="7">(G24-F24)/G24</f>
        <v>-4303797467.3544302</v>
      </c>
      <c r="J24" s="322">
        <v>330</v>
      </c>
      <c r="K24" s="380">
        <f>入學要求!S322</f>
        <v>0</v>
      </c>
      <c r="L24" s="502"/>
      <c r="M24" s="325">
        <v>2</v>
      </c>
      <c r="N24" s="325">
        <v>2</v>
      </c>
      <c r="O24" s="325">
        <v>2</v>
      </c>
      <c r="P24" s="325">
        <v>2</v>
      </c>
      <c r="Q24" s="325">
        <v>2</v>
      </c>
      <c r="R24" s="501"/>
      <c r="S24" s="322">
        <f>IF($R$2="2018年",'Offer Statistics'!EE24,IF($R$2="2019年",'Offer Statistics'!EE48,IF($R$2="2020年",'Offer Statistics'!EE72)))</f>
        <v>339</v>
      </c>
      <c r="T24" s="284">
        <f>IF($R$2="2018年",'Offer Statistics'!DZ24,IF($R$2="2019年",'Offer Statistics'!DZ48,IF($R$2="2020年",'Offer Statistics'!DZ72)))</f>
        <v>312</v>
      </c>
      <c r="U24" s="284">
        <f>IF($R$2="2018年",'Offer Statistics'!EA24,IF($R$2="2019年",'Offer Statistics'!EA48,IF($R$2="2020年",'Offer Statistics'!EA72)))</f>
        <v>27</v>
      </c>
      <c r="V24" s="284">
        <f>IF($R$2="2018年",'Offer Statistics'!EB24,IF($R$2="2019年",'Offer Statistics'!EB48,IF($R$2="2020年",'Offer Statistics'!EB72)))</f>
        <v>0</v>
      </c>
      <c r="W24" s="284">
        <f>IF($R$2="2018年",'Offer Statistics'!EC24,IF($R$2="2019年",'Offer Statistics'!EC48,IF($R$2="2020年",'Offer Statistics'!EC72)))</f>
        <v>0</v>
      </c>
      <c r="X24" s="284">
        <f>IF($R$2="2018年",'Offer Statistics'!ED24,IF($R$2="2019年",'Offer Statistics'!ED48,IF($R$2="2020年",'Offer Statistics'!ED72)))</f>
        <v>0</v>
      </c>
      <c r="Y24" s="501"/>
      <c r="Z24" s="322">
        <f>IF($R$2="2018年",'Offer Statistics'!DW24,IF($R$2="2019年",'Offer Statistics'!DW48,IF($R$2="2020年",'Offer Statistics'!DW72)))</f>
        <v>6685</v>
      </c>
      <c r="AA24" s="284">
        <f>IF($R$2="2018年",'Offer Statistics'!DR24,IF($R$2="2019年",'Offer Statistics'!DR48,IF($R$2="2020年",'Offer Statistics'!DR72)))</f>
        <v>2631</v>
      </c>
      <c r="AB24" s="284">
        <f>IF($R$2="2018年",'Offer Statistics'!DS24,IF($R$2="2019年",'Offer Statistics'!DS48,IF($R$2="2020年",'Offer Statistics'!DS72)))</f>
        <v>1168</v>
      </c>
      <c r="AC24" s="284">
        <f>IF($R$2="2018年",'Offer Statistics'!DT24,IF($R$2="2019年",'Offer Statistics'!DT48,IF($R$2="2020年",'Offer Statistics'!DT72)))</f>
        <v>921</v>
      </c>
      <c r="AD24" s="284">
        <f>IF($R$2="2018年",'Offer Statistics'!DU24,IF($R$2="2019年",'Offer Statistics'!DU48,IF($R$2="2020年",'Offer Statistics'!DU72)))</f>
        <v>850</v>
      </c>
      <c r="AE24" s="284">
        <f>IF($R$2="2018年",'Offer Statistics'!DV24,IF($R$2="2019年",'Offer Statistics'!DV48,IF($R$2="2020年",'Offer Statistics'!DV72)))</f>
        <v>1115</v>
      </c>
      <c r="AF24" s="17"/>
      <c r="AG24" s="338" t="str">
        <f t="shared" si="2"/>
        <v>JS8507</v>
      </c>
    </row>
    <row r="25" spans="1:36" ht="18" customHeight="1">
      <c r="A25" s="29"/>
      <c r="B25" s="29"/>
      <c r="C25" s="29"/>
      <c r="D25" s="29"/>
      <c r="E25" s="272"/>
      <c r="F25" s="35"/>
      <c r="G25" s="30"/>
      <c r="H25" s="32"/>
      <c r="I25" s="33"/>
      <c r="J25" s="30"/>
      <c r="K25" s="30"/>
      <c r="L25" s="30"/>
      <c r="M25" s="30"/>
      <c r="N25" s="30"/>
      <c r="O25" s="30"/>
      <c r="P25" s="30"/>
      <c r="Q25" s="30"/>
      <c r="R25" s="30"/>
      <c r="T25" s="30"/>
      <c r="U25" s="30"/>
    </row>
    <row r="26" spans="1:36" s="275" customFormat="1" ht="18" customHeight="1">
      <c r="A26" s="31" t="s">
        <v>2203</v>
      </c>
      <c r="B26" s="34"/>
      <c r="C26" s="34"/>
      <c r="D26" s="34"/>
      <c r="E26" s="272"/>
      <c r="F26" s="35"/>
      <c r="G26" s="35"/>
      <c r="H26" s="36"/>
      <c r="I26" s="37"/>
      <c r="J26" s="35"/>
      <c r="K26" s="35"/>
      <c r="L26" s="35"/>
      <c r="M26" s="35"/>
      <c r="N26" s="35"/>
      <c r="O26" s="35"/>
      <c r="P26" s="35"/>
      <c r="Q26" s="35"/>
      <c r="R26" s="35"/>
      <c r="S26" s="351"/>
      <c r="T26" s="35"/>
      <c r="U26" s="35"/>
      <c r="V26" s="344"/>
      <c r="W26" s="344"/>
      <c r="X26" s="344"/>
      <c r="Y26" s="344"/>
      <c r="Z26" s="351"/>
      <c r="AA26" s="344"/>
      <c r="AB26" s="344"/>
      <c r="AC26" s="344"/>
      <c r="AD26" s="344"/>
      <c r="AE26" s="344"/>
      <c r="AF26" s="344"/>
      <c r="AG26" s="344"/>
    </row>
    <row r="27" spans="1:36" s="275" customFormat="1" ht="18" customHeight="1">
      <c r="A27" s="34" t="s">
        <v>1274</v>
      </c>
      <c r="B27" s="34"/>
      <c r="C27" s="34"/>
      <c r="D27" s="34"/>
      <c r="E27" s="272"/>
      <c r="F27" s="35"/>
      <c r="G27" s="35"/>
      <c r="H27" s="36"/>
      <c r="I27" s="37"/>
      <c r="J27" s="35"/>
      <c r="K27" s="35"/>
      <c r="L27" s="35"/>
      <c r="M27" s="35"/>
      <c r="N27" s="35"/>
      <c r="O27" s="35"/>
      <c r="P27" s="35"/>
      <c r="Q27" s="35"/>
      <c r="R27" s="30"/>
      <c r="S27" s="351"/>
      <c r="T27" s="30"/>
      <c r="U27" s="30"/>
      <c r="V27" s="344"/>
      <c r="W27" s="344"/>
      <c r="X27" s="344"/>
      <c r="Y27" s="344"/>
      <c r="Z27" s="351"/>
      <c r="AA27" s="344"/>
      <c r="AB27" s="344"/>
      <c r="AC27" s="344"/>
      <c r="AD27" s="344"/>
      <c r="AE27" s="344"/>
      <c r="AF27" s="344"/>
      <c r="AG27" s="344"/>
    </row>
    <row r="28" spans="1:36" s="175" customFormat="1" ht="18" customHeight="1">
      <c r="C28" s="186"/>
      <c r="E28" s="438"/>
      <c r="H28" s="438"/>
      <c r="K28" s="437"/>
      <c r="L28" s="438"/>
    </row>
    <row r="29" spans="1:36" s="187" customFormat="1" ht="18" customHeight="1">
      <c r="A29" s="187" t="s">
        <v>2352</v>
      </c>
      <c r="E29" s="272"/>
      <c r="F29" s="35"/>
      <c r="G29" s="35"/>
      <c r="H29" s="35"/>
      <c r="I29" s="35"/>
      <c r="J29" s="36"/>
      <c r="K29" s="37"/>
      <c r="L29" s="35"/>
      <c r="N29" s="35"/>
      <c r="O29" s="35"/>
      <c r="P29" s="35"/>
      <c r="Q29" s="35"/>
      <c r="R29" s="35"/>
      <c r="S29" s="35"/>
      <c r="T29" s="35"/>
      <c r="U29" s="35"/>
      <c r="V29" s="35"/>
      <c r="W29" s="35"/>
      <c r="X29" s="35"/>
      <c r="Y29" s="35"/>
      <c r="Z29" s="35"/>
      <c r="AA29" s="35"/>
      <c r="AB29" s="35"/>
      <c r="AC29" s="35"/>
      <c r="AD29" s="35"/>
      <c r="AE29" s="35"/>
      <c r="AF29" s="35"/>
      <c r="AG29" s="35"/>
      <c r="AH29" s="35"/>
      <c r="AJ29" s="35"/>
    </row>
    <row r="30" spans="1:36" s="275" customFormat="1" ht="18" customHeight="1">
      <c r="A30" s="187"/>
      <c r="B30" s="187"/>
      <c r="C30" s="187"/>
      <c r="D30" s="187"/>
      <c r="E30" s="272"/>
      <c r="F30" s="35"/>
      <c r="G30" s="35"/>
      <c r="H30" s="36"/>
      <c r="I30" s="37"/>
      <c r="J30" s="35"/>
      <c r="K30" s="35"/>
      <c r="L30" s="35"/>
      <c r="M30" s="35"/>
      <c r="N30" s="35"/>
      <c r="O30" s="35"/>
      <c r="P30" s="35"/>
      <c r="Q30" s="35"/>
      <c r="R30" s="30"/>
      <c r="S30" s="351"/>
      <c r="T30" s="30"/>
      <c r="U30" s="30"/>
      <c r="V30" s="344"/>
      <c r="W30" s="344"/>
      <c r="X30" s="344"/>
      <c r="Y30" s="344"/>
      <c r="Z30" s="351"/>
      <c r="AA30" s="344"/>
      <c r="AB30" s="344"/>
      <c r="AC30" s="344"/>
      <c r="AD30" s="344"/>
      <c r="AE30" s="344"/>
      <c r="AF30" s="344"/>
      <c r="AG30" s="344"/>
    </row>
    <row r="31" spans="1:36" s="275" customFormat="1" ht="18" customHeight="1">
      <c r="A31" s="31" t="s">
        <v>2284</v>
      </c>
      <c r="B31" s="187"/>
      <c r="C31" s="187"/>
      <c r="D31" s="187"/>
      <c r="E31" s="272"/>
      <c r="F31" s="35"/>
      <c r="G31" s="35"/>
      <c r="H31" s="36"/>
      <c r="I31" s="37"/>
      <c r="J31" s="35"/>
      <c r="K31" s="35"/>
      <c r="L31" s="35"/>
      <c r="M31" s="35"/>
      <c r="N31" s="35"/>
      <c r="O31" s="35"/>
      <c r="P31" s="35"/>
      <c r="Q31" s="35"/>
      <c r="R31" s="30"/>
      <c r="S31" s="351"/>
      <c r="T31" s="30"/>
      <c r="U31" s="30"/>
      <c r="V31" s="344"/>
      <c r="W31" s="344"/>
      <c r="X31" s="344"/>
      <c r="Y31" s="344"/>
      <c r="Z31" s="351"/>
      <c r="AA31" s="344"/>
      <c r="AB31" s="344"/>
      <c r="AC31" s="344"/>
      <c r="AD31" s="344"/>
      <c r="AE31" s="344"/>
      <c r="AF31" s="344"/>
      <c r="AG31" s="344"/>
    </row>
    <row r="32" spans="1:36" s="275" customFormat="1" ht="18" customHeight="1">
      <c r="A32" s="187" t="s">
        <v>2285</v>
      </c>
      <c r="B32" s="187"/>
      <c r="C32" s="187"/>
      <c r="D32" s="187"/>
      <c r="E32" s="272"/>
      <c r="F32" s="35"/>
      <c r="G32" s="35"/>
      <c r="H32" s="36"/>
      <c r="I32" s="37"/>
      <c r="J32" s="35"/>
      <c r="K32" s="35"/>
      <c r="L32" s="35"/>
      <c r="M32" s="35"/>
      <c r="N32" s="35"/>
      <c r="O32" s="35"/>
      <c r="P32" s="35"/>
      <c r="Q32" s="35"/>
      <c r="R32" s="30"/>
      <c r="S32" s="351"/>
      <c r="T32" s="30"/>
      <c r="U32" s="30"/>
      <c r="V32" s="344"/>
      <c r="W32" s="344"/>
      <c r="X32" s="344"/>
      <c r="Y32" s="344"/>
      <c r="Z32" s="351"/>
      <c r="AA32" s="344"/>
      <c r="AB32" s="344"/>
      <c r="AC32" s="344"/>
      <c r="AD32" s="344"/>
      <c r="AE32" s="344"/>
      <c r="AF32" s="344"/>
      <c r="AG32" s="344"/>
    </row>
    <row r="33" spans="1:21" ht="18" customHeight="1">
      <c r="A33" s="29"/>
      <c r="B33" s="29"/>
      <c r="C33" s="29"/>
      <c r="D33" s="29"/>
      <c r="E33" s="272"/>
      <c r="F33" s="35"/>
      <c r="G33" s="30"/>
      <c r="H33" s="32"/>
      <c r="I33" s="33"/>
      <c r="J33" s="30"/>
      <c r="K33" s="30"/>
      <c r="L33" s="30"/>
      <c r="M33" s="30"/>
      <c r="N33" s="30"/>
      <c r="O33" s="30"/>
      <c r="P33" s="30"/>
      <c r="Q33" s="30"/>
      <c r="R33" s="30"/>
      <c r="T33" s="30"/>
      <c r="U33" s="30"/>
    </row>
    <row r="34" spans="1:21" ht="18" customHeight="1">
      <c r="A34" s="34" t="s">
        <v>1147</v>
      </c>
      <c r="B34" s="34"/>
      <c r="C34" s="34"/>
      <c r="D34" s="34"/>
      <c r="E34" s="272"/>
      <c r="F34" s="35"/>
      <c r="G34" s="175"/>
      <c r="H34" s="32"/>
      <c r="I34" s="33"/>
      <c r="J34" s="30"/>
      <c r="K34" s="30"/>
      <c r="L34" s="30"/>
      <c r="M34" s="30"/>
      <c r="N34" s="30"/>
      <c r="O34" s="30"/>
      <c r="P34" s="30"/>
      <c r="Q34" s="30"/>
      <c r="R34" s="30"/>
      <c r="T34" s="30"/>
      <c r="U34" s="30"/>
    </row>
    <row r="35" spans="1:21" ht="18" customHeight="1">
      <c r="A35" s="74" t="s">
        <v>1342</v>
      </c>
      <c r="B35" s="34"/>
      <c r="C35" s="34"/>
      <c r="D35" s="34"/>
      <c r="E35" s="272"/>
      <c r="F35" s="35"/>
      <c r="G35" s="30"/>
      <c r="H35" s="32"/>
      <c r="I35" s="33"/>
      <c r="J35" s="30"/>
      <c r="K35" s="30"/>
      <c r="L35" s="30"/>
      <c r="M35" s="30"/>
      <c r="N35" s="30"/>
      <c r="O35" s="30"/>
      <c r="P35" s="30"/>
      <c r="Q35" s="30"/>
      <c r="R35" s="30"/>
      <c r="T35" s="30"/>
      <c r="U35" s="30"/>
    </row>
    <row r="36" spans="1:21" ht="18" customHeight="1">
      <c r="A36" s="75" t="s">
        <v>1154</v>
      </c>
      <c r="B36" s="34"/>
      <c r="C36" s="34"/>
      <c r="D36" s="34"/>
      <c r="E36" s="272"/>
      <c r="F36" s="35"/>
      <c r="G36" s="30"/>
      <c r="H36" s="32"/>
      <c r="I36" s="33"/>
      <c r="J36" s="30"/>
      <c r="K36" s="30"/>
      <c r="L36" s="30"/>
      <c r="M36" s="30"/>
      <c r="N36" s="30"/>
      <c r="O36" s="30"/>
      <c r="P36" s="30"/>
      <c r="Q36" s="30"/>
      <c r="R36" s="30"/>
      <c r="T36" s="30"/>
      <c r="U36" s="30"/>
    </row>
    <row r="37" spans="1:21" ht="18" customHeight="1">
      <c r="A37" s="74"/>
      <c r="B37" s="34"/>
      <c r="C37" s="34"/>
      <c r="D37" s="34"/>
      <c r="E37" s="272"/>
      <c r="F37" s="35"/>
      <c r="G37" s="30"/>
      <c r="H37" s="32"/>
      <c r="I37" s="33"/>
      <c r="J37" s="30"/>
      <c r="K37" s="30"/>
      <c r="L37" s="30"/>
      <c r="M37" s="30"/>
      <c r="N37" s="30"/>
      <c r="O37" s="30"/>
      <c r="P37" s="30"/>
      <c r="Q37" s="30"/>
      <c r="R37" s="30"/>
      <c r="T37" s="30"/>
      <c r="U37" s="30"/>
    </row>
    <row r="38" spans="1:21" ht="18" hidden="1" customHeight="1">
      <c r="A38" s="74"/>
      <c r="B38" s="34"/>
      <c r="C38" s="34"/>
      <c r="D38" s="34"/>
      <c r="E38" s="272"/>
      <c r="F38" s="35"/>
      <c r="G38" s="30"/>
      <c r="H38" s="32"/>
      <c r="I38" s="33"/>
      <c r="J38" s="30"/>
      <c r="K38" s="30"/>
      <c r="L38" s="30"/>
      <c r="M38" s="30"/>
      <c r="N38" s="30"/>
      <c r="O38" s="30"/>
      <c r="P38" s="30"/>
      <c r="Q38" s="30"/>
      <c r="R38" s="30"/>
      <c r="T38" s="30"/>
      <c r="U38" s="30"/>
    </row>
    <row r="39" spans="1:21" hidden="1">
      <c r="F39" s="72"/>
    </row>
  </sheetData>
  <mergeCells count="4">
    <mergeCell ref="H1:I1"/>
    <mergeCell ref="R2:R24"/>
    <mergeCell ref="Y2:Y24"/>
    <mergeCell ref="L2:L24"/>
  </mergeCells>
  <phoneticPr fontId="2" type="noConversion"/>
  <conditionalFormatting sqref="H2:I24">
    <cfRule type="cellIs" dxfId="225" priority="179" operator="equal">
      <formula>"/"</formula>
    </cfRule>
    <cfRule type="cellIs" dxfId="224" priority="180" operator="lessThan">
      <formula>0</formula>
    </cfRule>
    <cfRule type="cellIs" dxfId="223" priority="181" operator="greaterThan">
      <formula>0</formula>
    </cfRule>
  </conditionalFormatting>
  <conditionalFormatting sqref="F2:F24">
    <cfRule type="expression" dxfId="222" priority="175">
      <formula>$H$1="差距(UQ)"</formula>
    </cfRule>
  </conditionalFormatting>
  <conditionalFormatting sqref="K2:K24">
    <cfRule type="cellIs" dxfId="221" priority="172" operator="equal">
      <formula>2</formula>
    </cfRule>
    <cfRule type="cellIs" dxfId="220" priority="173" operator="equal">
      <formula>1</formula>
    </cfRule>
    <cfRule type="cellIs" dxfId="219" priority="174" operator="equal">
      <formula>0</formula>
    </cfRule>
  </conditionalFormatting>
  <conditionalFormatting sqref="A2:Q2 Z2:AF24 S3:X24 S2:Y2 A3:K24 M3:Q24">
    <cfRule type="expression" dxfId="218" priority="2047">
      <formula>MOD(ROW(),2)=0</formula>
    </cfRule>
  </conditionalFormatting>
  <conditionalFormatting sqref="Q11">
    <cfRule type="expression" dxfId="217" priority="18">
      <formula>MOD(ROW(),2)=0</formula>
    </cfRule>
  </conditionalFormatting>
  <conditionalFormatting sqref="R2">
    <cfRule type="expression" dxfId="216" priority="7">
      <formula>MOD(ROW(),2)=0</formula>
    </cfRule>
  </conditionalFormatting>
  <conditionalFormatting sqref="R2 Y2 AF2:AF24">
    <cfRule type="expression" dxfId="215" priority="6">
      <formula>TRUE</formula>
    </cfRule>
  </conditionalFormatting>
  <conditionalFormatting sqref="AG2:AG24">
    <cfRule type="expression" dxfId="214" priority="5">
      <formula>MOD(ROW(),2)=0</formula>
    </cfRule>
  </conditionalFormatting>
  <hyperlinks>
    <hyperlink ref="A36" r:id="rId1" xr:uid="{00000000-0004-0000-0E00-000000000000}"/>
  </hyperlinks>
  <pageMargins left="0.7" right="0.7" top="0.75" bottom="0.75" header="0.3" footer="0.3"/>
  <pageSetup paperSize="9" orientation="portrait" horizontalDpi="1200" verticalDpi="1200" r:id="rId2"/>
  <legacyDrawing r:id="rId3"/>
  <extLst>
    <ext xmlns:x14="http://schemas.microsoft.com/office/spreadsheetml/2009/9/main" uri="{78C0D931-6437-407d-A8EE-F0AAD7539E65}">
      <x14:conditionalFormattings>
        <x14:conditionalFormatting xmlns:xm="http://schemas.microsoft.com/office/excel/2006/main">
          <x14:cfRule type="cellIs" priority="47" operator="lessThan" id="{163EDD6C-AD29-46EF-8AF4-1590941A92C3}">
            <xm:f>LARGE(計分版!$G$10:$N$10,1)</xm:f>
            <x14:dxf>
              <font>
                <color rgb="FF006100"/>
              </font>
              <fill>
                <patternFill>
                  <bgColor rgb="FFC6EFCE"/>
                </patternFill>
              </fill>
            </x14:dxf>
          </x14:cfRule>
          <x14:cfRule type="cellIs" priority="48" operator="greaterThan" id="{C0AC0EC9-BABF-4B77-B5C4-2B930E5E2393}">
            <xm:f>LARGE(計分版!$G$10:$N$10,1)</xm:f>
            <x14:dxf>
              <font>
                <color rgb="FF9C0006"/>
              </font>
              <fill>
                <patternFill>
                  <bgColor rgb="FFFFC7CE"/>
                </patternFill>
              </fill>
            </x14:dxf>
          </x14:cfRule>
          <xm:sqref>Q24</xm:sqref>
        </x14:conditionalFormatting>
        <x14:conditionalFormatting xmlns:xm="http://schemas.microsoft.com/office/excel/2006/main">
          <x14:cfRule type="expression" priority="36" id="{D68C4B1E-3843-4C17-835F-CB1449846572}">
            <xm:f>AND(OR(計分版!$G$10&lt;3,計分版!$I$10&lt;2),計分版!$G$10&gt;5)</xm:f>
            <x14:dxf>
              <font>
                <color rgb="FF9C5700"/>
              </font>
              <fill>
                <patternFill>
                  <bgColor rgb="FFFFEB9C"/>
                </patternFill>
              </fill>
            </x14:dxf>
          </x14:cfRule>
          <x14:cfRule type="expression" priority="37" id="{FF886048-4AE5-4706-A412-097C4F41274A}">
            <xm:f>OR(計分版!$G$10&lt;3,計分版!$I$10&lt;2)</xm:f>
            <x14:dxf>
              <font>
                <color rgb="FF9C0006"/>
              </font>
              <fill>
                <patternFill>
                  <bgColor rgb="FFFFC7CE"/>
                </patternFill>
              </fill>
            </x14:dxf>
          </x14:cfRule>
          <xm:sqref>Q9</xm:sqref>
        </x14:conditionalFormatting>
        <x14:conditionalFormatting xmlns:xm="http://schemas.microsoft.com/office/excel/2006/main">
          <x14:cfRule type="expression" priority="40" id="{3276813E-D643-4BE9-B6DB-A8AC89E58E9A}">
            <xm:f>AND(OR(計分版!$G$10&lt;3,計分版!$I$10&lt;2),計分版!$G$10&gt;5)</xm:f>
            <x14:dxf>
              <font>
                <color rgb="FF9C5700"/>
              </font>
              <fill>
                <patternFill>
                  <bgColor rgb="FFFFEB9C"/>
                </patternFill>
              </fill>
            </x14:dxf>
          </x14:cfRule>
          <x14:cfRule type="expression" priority="41" id="{C5241D1A-CEFE-4C63-90B3-6D53615863A5}">
            <xm:f>OR(計分版!$G$10&lt;3,計分版!$I$10&lt;2)</xm:f>
            <x14:dxf>
              <font>
                <color rgb="FF9C0006"/>
              </font>
              <fill>
                <patternFill>
                  <bgColor rgb="FFFFC7CE"/>
                </patternFill>
              </fill>
            </x14:dxf>
          </x14:cfRule>
          <xm:sqref>Q5</xm:sqref>
        </x14:conditionalFormatting>
        <x14:conditionalFormatting xmlns:xm="http://schemas.microsoft.com/office/excel/2006/main">
          <x14:cfRule type="cellIs" priority="30" operator="lessThan" id="{89B21902-48AC-4D6F-9865-2A497DA9D795}">
            <xm:f>計分版!$F$13</xm:f>
            <x14:dxf>
              <font>
                <color rgb="FF006100"/>
              </font>
              <fill>
                <patternFill>
                  <bgColor rgb="FFC6EFCE"/>
                </patternFill>
              </fill>
            </x14:dxf>
          </x14:cfRule>
          <xm:sqref>N12:N24 N2:N10</xm:sqref>
        </x14:conditionalFormatting>
        <x14:conditionalFormatting xmlns:xm="http://schemas.microsoft.com/office/excel/2006/main">
          <x14:cfRule type="cellIs" priority="22" operator="greaterThan" id="{445308BF-2397-4922-8D6D-A4826629FC20}">
            <xm:f>計分版!$F$13</xm:f>
            <x14:dxf>
              <font>
                <color rgb="FF9C0006"/>
              </font>
              <fill>
                <patternFill>
                  <bgColor rgb="FFFFC7CE"/>
                </patternFill>
              </fill>
            </x14:dxf>
          </x14:cfRule>
          <xm:sqref>N12:N24 N2:N10</xm:sqref>
        </x14:conditionalFormatting>
        <x14:conditionalFormatting xmlns:xm="http://schemas.microsoft.com/office/excel/2006/main">
          <x14:cfRule type="cellIs" priority="27" operator="lessThan" id="{7FD1A428-DD85-451F-93DD-3D4FC87BFE29}">
            <xm:f>計分版!$G$13</xm:f>
            <x14:dxf>
              <font>
                <color rgb="FF006100"/>
              </font>
              <fill>
                <patternFill>
                  <bgColor rgb="FFC6EFCE"/>
                </patternFill>
              </fill>
            </x14:dxf>
          </x14:cfRule>
          <x14:cfRule type="cellIs" priority="28" operator="greaterThan" id="{2CCB10CF-F4BF-4C52-9ACF-454621742FA4}">
            <xm:f>計分版!$G$13</xm:f>
            <x14:dxf>
              <font>
                <color rgb="FF9C0006"/>
              </font>
              <fill>
                <patternFill>
                  <bgColor rgb="FFFFC7CE"/>
                </patternFill>
              </fill>
            </x14:dxf>
          </x14:cfRule>
          <xm:sqref>O12:O24 O2:O10</xm:sqref>
        </x14:conditionalFormatting>
        <x14:conditionalFormatting xmlns:xm="http://schemas.microsoft.com/office/excel/2006/main">
          <x14:cfRule type="cellIs" priority="31" operator="lessThan" id="{42746F43-F251-42F3-806D-9C2571B6889F}">
            <xm:f>計分版!$H$13</xm:f>
            <x14:dxf>
              <font>
                <color rgb="FF006100"/>
              </font>
              <fill>
                <patternFill>
                  <bgColor rgb="FFC6EFCE"/>
                </patternFill>
              </fill>
            </x14:dxf>
          </x14:cfRule>
          <x14:cfRule type="cellIs" priority="32" operator="greaterThan" id="{61E7CE70-D9EB-4A2C-BBF7-7D4DE29E0EDB}">
            <xm:f>計分版!$H$13</xm:f>
            <x14:dxf>
              <font>
                <color rgb="FF9C0006"/>
              </font>
              <fill>
                <patternFill>
                  <bgColor rgb="FFFFC7CE"/>
                </patternFill>
              </fill>
            </x14:dxf>
          </x14:cfRule>
          <xm:sqref>P12:P24 P2:P10</xm:sqref>
        </x14:conditionalFormatting>
        <x14:conditionalFormatting xmlns:xm="http://schemas.microsoft.com/office/excel/2006/main">
          <x14:cfRule type="expression" priority="29" id="{2B4BB485-57FB-4985-99BB-DFE5137CE3F6}">
            <xm:f>計分版!$F$13&lt;5</xm:f>
            <x14:dxf>
              <font>
                <color rgb="FF9C5700"/>
              </font>
              <fill>
                <patternFill>
                  <bgColor rgb="FFFFEB9C"/>
                </patternFill>
              </fill>
            </x14:dxf>
          </x14:cfRule>
          <xm:sqref>N3</xm:sqref>
        </x14:conditionalFormatting>
        <x14:conditionalFormatting xmlns:xm="http://schemas.microsoft.com/office/excel/2006/main">
          <x14:cfRule type="expression" priority="26" id="{8067CE3D-A9A8-40F3-BA81-D253EED224C0}">
            <xm:f>計分版!$E$13&lt;5</xm:f>
            <x14:dxf>
              <font>
                <color rgb="FF9C5700"/>
              </font>
              <fill>
                <patternFill>
                  <bgColor rgb="FFFFEB9C"/>
                </patternFill>
              </fill>
            </x14:dxf>
          </x14:cfRule>
          <xm:sqref>M14</xm:sqref>
        </x14:conditionalFormatting>
        <x14:conditionalFormatting xmlns:xm="http://schemas.microsoft.com/office/excel/2006/main">
          <x14:cfRule type="expression" priority="25" id="{89CC5C57-2E58-43FF-AEA0-14EB55A48B0F}">
            <xm:f>計分版!$F$13&lt;5</xm:f>
            <x14:dxf>
              <font>
                <color rgb="FF9C5700"/>
              </font>
              <fill>
                <patternFill>
                  <bgColor rgb="FFFFEB9C"/>
                </patternFill>
              </fill>
            </x14:dxf>
          </x14:cfRule>
          <xm:sqref>N15</xm:sqref>
        </x14:conditionalFormatting>
        <x14:conditionalFormatting xmlns:xm="http://schemas.microsoft.com/office/excel/2006/main">
          <x14:cfRule type="expression" priority="23" id="{A351861B-B3B3-4C8E-A90F-41E81CA8E1F5}">
            <xm:f>計分版!$F$13&lt;6</xm:f>
            <x14:dxf>
              <font>
                <color rgb="FF9C5700"/>
              </font>
              <fill>
                <patternFill>
                  <bgColor rgb="FFFFEB9C"/>
                </patternFill>
              </fill>
            </x14:dxf>
          </x14:cfRule>
          <xm:sqref>N23</xm:sqref>
        </x14:conditionalFormatting>
        <x14:conditionalFormatting xmlns:xm="http://schemas.microsoft.com/office/excel/2006/main">
          <x14:cfRule type="cellIs" priority="1" operator="greaterThan" id="{A198BFD9-3B0E-4E32-9A2E-2F30EC4256A5}">
            <xm:f>LARGE(計分版!$I$13:$N$13,1)</xm:f>
            <x14:dxf>
              <font>
                <color rgb="FF9C0006"/>
              </font>
              <fill>
                <patternFill>
                  <bgColor rgb="FFFFC7CE"/>
                </patternFill>
              </fill>
            </x14:dxf>
          </x14:cfRule>
          <x14:cfRule type="cellIs" priority="50" operator="lessThan" id="{8261651F-C754-4C32-B4F4-04F3EB2E0CE0}">
            <xm:f>LARGE(計分版!$I$13:$N$13,1)</xm:f>
            <x14:dxf>
              <font>
                <color rgb="FF006100"/>
              </font>
              <fill>
                <patternFill>
                  <bgColor rgb="FFC6EFCE"/>
                </patternFill>
              </fill>
            </x14:dxf>
          </x14:cfRule>
          <xm:sqref>Q2:Q10 Q12:Q24</xm:sqref>
        </x14:conditionalFormatting>
        <x14:conditionalFormatting xmlns:xm="http://schemas.microsoft.com/office/excel/2006/main">
          <x14:cfRule type="cellIs" priority="10" operator="lessThan" id="{016F1054-14DB-428D-BB4E-B9928A3551A7}">
            <xm:f>計分版!$F$13</xm:f>
            <x14:dxf>
              <font>
                <color rgb="FF006100"/>
              </font>
              <fill>
                <patternFill>
                  <bgColor rgb="FFC6EFCE"/>
                </patternFill>
              </fill>
            </x14:dxf>
          </x14:cfRule>
          <xm:sqref>N11</xm:sqref>
        </x14:conditionalFormatting>
        <x14:conditionalFormatting xmlns:xm="http://schemas.microsoft.com/office/excel/2006/main">
          <x14:cfRule type="cellIs" priority="11" operator="greaterThan" id="{97C63BA1-0D23-41B5-AE65-D88BBEE87E84}">
            <xm:f>計分版!$F$13</xm:f>
            <x14:dxf>
              <font>
                <color rgb="FF9C0006"/>
              </font>
              <fill>
                <patternFill>
                  <bgColor rgb="FFFFC7CE"/>
                </patternFill>
              </fill>
            </x14:dxf>
          </x14:cfRule>
          <xm:sqref>N11</xm:sqref>
        </x14:conditionalFormatting>
        <x14:conditionalFormatting xmlns:xm="http://schemas.microsoft.com/office/excel/2006/main">
          <x14:cfRule type="cellIs" priority="14" operator="greaterThan" id="{8A1A4FD7-07A0-4D31-8A1D-CC3AB360716E}">
            <xm:f>計分版!$E$13</xm:f>
            <x14:dxf>
              <font>
                <color rgb="FF9C0006"/>
              </font>
              <fill>
                <patternFill>
                  <bgColor rgb="FFFFC7CE"/>
                </patternFill>
              </fill>
            </x14:dxf>
          </x14:cfRule>
          <x14:cfRule type="cellIs" priority="15" operator="lessThan" id="{6F7431F4-71CE-4CBA-A707-AA0B10302649}">
            <xm:f>計分版!$E$13</xm:f>
            <x14:dxf>
              <font>
                <color rgb="FF006100"/>
              </font>
              <fill>
                <patternFill>
                  <bgColor rgb="FFC6EFCE"/>
                </patternFill>
              </fill>
            </x14:dxf>
          </x14:cfRule>
          <xm:sqref>M11</xm:sqref>
        </x14:conditionalFormatting>
        <x14:conditionalFormatting xmlns:xm="http://schemas.microsoft.com/office/excel/2006/main">
          <x14:cfRule type="cellIs" priority="8" operator="lessThan" id="{9B9748BF-BF7D-4C95-90EB-6DF99A16AA12}">
            <xm:f>計分版!$G$13</xm:f>
            <x14:dxf>
              <font>
                <color rgb="FF006100"/>
              </font>
              <fill>
                <patternFill>
                  <bgColor rgb="FFC6EFCE"/>
                </patternFill>
              </fill>
            </x14:dxf>
          </x14:cfRule>
          <x14:cfRule type="cellIs" priority="9" operator="greaterThan" id="{47455698-E41D-4E25-8532-FDC703B70C89}">
            <xm:f>計分版!$G$13</xm:f>
            <x14:dxf>
              <font>
                <color rgb="FF9C0006"/>
              </font>
              <fill>
                <patternFill>
                  <bgColor rgb="FFFFC7CE"/>
                </patternFill>
              </fill>
            </x14:dxf>
          </x14:cfRule>
          <xm:sqref>O11</xm:sqref>
        </x14:conditionalFormatting>
        <x14:conditionalFormatting xmlns:xm="http://schemas.microsoft.com/office/excel/2006/main">
          <x14:cfRule type="cellIs" priority="12" operator="lessThan" id="{4EE5611E-FADC-4CE7-A90A-38281BF39177}">
            <xm:f>計分版!$H$13</xm:f>
            <x14:dxf>
              <font>
                <color rgb="FF006100"/>
              </font>
              <fill>
                <patternFill>
                  <bgColor rgb="FFC6EFCE"/>
                </patternFill>
              </fill>
            </x14:dxf>
          </x14:cfRule>
          <x14:cfRule type="cellIs" priority="13" operator="greaterThan" id="{6FEEEBFF-B1E7-42E9-A4B4-280713DCDA0B}">
            <xm:f>計分版!$H$13</xm:f>
            <x14:dxf>
              <font>
                <color rgb="FF9C0006"/>
              </font>
              <fill>
                <patternFill>
                  <bgColor rgb="FFFFC7CE"/>
                </patternFill>
              </fill>
            </x14:dxf>
          </x14:cfRule>
          <xm:sqref>P11</xm:sqref>
        </x14:conditionalFormatting>
        <x14:conditionalFormatting xmlns:xm="http://schemas.microsoft.com/office/excel/2006/main">
          <x14:cfRule type="cellIs" priority="16" operator="lessThan" id="{ECAD044B-CB89-4654-9B2A-B94F3F268E35}">
            <xm:f>LARGE(計分版!$I$13:$N$13,1)</xm:f>
            <x14:dxf>
              <font>
                <color rgb="FF006100"/>
              </font>
              <fill>
                <patternFill>
                  <bgColor rgb="FFC6EFCE"/>
                </patternFill>
              </fill>
            </x14:dxf>
          </x14:cfRule>
          <x14:cfRule type="cellIs" priority="17" operator="greaterThan" id="{D24F57D1-F1E3-49B8-BF05-E3FE957A338A}">
            <xm:f>LARGE(計分版!$I$13:$N$13,1)</xm:f>
            <x14:dxf>
              <font>
                <color rgb="FF9C0006"/>
              </font>
              <fill>
                <patternFill>
                  <bgColor rgb="FFFFC7CE"/>
                </patternFill>
              </fill>
            </x14:dxf>
          </x14:cfRule>
          <xm:sqref>Q11</xm:sqref>
        </x14:conditionalFormatting>
        <x14:conditionalFormatting xmlns:xm="http://schemas.microsoft.com/office/excel/2006/main">
          <x14:cfRule type="expression" priority="46" id="{123FFD42-6281-4AAA-A483-B9D9C0135814}">
            <xm:f>入學要求!$P$311=0</xm:f>
            <x14:dxf>
              <font>
                <color rgb="FF9C0006"/>
              </font>
              <fill>
                <patternFill>
                  <bgColor rgb="FFFFC7CE"/>
                </patternFill>
              </fill>
            </x14:dxf>
          </x14:cfRule>
          <x14:cfRule type="expression" priority="2048" id="{18F745B7-9695-4D68-9004-2D56CD9596FC}">
            <xm:f>入學要求!$P$311=1</xm:f>
            <x14:dxf>
              <font>
                <color rgb="FF006100"/>
              </font>
              <fill>
                <patternFill>
                  <bgColor rgb="FFC6EFCE"/>
                </patternFill>
              </fill>
            </x14:dxf>
          </x14:cfRule>
          <xm:sqref>Q13</xm:sqref>
        </x14:conditionalFormatting>
        <x14:conditionalFormatting xmlns:xm="http://schemas.microsoft.com/office/excel/2006/main">
          <x14:cfRule type="expression" priority="5428" id="{18DE35CC-0D51-434B-AB8A-42D58E9D8CF7}">
            <xm:f>AND(計分版!$R$27&lt;2,計分版!$T$244&lt;2)</xm:f>
            <x14:dxf>
              <font>
                <color rgb="FF9C0006"/>
              </font>
              <fill>
                <patternFill>
                  <bgColor rgb="FFFFC7CE"/>
                </patternFill>
              </fill>
            </x14:dxf>
          </x14:cfRule>
          <xm:sqref>Q7</xm:sqref>
        </x14:conditionalFormatting>
        <x14:conditionalFormatting xmlns:xm="http://schemas.microsoft.com/office/excel/2006/main">
          <x14:cfRule type="expression" priority="5430" id="{61EA7769-6C79-4AED-8BED-996E4C0784E9}">
            <xm:f>計分版!$U$331&lt;4</xm:f>
            <x14:dxf>
              <font>
                <color rgb="FF9C5700"/>
              </font>
              <fill>
                <patternFill>
                  <bgColor rgb="FFFFEB9C"/>
                </patternFill>
              </fill>
            </x14:dxf>
          </x14:cfRule>
          <xm:sqref>Q21 Q17</xm:sqref>
        </x14:conditionalFormatting>
        <x14:conditionalFormatting xmlns:xm="http://schemas.microsoft.com/office/excel/2006/main">
          <x14:cfRule type="expression" priority="5431" id="{E36E0818-6220-426B-997C-D0D0239A1AFF}">
            <xm:f>計分版!$U$332&lt;4</xm:f>
            <x14:dxf>
              <font>
                <color rgb="FF9C5700"/>
              </font>
              <fill>
                <patternFill>
                  <bgColor rgb="FFFFEB9C"/>
                </patternFill>
              </fill>
            </x14:dxf>
          </x14:cfRule>
          <xm:sqref>Q22 Q18</xm:sqref>
        </x14:conditionalFormatting>
        <x14:conditionalFormatting xmlns:xm="http://schemas.microsoft.com/office/excel/2006/main">
          <x14:cfRule type="expression" priority="24" id="{6E1D7792-1ED4-4CDD-8338-E7798481AF9A}">
            <xm:f>入學要求!L300=0</xm:f>
            <x14:dxf>
              <font>
                <color rgb="FF9C0006"/>
              </font>
              <fill>
                <patternFill>
                  <bgColor rgb="FFFFC7CE"/>
                </patternFill>
              </fill>
            </x14:dxf>
          </x14:cfRule>
          <x14:cfRule type="expression" priority="33" id="{2F0B7F49-6FF9-4740-86BA-798CB6B15A8D}">
            <xm:f>入學要求!L300=2</xm:f>
            <x14:dxf>
              <font>
                <color rgb="FF9C5700"/>
              </font>
              <fill>
                <patternFill>
                  <bgColor rgb="FFFFEB9C"/>
                </patternFill>
              </fill>
            </x14:dxf>
          </x14:cfRule>
          <x14:cfRule type="expression" priority="34" id="{63BC3A02-F5DE-460B-B1F9-307743E560A2}">
            <xm:f>入學要求!L300=1</xm:f>
            <x14:dxf>
              <font>
                <color rgb="FF006100"/>
              </font>
              <fill>
                <patternFill>
                  <bgColor rgb="FFC6EFCE"/>
                </patternFill>
              </fill>
            </x14:dxf>
          </x14:cfRule>
          <xm:sqref>M2:Q24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選單!$I$1:$I$3</xm:f>
          </x14:formula1>
          <xm:sqref>R2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工作表13"/>
  <dimension ref="A1:AJ127"/>
  <sheetViews>
    <sheetView zoomScaleNormal="100" workbookViewId="0">
      <pane ySplit="1" topLeftCell="A2" activePane="bottomLeft" state="frozen"/>
      <selection pane="bottomLeft"/>
    </sheetView>
  </sheetViews>
  <sheetFormatPr defaultColWidth="0" defaultRowHeight="0" customHeight="1" zeroHeight="1"/>
  <cols>
    <col min="1" max="1" width="7.109375" style="190" customWidth="1"/>
    <col min="2" max="2" width="9.109375" style="190" customWidth="1"/>
    <col min="3" max="3" width="25.77734375" style="190" customWidth="1"/>
    <col min="4" max="4" width="10.6640625" style="190" hidden="1" customWidth="1"/>
    <col min="5" max="5" width="7.77734375" style="333" customWidth="1"/>
    <col min="6" max="8" width="7.77734375" style="50" customWidth="1"/>
    <col min="9" max="9" width="7.6640625" style="358" customWidth="1"/>
    <col min="10" max="10" width="7.6640625" style="359" customWidth="1"/>
    <col min="11" max="11" width="4.88671875" style="50" customWidth="1"/>
    <col min="12" max="12" width="4.6640625" style="50" customWidth="1"/>
    <col min="13" max="13" width="9.77734375" style="50" customWidth="1"/>
    <col min="14" max="18" width="2.21875" style="50" customWidth="1"/>
    <col min="19" max="19" width="8.88671875" style="190" customWidth="1"/>
    <col min="20" max="25" width="6.33203125" style="175" customWidth="1"/>
    <col min="26" max="26" width="8.88671875" style="175" customWidth="1"/>
    <col min="27" max="27" width="6.33203125" style="179" customWidth="1"/>
    <col min="28" max="30" width="6.33203125" style="175" customWidth="1"/>
    <col min="31" max="32" width="6.33203125" style="179" customWidth="1"/>
    <col min="33" max="33" width="3.109375" style="179" customWidth="1"/>
    <col min="34" max="34" width="8.109375" style="179" customWidth="1"/>
    <col min="35" max="16384" width="9.109375" style="179" hidden="1"/>
  </cols>
  <sheetData>
    <row r="1" spans="1:34" s="274" customFormat="1" ht="18" customHeight="1">
      <c r="A1" s="79" t="s">
        <v>203</v>
      </c>
      <c r="B1" s="79" t="s">
        <v>298</v>
      </c>
      <c r="C1" s="79" t="s">
        <v>367</v>
      </c>
      <c r="D1" s="79"/>
      <c r="E1" s="341" t="s">
        <v>996</v>
      </c>
      <c r="F1" s="341" t="s">
        <v>300</v>
      </c>
      <c r="G1" s="341" t="s">
        <v>301</v>
      </c>
      <c r="H1" s="341" t="s">
        <v>205</v>
      </c>
      <c r="I1" s="511" t="s">
        <v>364</v>
      </c>
      <c r="J1" s="511"/>
      <c r="K1" s="341" t="s">
        <v>361</v>
      </c>
      <c r="L1" s="410" t="s">
        <v>376</v>
      </c>
      <c r="M1" s="341" t="s">
        <v>2189</v>
      </c>
      <c r="N1" s="341" t="s">
        <v>369</v>
      </c>
      <c r="O1" s="341" t="s">
        <v>370</v>
      </c>
      <c r="P1" s="341" t="s">
        <v>371</v>
      </c>
      <c r="Q1" s="341" t="s">
        <v>372</v>
      </c>
      <c r="R1" s="341" t="s">
        <v>373</v>
      </c>
      <c r="S1" s="341" t="s">
        <v>2029</v>
      </c>
      <c r="T1" s="341" t="s">
        <v>2027</v>
      </c>
      <c r="U1" s="341" t="s">
        <v>2021</v>
      </c>
      <c r="V1" s="341" t="s">
        <v>2022</v>
      </c>
      <c r="W1" s="341" t="s">
        <v>2023</v>
      </c>
      <c r="X1" s="341" t="s">
        <v>2024</v>
      </c>
      <c r="Y1" s="341" t="s">
        <v>2025</v>
      </c>
      <c r="Z1" s="341" t="s">
        <v>2038</v>
      </c>
      <c r="AA1" s="341" t="s">
        <v>2027</v>
      </c>
      <c r="AB1" s="341" t="s">
        <v>2021</v>
      </c>
      <c r="AC1" s="341" t="s">
        <v>2022</v>
      </c>
      <c r="AD1" s="341" t="s">
        <v>2023</v>
      </c>
      <c r="AE1" s="341" t="s">
        <v>2024</v>
      </c>
      <c r="AF1" s="341" t="s">
        <v>2025</v>
      </c>
      <c r="AG1" s="341"/>
      <c r="AH1" s="341"/>
    </row>
    <row r="2" spans="1:34" ht="18" customHeight="1">
      <c r="A2" s="175" t="s">
        <v>1054</v>
      </c>
      <c r="B2" s="175" t="s">
        <v>1157</v>
      </c>
      <c r="C2" s="175" t="s">
        <v>826</v>
      </c>
      <c r="D2" s="175" t="s">
        <v>1791</v>
      </c>
      <c r="E2" s="338" t="s">
        <v>1156</v>
      </c>
      <c r="F2" s="176">
        <v>16</v>
      </c>
      <c r="G2" s="176">
        <v>14</v>
      </c>
      <c r="H2" s="193">
        <f>計分版!D340</f>
        <v>1.9500000000000001E-9</v>
      </c>
      <c r="I2" s="188">
        <f>IF(I$1="差距(Median)",H2-F2,IF(I$1="差距(UQ)",H2-#REF!,IF(I$1="差距(LQ)",H2-G2)))</f>
        <v>-15.999999998050001</v>
      </c>
      <c r="J2" s="189">
        <f>IF(I$1="差距(Median)",(H2-F2)/H2,IF(I$1="差距(UQ)",(H2-#REF!)/H2,IF(I$1="差距(LQ)",(H2-G2)/H2)))</f>
        <v>-8205128204.1282053</v>
      </c>
      <c r="K2" s="333">
        <v>90</v>
      </c>
      <c r="L2" s="380">
        <f>入學要求!S326</f>
        <v>0</v>
      </c>
      <c r="M2" s="338" t="s">
        <v>360</v>
      </c>
      <c r="N2" s="338">
        <v>3</v>
      </c>
      <c r="O2" s="338">
        <v>3</v>
      </c>
      <c r="P2" s="338">
        <v>2</v>
      </c>
      <c r="Q2" s="338">
        <v>2</v>
      </c>
      <c r="R2" s="338">
        <v>2</v>
      </c>
      <c r="S2" s="501" t="s">
        <v>2030</v>
      </c>
      <c r="T2" s="333">
        <f>IF($S$2="2018年",'Offer Statistics'!EV2,IF($S$2="2019年",'Offer Statistics'!EV38,IF($S$2="2020年",'Offer Statistics'!EV74)))</f>
        <v>312</v>
      </c>
      <c r="U2" s="284">
        <f>IF($S$2="2018年",'Offer Statistics'!EQ2,IF($S$2="2019年",'Offer Statistics'!EQ38,IF($S$2="2020年",'Offer Statistics'!EQ74)))</f>
        <v>133</v>
      </c>
      <c r="V2" s="284">
        <f>IF($S$2="2018年",'Offer Statistics'!ER2,IF($S$2="2019年",'Offer Statistics'!ER38,IF($S$2="2020年",'Offer Statistics'!ER74)))</f>
        <v>65</v>
      </c>
      <c r="W2" s="284">
        <f>IF($S$2="2018年",'Offer Statistics'!ES2,IF($S$2="2019年",'Offer Statistics'!ES38,IF($S$2="2020年",'Offer Statistics'!ES74)))</f>
        <v>38</v>
      </c>
      <c r="X2" s="284">
        <f>IF($S$2="2018年",'Offer Statistics'!ET2,IF($S$2="2019年",'Offer Statistics'!ET38,IF($S$2="2020年",'Offer Statistics'!ET74)))</f>
        <v>48</v>
      </c>
      <c r="Y2" s="284">
        <f>IF($S$2="2018年",'Offer Statistics'!EU2,IF($S$2="2019年",'Offer Statistics'!EU38,IF($S$2="2020年",'Offer Statistics'!EU74)))</f>
        <v>28</v>
      </c>
      <c r="Z2" s="501" t="str">
        <f>S2</f>
        <v>2020年</v>
      </c>
      <c r="AA2" s="333">
        <f>IF($S$2="2018年",'Offer Statistics'!EN2,IF($S$2="2019年",'Offer Statistics'!EN38,IF($S$2="2020年",'Offer Statistics'!EN74)))</f>
        <v>5474</v>
      </c>
      <c r="AB2" s="284">
        <f>IF($S$2="2018年",'Offer Statistics'!EI2,IF($S$2="2019年",'Offer Statistics'!EI38,IF($S$2="2020年",'Offer Statistics'!EI74)))</f>
        <v>626</v>
      </c>
      <c r="AC2" s="284">
        <f>IF($S$2="2018年",'Offer Statistics'!EJ2,IF($S$2="2019年",'Offer Statistics'!EJ38,IF($S$2="2020年",'Offer Statistics'!EJ74)))</f>
        <v>979</v>
      </c>
      <c r="AD2" s="284">
        <f>IF($S$2="2018年",'Offer Statistics'!EK2,IF($S$2="2019年",'Offer Statistics'!EK38,IF($S$2="2020年",'Offer Statistics'!EK74)))</f>
        <v>1135</v>
      </c>
      <c r="AE2" s="284">
        <f>IF($S$2="2018年",'Offer Statistics'!EL2,IF($S$2="2019年",'Offer Statistics'!EL38,IF($S$2="2020年",'Offer Statistics'!EL74)))</f>
        <v>1339</v>
      </c>
      <c r="AF2" s="284">
        <f>IF($S$2="2018年",'Offer Statistics'!EM2,IF($S$2="2019年",'Offer Statistics'!EM38,IF($S$2="2020年",'Offer Statistics'!EM74)))</f>
        <v>1395</v>
      </c>
      <c r="AG2" s="338"/>
      <c r="AH2" s="338" t="str">
        <f>A2</f>
        <v>JS9001</v>
      </c>
    </row>
    <row r="3" spans="1:34" ht="18" customHeight="1">
      <c r="A3" s="175" t="s">
        <v>1056</v>
      </c>
      <c r="B3" s="175" t="s">
        <v>1157</v>
      </c>
      <c r="C3" s="175" t="s">
        <v>1057</v>
      </c>
      <c r="D3" s="175" t="s">
        <v>1792</v>
      </c>
      <c r="E3" s="338" t="s">
        <v>1156</v>
      </c>
      <c r="F3" s="176">
        <v>17</v>
      </c>
      <c r="G3" s="176">
        <v>16</v>
      </c>
      <c r="H3" s="193">
        <f>計分版!D341</f>
        <v>1.9500000000000001E-9</v>
      </c>
      <c r="I3" s="188">
        <f>IF(I$1="差距(Median)",H3-F3,IF(I$1="差距(UQ)",H3-#REF!,IF(I$1="差距(LQ)",H3-G3)))</f>
        <v>-16.999999998050001</v>
      </c>
      <c r="J3" s="189">
        <f>IF(I$1="差距(Median)",(H3-F3)/H3,IF(I$1="差距(UQ)",(H3-#REF!)/H3,IF(I$1="差距(LQ)",(H3-G3)/H3)))</f>
        <v>-8717948716.9487171</v>
      </c>
      <c r="K3" s="333">
        <v>27</v>
      </c>
      <c r="L3" s="381">
        <f>入學要求!S327</f>
        <v>0</v>
      </c>
      <c r="M3" s="371" t="s">
        <v>360</v>
      </c>
      <c r="N3" s="338">
        <v>3</v>
      </c>
      <c r="O3" s="338">
        <v>3</v>
      </c>
      <c r="P3" s="338">
        <v>2</v>
      </c>
      <c r="Q3" s="338">
        <v>2</v>
      </c>
      <c r="R3" s="338">
        <v>2</v>
      </c>
      <c r="S3" s="501"/>
      <c r="T3" s="333">
        <f>IF($S$2="2018年",'Offer Statistics'!EV3,IF($S$2="2019年",'Offer Statistics'!EV39,IF($S$2="2020年",'Offer Statistics'!EV75)))</f>
        <v>82</v>
      </c>
      <c r="U3" s="284">
        <f>IF($S$2="2018年",'Offer Statistics'!EQ3,IF($S$2="2019年",'Offer Statistics'!EQ39,IF($S$2="2020年",'Offer Statistics'!EQ75)))</f>
        <v>32</v>
      </c>
      <c r="V3" s="284">
        <f>IF($S$2="2018年",'Offer Statistics'!ER3,IF($S$2="2019年",'Offer Statistics'!ER39,IF($S$2="2020年",'Offer Statistics'!ER75)))</f>
        <v>18</v>
      </c>
      <c r="W3" s="284">
        <f>IF($S$2="2018年",'Offer Statistics'!ES3,IF($S$2="2019年",'Offer Statistics'!ES39,IF($S$2="2020年",'Offer Statistics'!ES75)))</f>
        <v>9</v>
      </c>
      <c r="X3" s="284">
        <f>IF($S$2="2018年",'Offer Statistics'!ET3,IF($S$2="2019年",'Offer Statistics'!ET39,IF($S$2="2020年",'Offer Statistics'!ET75)))</f>
        <v>8</v>
      </c>
      <c r="Y3" s="284">
        <f>IF($S$2="2018年",'Offer Statistics'!EU3,IF($S$2="2019年",'Offer Statistics'!EU39,IF($S$2="2020年",'Offer Statistics'!EU75)))</f>
        <v>15</v>
      </c>
      <c r="Z3" s="501"/>
      <c r="AA3" s="333">
        <f>IF($S$2="2018年",'Offer Statistics'!EN3,IF($S$2="2019年",'Offer Statistics'!EN39,IF($S$2="2020年",'Offer Statistics'!EN75)))</f>
        <v>1678</v>
      </c>
      <c r="AB3" s="284">
        <f>IF($S$2="2018年",'Offer Statistics'!EI3,IF($S$2="2019年",'Offer Statistics'!EI39,IF($S$2="2020年",'Offer Statistics'!EI75)))</f>
        <v>149</v>
      </c>
      <c r="AC3" s="284">
        <f>IF($S$2="2018年",'Offer Statistics'!EJ3,IF($S$2="2019年",'Offer Statistics'!EJ39,IF($S$2="2020年",'Offer Statistics'!EJ75)))</f>
        <v>259</v>
      </c>
      <c r="AD3" s="284">
        <f>IF($S$2="2018年",'Offer Statistics'!EK3,IF($S$2="2019年",'Offer Statistics'!EK39,IF($S$2="2020年",'Offer Statistics'!EK75)))</f>
        <v>350</v>
      </c>
      <c r="AE3" s="284">
        <f>IF($S$2="2018年",'Offer Statistics'!EL3,IF($S$2="2019年",'Offer Statistics'!EL39,IF($S$2="2020年",'Offer Statistics'!EL75)))</f>
        <v>436</v>
      </c>
      <c r="AF3" s="284">
        <f>IF($S$2="2018年",'Offer Statistics'!EM3,IF($S$2="2019年",'Offer Statistics'!EM39,IF($S$2="2020年",'Offer Statistics'!EM75)))</f>
        <v>484</v>
      </c>
      <c r="AG3" s="338"/>
      <c r="AH3" s="338" t="str">
        <f t="shared" ref="AH3:AH36" si="0">A3</f>
        <v>JS9003</v>
      </c>
    </row>
    <row r="4" spans="1:34" ht="18" customHeight="1">
      <c r="A4" s="175" t="s">
        <v>1059</v>
      </c>
      <c r="B4" s="175" t="s">
        <v>1157</v>
      </c>
      <c r="C4" s="175" t="s">
        <v>1060</v>
      </c>
      <c r="D4" s="175" t="s">
        <v>1793</v>
      </c>
      <c r="E4" s="338" t="s">
        <v>1155</v>
      </c>
      <c r="F4" s="176">
        <v>18</v>
      </c>
      <c r="G4" s="176">
        <v>17</v>
      </c>
      <c r="H4" s="193">
        <f>計分版!D342</f>
        <v>1.9500000000000001E-9</v>
      </c>
      <c r="I4" s="188">
        <f>IF(I$1="差距(Median)",H4-F4,IF(I$1="差距(UQ)",H4-#REF!,IF(I$1="差距(LQ)",H4-G4)))</f>
        <v>-17.999999998050001</v>
      </c>
      <c r="J4" s="189">
        <f>IF(I$1="差距(Median)",(H4-F4)/H4,IF(I$1="差距(UQ)",(H4-#REF!)/H4,IF(I$1="差距(LQ)",(H4-G4)/H4)))</f>
        <v>-9230769229.7692299</v>
      </c>
      <c r="K4" s="333">
        <v>36</v>
      </c>
      <c r="L4" s="381">
        <f>入學要求!S328</f>
        <v>0</v>
      </c>
      <c r="M4" s="371" t="s">
        <v>360</v>
      </c>
      <c r="N4" s="338">
        <v>3</v>
      </c>
      <c r="O4" s="338">
        <v>3</v>
      </c>
      <c r="P4" s="338">
        <v>2</v>
      </c>
      <c r="Q4" s="338">
        <v>2</v>
      </c>
      <c r="R4" s="338">
        <v>2</v>
      </c>
      <c r="S4" s="501"/>
      <c r="T4" s="333">
        <f>IF($S$2="2018年",'Offer Statistics'!EV4,IF($S$2="2019年",'Offer Statistics'!EV40,IF($S$2="2020年",'Offer Statistics'!EV76)))</f>
        <v>88</v>
      </c>
      <c r="U4" s="284">
        <f>IF($S$2="2018年",'Offer Statistics'!EQ4,IF($S$2="2019年",'Offer Statistics'!EQ40,IF($S$2="2020年",'Offer Statistics'!EQ76)))</f>
        <v>44</v>
      </c>
      <c r="V4" s="284">
        <f>IF($S$2="2018年",'Offer Statistics'!ER4,IF($S$2="2019年",'Offer Statistics'!ER40,IF($S$2="2020年",'Offer Statistics'!ER76)))</f>
        <v>19</v>
      </c>
      <c r="W4" s="284">
        <f>IF($S$2="2018年",'Offer Statistics'!ES4,IF($S$2="2019年",'Offer Statistics'!ES40,IF($S$2="2020年",'Offer Statistics'!ES76)))</f>
        <v>8</v>
      </c>
      <c r="X4" s="284">
        <f>IF($S$2="2018年",'Offer Statistics'!ET4,IF($S$2="2019年",'Offer Statistics'!ET40,IF($S$2="2020年",'Offer Statistics'!ET76)))</f>
        <v>8</v>
      </c>
      <c r="Y4" s="284">
        <f>IF($S$2="2018年",'Offer Statistics'!EU4,IF($S$2="2019年",'Offer Statistics'!EU40,IF($S$2="2020年",'Offer Statistics'!EU76)))</f>
        <v>9</v>
      </c>
      <c r="Z4" s="501"/>
      <c r="AA4" s="333">
        <f>IF($S$2="2018年",'Offer Statistics'!EN4,IF($S$2="2019年",'Offer Statistics'!EN40,IF($S$2="2020年",'Offer Statistics'!EN76)))</f>
        <v>2542</v>
      </c>
      <c r="AB4" s="284">
        <f>IF($S$2="2018年",'Offer Statistics'!EI4,IF($S$2="2019年",'Offer Statistics'!EI40,IF($S$2="2020年",'Offer Statistics'!EI76)))</f>
        <v>236</v>
      </c>
      <c r="AC4" s="284">
        <f>IF($S$2="2018年",'Offer Statistics'!EJ4,IF($S$2="2019年",'Offer Statistics'!EJ40,IF($S$2="2020年",'Offer Statistics'!EJ76)))</f>
        <v>382</v>
      </c>
      <c r="AD4" s="284">
        <f>IF($S$2="2018年",'Offer Statistics'!EK4,IF($S$2="2019年",'Offer Statistics'!EK40,IF($S$2="2020年",'Offer Statistics'!EK76)))</f>
        <v>542</v>
      </c>
      <c r="AE4" s="284">
        <f>IF($S$2="2018年",'Offer Statistics'!EL4,IF($S$2="2019年",'Offer Statistics'!EL40,IF($S$2="2020年",'Offer Statistics'!EL76)))</f>
        <v>687</v>
      </c>
      <c r="AF4" s="284">
        <f>IF($S$2="2018年",'Offer Statistics'!EM4,IF($S$2="2019年",'Offer Statistics'!EM40,IF($S$2="2020年",'Offer Statistics'!EM76)))</f>
        <v>695</v>
      </c>
      <c r="AG4" s="338"/>
      <c r="AH4" s="338" t="str">
        <f t="shared" si="0"/>
        <v>JS9004</v>
      </c>
    </row>
    <row r="5" spans="1:34" ht="18" customHeight="1">
      <c r="A5" s="175" t="s">
        <v>1062</v>
      </c>
      <c r="B5" s="175" t="s">
        <v>1157</v>
      </c>
      <c r="C5" s="175" t="s">
        <v>1063</v>
      </c>
      <c r="D5" s="175" t="s">
        <v>1794</v>
      </c>
      <c r="E5" s="338" t="s">
        <v>1155</v>
      </c>
      <c r="F5" s="176">
        <v>16</v>
      </c>
      <c r="G5" s="176">
        <v>15</v>
      </c>
      <c r="H5" s="193">
        <f>計分版!D343</f>
        <v>1.9500000000000001E-9</v>
      </c>
      <c r="I5" s="188">
        <f>IF(I$1="差距(Median)",H5-F5,IF(I$1="差距(UQ)",H5-#REF!,IF(I$1="差距(LQ)",H5-G5)))</f>
        <v>-15.999999998050001</v>
      </c>
      <c r="J5" s="189">
        <f>IF(I$1="差距(Median)",(H5-F5)/H5,IF(I$1="差距(UQ)",(H5-#REF!)/H5,IF(I$1="差距(LQ)",(H5-G5)/H5)))</f>
        <v>-8205128204.1282053</v>
      </c>
      <c r="K5" s="333">
        <v>20</v>
      </c>
      <c r="L5" s="381">
        <f>入學要求!S329</f>
        <v>0</v>
      </c>
      <c r="M5" s="371" t="s">
        <v>360</v>
      </c>
      <c r="N5" s="338">
        <v>3</v>
      </c>
      <c r="O5" s="338">
        <v>3</v>
      </c>
      <c r="P5" s="338">
        <v>2</v>
      </c>
      <c r="Q5" s="338">
        <v>2</v>
      </c>
      <c r="R5" s="338">
        <v>2</v>
      </c>
      <c r="S5" s="501"/>
      <c r="T5" s="333">
        <f>IF($S$2="2018年",'Offer Statistics'!EV5,IF($S$2="2019年",'Offer Statistics'!EV41,IF($S$2="2020年",'Offer Statistics'!EV77)))</f>
        <v>39</v>
      </c>
      <c r="U5" s="284">
        <f>IF($S$2="2018年",'Offer Statistics'!EQ5,IF($S$2="2019年",'Offer Statistics'!EQ41,IF($S$2="2020年",'Offer Statistics'!EQ77)))</f>
        <v>19</v>
      </c>
      <c r="V5" s="284">
        <f>IF($S$2="2018年",'Offer Statistics'!ER5,IF($S$2="2019年",'Offer Statistics'!ER41,IF($S$2="2020年",'Offer Statistics'!ER77)))</f>
        <v>11</v>
      </c>
      <c r="W5" s="284">
        <f>IF($S$2="2018年",'Offer Statistics'!ES5,IF($S$2="2019年",'Offer Statistics'!ES41,IF($S$2="2020年",'Offer Statistics'!ES77)))</f>
        <v>5</v>
      </c>
      <c r="X5" s="284">
        <f>IF($S$2="2018年",'Offer Statistics'!ET5,IF($S$2="2019年",'Offer Statistics'!ET41,IF($S$2="2020年",'Offer Statistics'!ET77)))</f>
        <v>1</v>
      </c>
      <c r="Y5" s="284">
        <f>IF($S$2="2018年",'Offer Statistics'!EU5,IF($S$2="2019年",'Offer Statistics'!EU41,IF($S$2="2020年",'Offer Statistics'!EU77)))</f>
        <v>3</v>
      </c>
      <c r="Z5" s="501"/>
      <c r="AA5" s="333">
        <f>IF($S$2="2018年",'Offer Statistics'!EN5,IF($S$2="2019年",'Offer Statistics'!EN41,IF($S$2="2020年",'Offer Statistics'!EN77)))</f>
        <v>941</v>
      </c>
      <c r="AB5" s="284">
        <f>IF($S$2="2018年",'Offer Statistics'!EI5,IF($S$2="2019年",'Offer Statistics'!EI41,IF($S$2="2020年",'Offer Statistics'!EI77)))</f>
        <v>76</v>
      </c>
      <c r="AC5" s="284">
        <f>IF($S$2="2018年",'Offer Statistics'!EJ5,IF($S$2="2019年",'Offer Statistics'!EJ41,IF($S$2="2020年",'Offer Statistics'!EJ77)))</f>
        <v>159</v>
      </c>
      <c r="AD5" s="284">
        <f>IF($S$2="2018年",'Offer Statistics'!EK5,IF($S$2="2019年",'Offer Statistics'!EK41,IF($S$2="2020年",'Offer Statistics'!EK77)))</f>
        <v>176</v>
      </c>
      <c r="AE5" s="284">
        <f>IF($S$2="2018年",'Offer Statistics'!EL5,IF($S$2="2019年",'Offer Statistics'!EL41,IF($S$2="2020年",'Offer Statistics'!EL77)))</f>
        <v>248</v>
      </c>
      <c r="AF5" s="284">
        <f>IF($S$2="2018年",'Offer Statistics'!EM5,IF($S$2="2019年",'Offer Statistics'!EM41,IF($S$2="2020年",'Offer Statistics'!EM77)))</f>
        <v>282</v>
      </c>
      <c r="AG5" s="338"/>
      <c r="AH5" s="338" t="str">
        <f t="shared" si="0"/>
        <v>JS9005</v>
      </c>
    </row>
    <row r="6" spans="1:34" ht="18" customHeight="1">
      <c r="A6" s="175" t="s">
        <v>1065</v>
      </c>
      <c r="B6" s="175" t="s">
        <v>1157</v>
      </c>
      <c r="C6" s="175" t="s">
        <v>1066</v>
      </c>
      <c r="D6" s="175" t="s">
        <v>1795</v>
      </c>
      <c r="E6" s="338" t="s">
        <v>1155</v>
      </c>
      <c r="F6" s="176">
        <v>15</v>
      </c>
      <c r="G6" s="176">
        <v>15</v>
      </c>
      <c r="H6" s="193">
        <f>計分版!D344</f>
        <v>1.9500000000000001E-9</v>
      </c>
      <c r="I6" s="188">
        <f>IF(I$1="差距(Median)",H6-F6,IF(I$1="差距(UQ)",H6-#REF!,IF(I$1="差距(LQ)",H6-G6)))</f>
        <v>-14.999999998050001</v>
      </c>
      <c r="J6" s="189">
        <f>IF(I$1="差距(Median)",(H6-F6)/H6,IF(I$1="差距(UQ)",(H6-#REF!)/H6,IF(I$1="差距(LQ)",(H6-G6)/H6)))</f>
        <v>-7692307691.3076925</v>
      </c>
      <c r="K6" s="333">
        <v>18</v>
      </c>
      <c r="L6" s="381">
        <f>入學要求!S330</f>
        <v>0</v>
      </c>
      <c r="M6" s="371" t="s">
        <v>360</v>
      </c>
      <c r="N6" s="338">
        <v>3</v>
      </c>
      <c r="O6" s="338">
        <v>3</v>
      </c>
      <c r="P6" s="338">
        <v>2</v>
      </c>
      <c r="Q6" s="338">
        <v>2</v>
      </c>
      <c r="R6" s="338">
        <v>2</v>
      </c>
      <c r="S6" s="501"/>
      <c r="T6" s="333">
        <f>IF($S$2="2018年",'Offer Statistics'!EV6,IF($S$2="2019年",'Offer Statistics'!EV42,IF($S$2="2020年",'Offer Statistics'!EV78)))</f>
        <v>34</v>
      </c>
      <c r="U6" s="284">
        <f>IF($S$2="2018年",'Offer Statistics'!EQ6,IF($S$2="2019年",'Offer Statistics'!EQ42,IF($S$2="2020年",'Offer Statistics'!EQ78)))</f>
        <v>21</v>
      </c>
      <c r="V6" s="284">
        <f>IF($S$2="2018年",'Offer Statistics'!ER6,IF($S$2="2019年",'Offer Statistics'!ER42,IF($S$2="2020年",'Offer Statistics'!ER78)))</f>
        <v>7</v>
      </c>
      <c r="W6" s="284">
        <f>IF($S$2="2018年",'Offer Statistics'!ES6,IF($S$2="2019年",'Offer Statistics'!ES42,IF($S$2="2020年",'Offer Statistics'!ES78)))</f>
        <v>3</v>
      </c>
      <c r="X6" s="284">
        <f>IF($S$2="2018年",'Offer Statistics'!ET6,IF($S$2="2019年",'Offer Statistics'!ET42,IF($S$2="2020年",'Offer Statistics'!ET78)))</f>
        <v>1</v>
      </c>
      <c r="Y6" s="284">
        <f>IF($S$2="2018年",'Offer Statistics'!EU6,IF($S$2="2019年",'Offer Statistics'!EU42,IF($S$2="2020年",'Offer Statistics'!EU78)))</f>
        <v>2</v>
      </c>
      <c r="Z6" s="501"/>
      <c r="AA6" s="333">
        <f>IF($S$2="2018年",'Offer Statistics'!EN6,IF($S$2="2019年",'Offer Statistics'!EN42,IF($S$2="2020年",'Offer Statistics'!EN78)))</f>
        <v>1249</v>
      </c>
      <c r="AB6" s="284">
        <f>IF($S$2="2018年",'Offer Statistics'!EI6,IF($S$2="2019年",'Offer Statistics'!EI42,IF($S$2="2020年",'Offer Statistics'!EI78)))</f>
        <v>133</v>
      </c>
      <c r="AC6" s="284">
        <f>IF($S$2="2018年",'Offer Statistics'!EJ6,IF($S$2="2019年",'Offer Statistics'!EJ42,IF($S$2="2020年",'Offer Statistics'!EJ78)))</f>
        <v>202</v>
      </c>
      <c r="AD6" s="284">
        <f>IF($S$2="2018年",'Offer Statistics'!EK6,IF($S$2="2019年",'Offer Statistics'!EK42,IF($S$2="2020年",'Offer Statistics'!EK78)))</f>
        <v>255</v>
      </c>
      <c r="AE6" s="284">
        <f>IF($S$2="2018年",'Offer Statistics'!EL6,IF($S$2="2019年",'Offer Statistics'!EL42,IF($S$2="2020年",'Offer Statistics'!EL78)))</f>
        <v>324</v>
      </c>
      <c r="AF6" s="284">
        <f>IF($S$2="2018年",'Offer Statistics'!EM6,IF($S$2="2019年",'Offer Statistics'!EM42,IF($S$2="2020年",'Offer Statistics'!EM78)))</f>
        <v>335</v>
      </c>
      <c r="AG6" s="338"/>
      <c r="AH6" s="338" t="str">
        <f t="shared" si="0"/>
        <v>JS9006</v>
      </c>
    </row>
    <row r="7" spans="1:34" ht="18" customHeight="1">
      <c r="A7" s="175" t="s">
        <v>1068</v>
      </c>
      <c r="B7" s="175" t="s">
        <v>1157</v>
      </c>
      <c r="C7" s="175" t="s">
        <v>1069</v>
      </c>
      <c r="D7" s="175" t="s">
        <v>1796</v>
      </c>
      <c r="E7" s="338" t="s">
        <v>1155</v>
      </c>
      <c r="F7" s="176">
        <v>18</v>
      </c>
      <c r="G7" s="176">
        <v>17</v>
      </c>
      <c r="H7" s="193">
        <f>計分版!D345</f>
        <v>1.9500000000000001E-9</v>
      </c>
      <c r="I7" s="188">
        <f>IF(I$1="差距(Median)",H7-F7,IF(I$1="差距(UQ)",H7-#REF!,IF(I$1="差距(LQ)",H7-G7)))</f>
        <v>-17.999999998050001</v>
      </c>
      <c r="J7" s="189">
        <f>IF(I$1="差距(Median)",(H7-F7)/H7,IF(I$1="差距(UQ)",(H7-#REF!)/H7,IF(I$1="差距(LQ)",(H7-G7)/H7)))</f>
        <v>-9230769229.7692299</v>
      </c>
      <c r="K7" s="333">
        <v>20</v>
      </c>
      <c r="L7" s="381">
        <f>入學要求!S331</f>
        <v>0</v>
      </c>
      <c r="M7" s="371" t="s">
        <v>360</v>
      </c>
      <c r="N7" s="338">
        <v>3</v>
      </c>
      <c r="O7" s="338">
        <v>3</v>
      </c>
      <c r="P7" s="338">
        <v>2</v>
      </c>
      <c r="Q7" s="338">
        <v>2</v>
      </c>
      <c r="R7" s="338">
        <v>2</v>
      </c>
      <c r="S7" s="501"/>
      <c r="T7" s="333">
        <f>IF($S$2="2018年",'Offer Statistics'!EV7,IF($S$2="2019年",'Offer Statistics'!EV43,IF($S$2="2020年",'Offer Statistics'!EV79)))</f>
        <v>12</v>
      </c>
      <c r="U7" s="284">
        <f>IF($S$2="2018年",'Offer Statistics'!EQ7,IF($S$2="2019年",'Offer Statistics'!EQ43,IF($S$2="2020年",'Offer Statistics'!EQ79)))</f>
        <v>7</v>
      </c>
      <c r="V7" s="284">
        <f>IF($S$2="2018年",'Offer Statistics'!ER7,IF($S$2="2019年",'Offer Statistics'!ER43,IF($S$2="2020年",'Offer Statistics'!ER79)))</f>
        <v>3</v>
      </c>
      <c r="W7" s="284">
        <f>IF($S$2="2018年",'Offer Statistics'!ES7,IF($S$2="2019年",'Offer Statistics'!ES43,IF($S$2="2020年",'Offer Statistics'!ES79)))</f>
        <v>1</v>
      </c>
      <c r="X7" s="284">
        <f>IF($S$2="2018年",'Offer Statistics'!ET7,IF($S$2="2019年",'Offer Statistics'!ET43,IF($S$2="2020年",'Offer Statistics'!ET79)))</f>
        <v>1</v>
      </c>
      <c r="Y7" s="284">
        <f>IF($S$2="2018年",'Offer Statistics'!EU7,IF($S$2="2019年",'Offer Statistics'!EU43,IF($S$2="2020年",'Offer Statistics'!EU79)))</f>
        <v>0</v>
      </c>
      <c r="Z7" s="501"/>
      <c r="AA7" s="333">
        <f>IF($S$2="2018年",'Offer Statistics'!EN7,IF($S$2="2019年",'Offer Statistics'!EN43,IF($S$2="2020年",'Offer Statistics'!EN79)))</f>
        <v>699</v>
      </c>
      <c r="AB7" s="284">
        <f>IF($S$2="2018年",'Offer Statistics'!EI7,IF($S$2="2019年",'Offer Statistics'!EI43,IF($S$2="2020年",'Offer Statistics'!EI79)))</f>
        <v>44</v>
      </c>
      <c r="AC7" s="284">
        <f>IF($S$2="2018年",'Offer Statistics'!EJ7,IF($S$2="2019年",'Offer Statistics'!EJ43,IF($S$2="2020年",'Offer Statistics'!EJ79)))</f>
        <v>95</v>
      </c>
      <c r="AD7" s="284">
        <f>IF($S$2="2018年",'Offer Statistics'!EK7,IF($S$2="2019年",'Offer Statistics'!EK43,IF($S$2="2020年",'Offer Statistics'!EK79)))</f>
        <v>129</v>
      </c>
      <c r="AE7" s="284">
        <f>IF($S$2="2018年",'Offer Statistics'!EL7,IF($S$2="2019年",'Offer Statistics'!EL43,IF($S$2="2020年",'Offer Statistics'!EL79)))</f>
        <v>184</v>
      </c>
      <c r="AF7" s="284">
        <f>IF($S$2="2018年",'Offer Statistics'!EM7,IF($S$2="2019年",'Offer Statistics'!EM43,IF($S$2="2020年",'Offer Statistics'!EM79)))</f>
        <v>247</v>
      </c>
      <c r="AG7" s="338"/>
      <c r="AH7" s="338" t="str">
        <f t="shared" si="0"/>
        <v>JS9007</v>
      </c>
    </row>
    <row r="8" spans="1:34" ht="18" customHeight="1">
      <c r="A8" s="175" t="s">
        <v>1071</v>
      </c>
      <c r="B8" s="175" t="s">
        <v>1157</v>
      </c>
      <c r="C8" s="175" t="s">
        <v>1072</v>
      </c>
      <c r="D8" s="175" t="s">
        <v>1797</v>
      </c>
      <c r="E8" s="338" t="s">
        <v>1155</v>
      </c>
      <c r="F8" s="176">
        <v>17</v>
      </c>
      <c r="G8" s="176">
        <v>15</v>
      </c>
      <c r="H8" s="193">
        <f>計分版!D346</f>
        <v>1.9500000000000001E-9</v>
      </c>
      <c r="I8" s="188">
        <f>IF(I$1="差距(Median)",H8-F8,IF(I$1="差距(UQ)",H8-#REF!,IF(I$1="差距(LQ)",H8-G8)))</f>
        <v>-16.999999998050001</v>
      </c>
      <c r="J8" s="189">
        <f>IF(I$1="差距(Median)",(H8-F8)/H8,IF(I$1="差距(UQ)",(H8-#REF!)/H8,IF(I$1="差距(LQ)",(H8-G8)/H8)))</f>
        <v>-8717948716.9487171</v>
      </c>
      <c r="K8" s="333">
        <v>63</v>
      </c>
      <c r="L8" s="381">
        <f>入學要求!S332</f>
        <v>0</v>
      </c>
      <c r="M8" s="371" t="s">
        <v>360</v>
      </c>
      <c r="N8" s="338">
        <v>3</v>
      </c>
      <c r="O8" s="338">
        <v>3</v>
      </c>
      <c r="P8" s="338">
        <v>2</v>
      </c>
      <c r="Q8" s="338">
        <v>2</v>
      </c>
      <c r="R8" s="338">
        <v>2</v>
      </c>
      <c r="S8" s="501"/>
      <c r="T8" s="333">
        <f>IF($S$2="2018年",'Offer Statistics'!EV8,IF($S$2="2019年",'Offer Statistics'!EV44,IF($S$2="2020年",'Offer Statistics'!EV80)))</f>
        <v>83</v>
      </c>
      <c r="U8" s="284">
        <f>IF($S$2="2018年",'Offer Statistics'!EQ8,IF($S$2="2019年",'Offer Statistics'!EQ44,IF($S$2="2020年",'Offer Statistics'!EQ80)))</f>
        <v>35</v>
      </c>
      <c r="V8" s="284">
        <f>IF($S$2="2018年",'Offer Statistics'!ER8,IF($S$2="2019年",'Offer Statistics'!ER44,IF($S$2="2020年",'Offer Statistics'!ER80)))</f>
        <v>19</v>
      </c>
      <c r="W8" s="284">
        <f>IF($S$2="2018年",'Offer Statistics'!ES8,IF($S$2="2019年",'Offer Statistics'!ES44,IF($S$2="2020年",'Offer Statistics'!ES80)))</f>
        <v>10</v>
      </c>
      <c r="X8" s="284">
        <f>IF($S$2="2018年",'Offer Statistics'!ET8,IF($S$2="2019年",'Offer Statistics'!ET44,IF($S$2="2020年",'Offer Statistics'!ET80)))</f>
        <v>8</v>
      </c>
      <c r="Y8" s="284">
        <f>IF($S$2="2018年",'Offer Statistics'!EU8,IF($S$2="2019年",'Offer Statistics'!EU44,IF($S$2="2020年",'Offer Statistics'!EU80)))</f>
        <v>11</v>
      </c>
      <c r="Z8" s="501"/>
      <c r="AA8" s="333">
        <f>IF($S$2="2018年",'Offer Statistics'!EN8,IF($S$2="2019年",'Offer Statistics'!EN44,IF($S$2="2020年",'Offer Statistics'!EN80)))</f>
        <v>3053</v>
      </c>
      <c r="AB8" s="284">
        <f>IF($S$2="2018年",'Offer Statistics'!EI8,IF($S$2="2019年",'Offer Statistics'!EI44,IF($S$2="2020年",'Offer Statistics'!EI80)))</f>
        <v>268</v>
      </c>
      <c r="AC8" s="284">
        <f>IF($S$2="2018年",'Offer Statistics'!EJ8,IF($S$2="2019年",'Offer Statistics'!EJ44,IF($S$2="2020年",'Offer Statistics'!EJ80)))</f>
        <v>526</v>
      </c>
      <c r="AD8" s="284">
        <f>IF($S$2="2018年",'Offer Statistics'!EK8,IF($S$2="2019年",'Offer Statistics'!EK44,IF($S$2="2020年",'Offer Statistics'!EK80)))</f>
        <v>667</v>
      </c>
      <c r="AE8" s="284">
        <f>IF($S$2="2018年",'Offer Statistics'!EL8,IF($S$2="2019年",'Offer Statistics'!EL44,IF($S$2="2020年",'Offer Statistics'!EL80)))</f>
        <v>770</v>
      </c>
      <c r="AF8" s="284">
        <f>IF($S$2="2018年",'Offer Statistics'!EM8,IF($S$2="2019年",'Offer Statistics'!EM44,IF($S$2="2020年",'Offer Statistics'!EM80)))</f>
        <v>822</v>
      </c>
      <c r="AG8" s="338"/>
      <c r="AH8" s="338" t="str">
        <f t="shared" si="0"/>
        <v>JS9008</v>
      </c>
    </row>
    <row r="9" spans="1:34" ht="18" customHeight="1">
      <c r="A9" s="175" t="s">
        <v>1074</v>
      </c>
      <c r="B9" s="175" t="s">
        <v>1157</v>
      </c>
      <c r="C9" s="175" t="s">
        <v>1075</v>
      </c>
      <c r="D9" s="175" t="s">
        <v>1798</v>
      </c>
      <c r="E9" s="437" t="s">
        <v>1155</v>
      </c>
      <c r="F9" s="176">
        <v>21</v>
      </c>
      <c r="G9" s="176">
        <v>19</v>
      </c>
      <c r="H9" s="193">
        <f>計分版!D347</f>
        <v>2.0500000000000002E-9</v>
      </c>
      <c r="I9" s="188">
        <f>IF(I$1="差距(Median)",H9-F9,IF(I$1="差距(UQ)",H9-#REF!,IF(I$1="差距(LQ)",H9-G9)))</f>
        <v>-20.999999997949999</v>
      </c>
      <c r="J9" s="189">
        <f>IF(I$1="差距(Median)",(H9-F9)/H9,IF(I$1="差距(UQ)",(H9-#REF!)/H9,IF(I$1="差距(LQ)",(H9-G9)/H9)))</f>
        <v>-10243902438.024389</v>
      </c>
      <c r="K9" s="333">
        <v>40</v>
      </c>
      <c r="L9" s="381">
        <f>入學要求!S333</f>
        <v>0</v>
      </c>
      <c r="M9" s="371" t="s">
        <v>360</v>
      </c>
      <c r="N9" s="338">
        <v>3</v>
      </c>
      <c r="O9" s="338">
        <v>3</v>
      </c>
      <c r="P9" s="338">
        <v>2</v>
      </c>
      <c r="Q9" s="338">
        <v>2</v>
      </c>
      <c r="R9" s="338">
        <v>2</v>
      </c>
      <c r="S9" s="501"/>
      <c r="T9" s="333">
        <f>IF($S$2="2018年",'Offer Statistics'!EV9,IF($S$2="2019年",'Offer Statistics'!EV45,IF($S$2="2020年",'Offer Statistics'!EV81)))</f>
        <v>89</v>
      </c>
      <c r="U9" s="284">
        <f>IF($S$2="2018年",'Offer Statistics'!EQ9,IF($S$2="2019年",'Offer Statistics'!EQ45,IF($S$2="2020年",'Offer Statistics'!EQ81)))</f>
        <v>36</v>
      </c>
      <c r="V9" s="284">
        <f>IF($S$2="2018年",'Offer Statistics'!ER9,IF($S$2="2019年",'Offer Statistics'!ER45,IF($S$2="2020年",'Offer Statistics'!ER81)))</f>
        <v>16</v>
      </c>
      <c r="W9" s="284">
        <f>IF($S$2="2018年",'Offer Statistics'!ES9,IF($S$2="2019年",'Offer Statistics'!ES45,IF($S$2="2020年",'Offer Statistics'!ES81)))</f>
        <v>9</v>
      </c>
      <c r="X9" s="284">
        <f>IF($S$2="2018年",'Offer Statistics'!ET9,IF($S$2="2019年",'Offer Statistics'!ET45,IF($S$2="2020年",'Offer Statistics'!ET81)))</f>
        <v>12</v>
      </c>
      <c r="Y9" s="284">
        <f>IF($S$2="2018年",'Offer Statistics'!EU9,IF($S$2="2019年",'Offer Statistics'!EU45,IF($S$2="2020年",'Offer Statistics'!EU81)))</f>
        <v>16</v>
      </c>
      <c r="Z9" s="501"/>
      <c r="AA9" s="333">
        <f>IF($S$2="2018年",'Offer Statistics'!EN9,IF($S$2="2019年",'Offer Statistics'!EN45,IF($S$2="2020年",'Offer Statistics'!EN81)))</f>
        <v>1373</v>
      </c>
      <c r="AB9" s="284">
        <f>IF($S$2="2018年",'Offer Statistics'!EI9,IF($S$2="2019年",'Offer Statistics'!EI45,IF($S$2="2020年",'Offer Statistics'!EI81)))</f>
        <v>135</v>
      </c>
      <c r="AC9" s="284">
        <f>IF($S$2="2018年",'Offer Statistics'!EJ9,IF($S$2="2019年",'Offer Statistics'!EJ45,IF($S$2="2020年",'Offer Statistics'!EJ81)))</f>
        <v>221</v>
      </c>
      <c r="AD9" s="284">
        <f>IF($S$2="2018年",'Offer Statistics'!EK9,IF($S$2="2019年",'Offer Statistics'!EK45,IF($S$2="2020年",'Offer Statistics'!EK81)))</f>
        <v>299</v>
      </c>
      <c r="AE9" s="284">
        <f>IF($S$2="2018年",'Offer Statistics'!EL9,IF($S$2="2019年",'Offer Statistics'!EL45,IF($S$2="2020年",'Offer Statistics'!EL81)))</f>
        <v>334</v>
      </c>
      <c r="AF9" s="284">
        <f>IF($S$2="2018年",'Offer Statistics'!EM9,IF($S$2="2019年",'Offer Statistics'!EM45,IF($S$2="2020年",'Offer Statistics'!EM81)))</f>
        <v>384</v>
      </c>
      <c r="AG9" s="338"/>
      <c r="AH9" s="338" t="str">
        <f t="shared" si="0"/>
        <v>JS9011</v>
      </c>
    </row>
    <row r="10" spans="1:34" ht="18" customHeight="1">
      <c r="A10" s="175" t="s">
        <v>1077</v>
      </c>
      <c r="B10" s="175" t="s">
        <v>1157</v>
      </c>
      <c r="C10" s="175" t="s">
        <v>1078</v>
      </c>
      <c r="D10" s="175" t="s">
        <v>1799</v>
      </c>
      <c r="E10" s="437" t="s">
        <v>1155</v>
      </c>
      <c r="F10" s="176">
        <v>21</v>
      </c>
      <c r="G10" s="176">
        <v>19</v>
      </c>
      <c r="H10" s="193">
        <f>計分版!D348</f>
        <v>2.0999999999999998E-9</v>
      </c>
      <c r="I10" s="188">
        <f>IF(I$1="差距(Median)",H10-F10,IF(I$1="差距(UQ)",H10-#REF!,IF(I$1="差距(LQ)",H10-G10)))</f>
        <v>-20.999999997900002</v>
      </c>
      <c r="J10" s="189">
        <f>IF(I$1="差距(Median)",(H10-F10)/H10,IF(I$1="差距(UQ)",(H10-#REF!)/H10,IF(I$1="差距(LQ)",(H10-G10)/H10)))</f>
        <v>-9999999999.0000019</v>
      </c>
      <c r="K10" s="333">
        <v>55</v>
      </c>
      <c r="L10" s="381">
        <f>入學要求!S334</f>
        <v>0</v>
      </c>
      <c r="M10" s="371" t="s">
        <v>360</v>
      </c>
      <c r="N10" s="338">
        <v>3</v>
      </c>
      <c r="O10" s="338">
        <v>3</v>
      </c>
      <c r="P10" s="338">
        <v>2</v>
      </c>
      <c r="Q10" s="338">
        <v>2</v>
      </c>
      <c r="R10" s="338">
        <v>2</v>
      </c>
      <c r="S10" s="501"/>
      <c r="T10" s="333">
        <f>IF($S$2="2018年",'Offer Statistics'!EV10,IF($S$2="2019年",'Offer Statistics'!EV46,IF($S$2="2020年",'Offer Statistics'!EV82)))</f>
        <v>140</v>
      </c>
      <c r="U10" s="284">
        <f>IF($S$2="2018年",'Offer Statistics'!EQ10,IF($S$2="2019年",'Offer Statistics'!EQ46,IF($S$2="2020年",'Offer Statistics'!EQ82)))</f>
        <v>62</v>
      </c>
      <c r="V10" s="284">
        <f>IF($S$2="2018年",'Offer Statistics'!ER10,IF($S$2="2019年",'Offer Statistics'!ER46,IF($S$2="2020年",'Offer Statistics'!ER82)))</f>
        <v>35</v>
      </c>
      <c r="W10" s="284">
        <f>IF($S$2="2018年",'Offer Statistics'!ES10,IF($S$2="2019年",'Offer Statistics'!ES46,IF($S$2="2020年",'Offer Statistics'!ES82)))</f>
        <v>13</v>
      </c>
      <c r="X10" s="284">
        <f>IF($S$2="2018年",'Offer Statistics'!ET10,IF($S$2="2019年",'Offer Statistics'!ET46,IF($S$2="2020年",'Offer Statistics'!ET82)))</f>
        <v>12</v>
      </c>
      <c r="Y10" s="284">
        <f>IF($S$2="2018年",'Offer Statistics'!EU10,IF($S$2="2019年",'Offer Statistics'!EU46,IF($S$2="2020年",'Offer Statistics'!EU82)))</f>
        <v>18</v>
      </c>
      <c r="Z10" s="501"/>
      <c r="AA10" s="333">
        <f>IF($S$2="2018年",'Offer Statistics'!EN10,IF($S$2="2019年",'Offer Statistics'!EN46,IF($S$2="2020年",'Offer Statistics'!EN82)))</f>
        <v>1758</v>
      </c>
      <c r="AB10" s="284">
        <f>IF($S$2="2018年",'Offer Statistics'!EI10,IF($S$2="2019年",'Offer Statistics'!EI46,IF($S$2="2020年",'Offer Statistics'!EI82)))</f>
        <v>197</v>
      </c>
      <c r="AC10" s="284">
        <f>IF($S$2="2018年",'Offer Statistics'!EJ10,IF($S$2="2019年",'Offer Statistics'!EJ46,IF($S$2="2020年",'Offer Statistics'!EJ82)))</f>
        <v>303</v>
      </c>
      <c r="AD10" s="284">
        <f>IF($S$2="2018年",'Offer Statistics'!EK10,IF($S$2="2019年",'Offer Statistics'!EK46,IF($S$2="2020年",'Offer Statistics'!EK82)))</f>
        <v>336</v>
      </c>
      <c r="AE10" s="284">
        <f>IF($S$2="2018年",'Offer Statistics'!EL10,IF($S$2="2019年",'Offer Statistics'!EL46,IF($S$2="2020年",'Offer Statistics'!EL82)))</f>
        <v>397</v>
      </c>
      <c r="AF10" s="284">
        <f>IF($S$2="2018年",'Offer Statistics'!EM10,IF($S$2="2019年",'Offer Statistics'!EM46,IF($S$2="2020年",'Offer Statistics'!EM82)))</f>
        <v>525</v>
      </c>
      <c r="AG10" s="338"/>
      <c r="AH10" s="338" t="str">
        <f t="shared" si="0"/>
        <v>JS9013</v>
      </c>
    </row>
    <row r="11" spans="1:34" ht="18" customHeight="1">
      <c r="A11" s="175" t="s">
        <v>1080</v>
      </c>
      <c r="B11" s="175" t="s">
        <v>1157</v>
      </c>
      <c r="C11" s="175" t="s">
        <v>1081</v>
      </c>
      <c r="D11" s="175" t="s">
        <v>1800</v>
      </c>
      <c r="E11" s="437" t="s">
        <v>1155</v>
      </c>
      <c r="F11" s="176">
        <v>19</v>
      </c>
      <c r="G11" s="176">
        <v>18</v>
      </c>
      <c r="H11" s="193">
        <f>計分版!D349</f>
        <v>2.0999999999999998E-9</v>
      </c>
      <c r="I11" s="188">
        <f>IF(I$1="差距(Median)",H11-F11,IF(I$1="差距(UQ)",H11-#REF!,IF(I$1="差距(LQ)",H11-G11)))</f>
        <v>-18.999999997900002</v>
      </c>
      <c r="J11" s="189">
        <f>IF(I$1="差距(Median)",(H11-F11)/H11,IF(I$1="差距(UQ)",(H11-#REF!)/H11,IF(I$1="差距(LQ)",(H11-G11)/H11)))</f>
        <v>-9047619046.6190491</v>
      </c>
      <c r="K11" s="333">
        <v>70</v>
      </c>
      <c r="L11" s="381">
        <f>入學要求!S335</f>
        <v>0</v>
      </c>
      <c r="M11" s="371" t="s">
        <v>360</v>
      </c>
      <c r="N11" s="338">
        <v>3</v>
      </c>
      <c r="O11" s="338">
        <v>3</v>
      </c>
      <c r="P11" s="338">
        <v>2</v>
      </c>
      <c r="Q11" s="338">
        <v>2</v>
      </c>
      <c r="R11" s="338">
        <v>2</v>
      </c>
      <c r="S11" s="501"/>
      <c r="T11" s="333">
        <f>IF($S$2="2018年",'Offer Statistics'!EV11,IF($S$2="2019年",'Offer Statistics'!EV47,IF($S$2="2020年",'Offer Statistics'!EV83)))</f>
        <v>199</v>
      </c>
      <c r="U11" s="284">
        <f>IF($S$2="2018年",'Offer Statistics'!EQ11,IF($S$2="2019年",'Offer Statistics'!EQ47,IF($S$2="2020年",'Offer Statistics'!EQ83)))</f>
        <v>81</v>
      </c>
      <c r="V11" s="284">
        <f>IF($S$2="2018年",'Offer Statistics'!ER11,IF($S$2="2019年",'Offer Statistics'!ER47,IF($S$2="2020年",'Offer Statistics'!ER83)))</f>
        <v>42</v>
      </c>
      <c r="W11" s="284">
        <f>IF($S$2="2018年",'Offer Statistics'!ES11,IF($S$2="2019年",'Offer Statistics'!ES47,IF($S$2="2020年",'Offer Statistics'!ES83)))</f>
        <v>24</v>
      </c>
      <c r="X11" s="284">
        <f>IF($S$2="2018年",'Offer Statistics'!ET11,IF($S$2="2019年",'Offer Statistics'!ET47,IF($S$2="2020年",'Offer Statistics'!ET83)))</f>
        <v>31</v>
      </c>
      <c r="Y11" s="284">
        <f>IF($S$2="2018年",'Offer Statistics'!EU11,IF($S$2="2019年",'Offer Statistics'!EU47,IF($S$2="2020年",'Offer Statistics'!EU83)))</f>
        <v>21</v>
      </c>
      <c r="Z11" s="501"/>
      <c r="AA11" s="333">
        <f>IF($S$2="2018年",'Offer Statistics'!EN11,IF($S$2="2019年",'Offer Statistics'!EN47,IF($S$2="2020年",'Offer Statistics'!EN83)))</f>
        <v>3778</v>
      </c>
      <c r="AB11" s="284">
        <f>IF($S$2="2018年",'Offer Statistics'!EI11,IF($S$2="2019年",'Offer Statistics'!EI47,IF($S$2="2020年",'Offer Statistics'!EI83)))</f>
        <v>480</v>
      </c>
      <c r="AC11" s="284">
        <f>IF($S$2="2018年",'Offer Statistics'!EJ11,IF($S$2="2019年",'Offer Statistics'!EJ47,IF($S$2="2020年",'Offer Statistics'!EJ83)))</f>
        <v>685</v>
      </c>
      <c r="AD11" s="284">
        <f>IF($S$2="2018年",'Offer Statistics'!EK11,IF($S$2="2019年",'Offer Statistics'!EK47,IF($S$2="2020年",'Offer Statistics'!EK83)))</f>
        <v>862</v>
      </c>
      <c r="AE11" s="284">
        <f>IF($S$2="2018年",'Offer Statistics'!EL11,IF($S$2="2019年",'Offer Statistics'!EL47,IF($S$2="2020年",'Offer Statistics'!EL83)))</f>
        <v>885</v>
      </c>
      <c r="AF11" s="284">
        <f>IF($S$2="2018年",'Offer Statistics'!EM11,IF($S$2="2019年",'Offer Statistics'!EM47,IF($S$2="2020年",'Offer Statistics'!EM83)))</f>
        <v>866</v>
      </c>
      <c r="AG11" s="338"/>
      <c r="AH11" s="338" t="str">
        <f t="shared" si="0"/>
        <v>JS9016</v>
      </c>
    </row>
    <row r="12" spans="1:34" ht="18" customHeight="1">
      <c r="A12" s="175" t="s">
        <v>1083</v>
      </c>
      <c r="B12" s="175" t="s">
        <v>1157</v>
      </c>
      <c r="C12" s="175" t="s">
        <v>1084</v>
      </c>
      <c r="D12" s="175" t="s">
        <v>1801</v>
      </c>
      <c r="E12" s="338" t="s">
        <v>1155</v>
      </c>
      <c r="F12" s="176">
        <v>16</v>
      </c>
      <c r="G12" s="176">
        <v>16</v>
      </c>
      <c r="H12" s="193">
        <f>計分版!D350</f>
        <v>1.9500000000000001E-9</v>
      </c>
      <c r="I12" s="188">
        <f>IF(I$1="差距(Median)",H12-F12,IF(I$1="差距(UQ)",H12-#REF!,IF(I$1="差距(LQ)",H12-G12)))</f>
        <v>-15.999999998050001</v>
      </c>
      <c r="J12" s="189">
        <f>IF(I$1="差距(Median)",(H12-F12)/H12,IF(I$1="差距(UQ)",(H12-#REF!)/H12,IF(I$1="差距(LQ)",(H12-G12)/H12)))</f>
        <v>-8205128204.1282053</v>
      </c>
      <c r="K12" s="333">
        <v>25</v>
      </c>
      <c r="L12" s="381">
        <f>入學要求!S336</f>
        <v>0</v>
      </c>
      <c r="M12" s="371" t="s">
        <v>360</v>
      </c>
      <c r="N12" s="338">
        <v>3</v>
      </c>
      <c r="O12" s="338">
        <v>3</v>
      </c>
      <c r="P12" s="338">
        <v>2</v>
      </c>
      <c r="Q12" s="338">
        <v>2</v>
      </c>
      <c r="R12" s="338">
        <v>2</v>
      </c>
      <c r="S12" s="501"/>
      <c r="T12" s="333">
        <f>IF($S$2="2018年",'Offer Statistics'!EV12,IF($S$2="2019年",'Offer Statistics'!EV48,IF($S$2="2020年",'Offer Statistics'!EV84)))</f>
        <v>23</v>
      </c>
      <c r="U12" s="284">
        <f>IF($S$2="2018年",'Offer Statistics'!EQ12,IF($S$2="2019年",'Offer Statistics'!EQ48,IF($S$2="2020年",'Offer Statistics'!EQ84)))</f>
        <v>14</v>
      </c>
      <c r="V12" s="284">
        <f>IF($S$2="2018年",'Offer Statistics'!ER12,IF($S$2="2019年",'Offer Statistics'!ER48,IF($S$2="2020年",'Offer Statistics'!ER84)))</f>
        <v>1</v>
      </c>
      <c r="W12" s="284">
        <f>IF($S$2="2018年",'Offer Statistics'!ES12,IF($S$2="2019年",'Offer Statistics'!ES48,IF($S$2="2020年",'Offer Statistics'!ES84)))</f>
        <v>2</v>
      </c>
      <c r="X12" s="284">
        <f>IF($S$2="2018年",'Offer Statistics'!ET12,IF($S$2="2019年",'Offer Statistics'!ET48,IF($S$2="2020年",'Offer Statistics'!ET84)))</f>
        <v>5</v>
      </c>
      <c r="Y12" s="284">
        <f>IF($S$2="2018年",'Offer Statistics'!EU12,IF($S$2="2019年",'Offer Statistics'!EU48,IF($S$2="2020年",'Offer Statistics'!EU84)))</f>
        <v>1</v>
      </c>
      <c r="Z12" s="501"/>
      <c r="AA12" s="333">
        <f>IF($S$2="2018年",'Offer Statistics'!EN12,IF($S$2="2019年",'Offer Statistics'!EN48,IF($S$2="2020年",'Offer Statistics'!EN84)))</f>
        <v>642</v>
      </c>
      <c r="AB12" s="284">
        <f>IF($S$2="2018年",'Offer Statistics'!EI12,IF($S$2="2019年",'Offer Statistics'!EI48,IF($S$2="2020年",'Offer Statistics'!EI84)))</f>
        <v>58</v>
      </c>
      <c r="AC12" s="284">
        <f>IF($S$2="2018年",'Offer Statistics'!EJ12,IF($S$2="2019年",'Offer Statistics'!EJ48,IF($S$2="2020年",'Offer Statistics'!EJ84)))</f>
        <v>114</v>
      </c>
      <c r="AD12" s="284">
        <f>IF($S$2="2018年",'Offer Statistics'!EK12,IF($S$2="2019年",'Offer Statistics'!EK48,IF($S$2="2020年",'Offer Statistics'!EK84)))</f>
        <v>116</v>
      </c>
      <c r="AE12" s="284">
        <f>IF($S$2="2018年",'Offer Statistics'!EL12,IF($S$2="2019年",'Offer Statistics'!EL48,IF($S$2="2020年",'Offer Statistics'!EL84)))</f>
        <v>157</v>
      </c>
      <c r="AF12" s="284">
        <f>IF($S$2="2018年",'Offer Statistics'!EM12,IF($S$2="2019年",'Offer Statistics'!EM48,IF($S$2="2020年",'Offer Statistics'!EM84)))</f>
        <v>197</v>
      </c>
      <c r="AG12" s="338"/>
      <c r="AH12" s="338" t="str">
        <f t="shared" si="0"/>
        <v>JS9019</v>
      </c>
    </row>
    <row r="13" spans="1:34" ht="18" customHeight="1">
      <c r="A13" s="175" t="s">
        <v>1086</v>
      </c>
      <c r="B13" s="175" t="s">
        <v>1158</v>
      </c>
      <c r="C13" s="175" t="s">
        <v>1087</v>
      </c>
      <c r="D13" s="175" t="s">
        <v>1802</v>
      </c>
      <c r="E13" s="338" t="s">
        <v>1155</v>
      </c>
      <c r="F13" s="176">
        <v>18</v>
      </c>
      <c r="G13" s="176">
        <v>16</v>
      </c>
      <c r="H13" s="193">
        <f>計分版!D351</f>
        <v>1.9500000000000001E-9</v>
      </c>
      <c r="I13" s="188">
        <f>IF(I$1="差距(Median)",H13-F13,IF(I$1="差距(UQ)",H13-#REF!,IF(I$1="差距(LQ)",H13-G13)))</f>
        <v>-17.999999998050001</v>
      </c>
      <c r="J13" s="189">
        <f>IF(I$1="差距(Median)",(H13-F13)/H13,IF(I$1="差距(UQ)",(H13-#REF!)/H13,IF(I$1="差距(LQ)",(H13-G13)/H13)))</f>
        <v>-9230769229.7692299</v>
      </c>
      <c r="K13" s="333">
        <v>40</v>
      </c>
      <c r="L13" s="381">
        <f>入學要求!S337</f>
        <v>0</v>
      </c>
      <c r="M13" s="371" t="s">
        <v>360</v>
      </c>
      <c r="N13" s="338">
        <v>3</v>
      </c>
      <c r="O13" s="338">
        <v>3</v>
      </c>
      <c r="P13" s="338">
        <v>2</v>
      </c>
      <c r="Q13" s="338">
        <v>2</v>
      </c>
      <c r="R13" s="338">
        <v>2</v>
      </c>
      <c r="S13" s="501"/>
      <c r="T13" s="333">
        <f>IF($S$2="2018年",'Offer Statistics'!EV13,IF($S$2="2019年",'Offer Statistics'!EV49,IF($S$2="2020年",'Offer Statistics'!EV85)))</f>
        <v>88</v>
      </c>
      <c r="U13" s="284">
        <f>IF($S$2="2018年",'Offer Statistics'!EQ13,IF($S$2="2019年",'Offer Statistics'!EQ49,IF($S$2="2020年",'Offer Statistics'!EQ85)))</f>
        <v>40</v>
      </c>
      <c r="V13" s="284">
        <f>IF($S$2="2018年",'Offer Statistics'!ER13,IF($S$2="2019年",'Offer Statistics'!ER49,IF($S$2="2020年",'Offer Statistics'!ER85)))</f>
        <v>19</v>
      </c>
      <c r="W13" s="284">
        <f>IF($S$2="2018年",'Offer Statistics'!ES13,IF($S$2="2019年",'Offer Statistics'!ES49,IF($S$2="2020年",'Offer Statistics'!ES85)))</f>
        <v>15</v>
      </c>
      <c r="X13" s="284">
        <f>IF($S$2="2018年",'Offer Statistics'!ET13,IF($S$2="2019年",'Offer Statistics'!ET49,IF($S$2="2020年",'Offer Statistics'!ET85)))</f>
        <v>9</v>
      </c>
      <c r="Y13" s="284">
        <f>IF($S$2="2018年",'Offer Statistics'!EU13,IF($S$2="2019年",'Offer Statistics'!EU49,IF($S$2="2020年",'Offer Statistics'!EU85)))</f>
        <v>5</v>
      </c>
      <c r="Z13" s="501"/>
      <c r="AA13" s="333">
        <f>IF($S$2="2018年",'Offer Statistics'!EN13,IF($S$2="2019年",'Offer Statistics'!EN49,IF($S$2="2020年",'Offer Statistics'!EN85)))</f>
        <v>1617</v>
      </c>
      <c r="AB13" s="284">
        <f>IF($S$2="2018年",'Offer Statistics'!EI13,IF($S$2="2019年",'Offer Statistics'!EI49,IF($S$2="2020年",'Offer Statistics'!EI85)))</f>
        <v>168</v>
      </c>
      <c r="AC13" s="284">
        <f>IF($S$2="2018年",'Offer Statistics'!EJ13,IF($S$2="2019年",'Offer Statistics'!EJ49,IF($S$2="2020年",'Offer Statistics'!EJ85)))</f>
        <v>271</v>
      </c>
      <c r="AD13" s="284">
        <f>IF($S$2="2018年",'Offer Statistics'!EK13,IF($S$2="2019年",'Offer Statistics'!EK49,IF($S$2="2020年",'Offer Statistics'!EK85)))</f>
        <v>339</v>
      </c>
      <c r="AE13" s="284">
        <f>IF($S$2="2018年",'Offer Statistics'!EL13,IF($S$2="2019年",'Offer Statistics'!EL49,IF($S$2="2020年",'Offer Statistics'!EL85)))</f>
        <v>389</v>
      </c>
      <c r="AF13" s="284">
        <f>IF($S$2="2018年",'Offer Statistics'!EM13,IF($S$2="2019年",'Offer Statistics'!EM49,IF($S$2="2020年",'Offer Statistics'!EM85)))</f>
        <v>450</v>
      </c>
      <c r="AG13" s="338"/>
      <c r="AH13" s="338" t="str">
        <f t="shared" si="0"/>
        <v>JS9220</v>
      </c>
    </row>
    <row r="14" spans="1:34" ht="18" customHeight="1">
      <c r="A14" s="175" t="s">
        <v>1089</v>
      </c>
      <c r="B14" s="175" t="s">
        <v>1158</v>
      </c>
      <c r="C14" s="175" t="s">
        <v>1090</v>
      </c>
      <c r="D14" s="175" t="s">
        <v>1803</v>
      </c>
      <c r="E14" s="338" t="s">
        <v>1155</v>
      </c>
      <c r="F14" s="176">
        <v>18</v>
      </c>
      <c r="G14" s="176">
        <v>17</v>
      </c>
      <c r="H14" s="193">
        <f>計分版!D352</f>
        <v>1.9500000000000001E-9</v>
      </c>
      <c r="I14" s="188">
        <f>IF(I$1="差距(Median)",H14-F14,IF(I$1="差距(UQ)",H14-#REF!,IF(I$1="差距(LQ)",H14-G14)))</f>
        <v>-17.999999998050001</v>
      </c>
      <c r="J14" s="189">
        <f>IF(I$1="差距(Median)",(H14-F14)/H14,IF(I$1="差距(UQ)",(H14-#REF!)/H14,IF(I$1="差距(LQ)",(H14-G14)/H14)))</f>
        <v>-9230769229.7692299</v>
      </c>
      <c r="K14" s="333">
        <v>20</v>
      </c>
      <c r="L14" s="381">
        <f>入學要求!S338</f>
        <v>0</v>
      </c>
      <c r="M14" s="371" t="s">
        <v>360</v>
      </c>
      <c r="N14" s="338">
        <v>3</v>
      </c>
      <c r="O14" s="338">
        <v>3</v>
      </c>
      <c r="P14" s="338">
        <v>2</v>
      </c>
      <c r="Q14" s="338">
        <v>2</v>
      </c>
      <c r="R14" s="338">
        <v>2</v>
      </c>
      <c r="S14" s="501"/>
      <c r="T14" s="333">
        <f>IF($S$2="2018年",'Offer Statistics'!EV14,IF($S$2="2019年",'Offer Statistics'!EV50,IF($S$2="2020年",'Offer Statistics'!EV86)))</f>
        <v>26</v>
      </c>
      <c r="U14" s="284">
        <f>IF($S$2="2018年",'Offer Statistics'!EQ14,IF($S$2="2019年",'Offer Statistics'!EQ50,IF($S$2="2020年",'Offer Statistics'!EQ86)))</f>
        <v>8</v>
      </c>
      <c r="V14" s="284">
        <f>IF($S$2="2018年",'Offer Statistics'!ER14,IF($S$2="2019年",'Offer Statistics'!ER50,IF($S$2="2020年",'Offer Statistics'!ER86)))</f>
        <v>8</v>
      </c>
      <c r="W14" s="284">
        <f>IF($S$2="2018年",'Offer Statistics'!ES14,IF($S$2="2019年",'Offer Statistics'!ES50,IF($S$2="2020年",'Offer Statistics'!ES86)))</f>
        <v>1</v>
      </c>
      <c r="X14" s="284">
        <f>IF($S$2="2018年",'Offer Statistics'!ET14,IF($S$2="2019年",'Offer Statistics'!ET50,IF($S$2="2020年",'Offer Statistics'!ET86)))</f>
        <v>5</v>
      </c>
      <c r="Y14" s="284">
        <f>IF($S$2="2018年",'Offer Statistics'!EU14,IF($S$2="2019年",'Offer Statistics'!EU50,IF($S$2="2020年",'Offer Statistics'!EU86)))</f>
        <v>4</v>
      </c>
      <c r="Z14" s="501"/>
      <c r="AA14" s="333">
        <f>IF($S$2="2018年",'Offer Statistics'!EN14,IF($S$2="2019年",'Offer Statistics'!EN50,IF($S$2="2020年",'Offer Statistics'!EN86)))</f>
        <v>1155</v>
      </c>
      <c r="AB14" s="284">
        <f>IF($S$2="2018年",'Offer Statistics'!EI14,IF($S$2="2019年",'Offer Statistics'!EI50,IF($S$2="2020年",'Offer Statistics'!EI86)))</f>
        <v>78</v>
      </c>
      <c r="AC14" s="284">
        <f>IF($S$2="2018年",'Offer Statistics'!EJ14,IF($S$2="2019年",'Offer Statistics'!EJ50,IF($S$2="2020年",'Offer Statistics'!EJ86)))</f>
        <v>168</v>
      </c>
      <c r="AD14" s="284">
        <f>IF($S$2="2018年",'Offer Statistics'!EK14,IF($S$2="2019年",'Offer Statistics'!EK50,IF($S$2="2020年",'Offer Statistics'!EK86)))</f>
        <v>243</v>
      </c>
      <c r="AE14" s="284">
        <f>IF($S$2="2018年",'Offer Statistics'!EL14,IF($S$2="2019年",'Offer Statistics'!EL50,IF($S$2="2020年",'Offer Statistics'!EL86)))</f>
        <v>319</v>
      </c>
      <c r="AF14" s="284">
        <f>IF($S$2="2018年",'Offer Statistics'!EM14,IF($S$2="2019年",'Offer Statistics'!EM50,IF($S$2="2020年",'Offer Statistics'!EM86)))</f>
        <v>347</v>
      </c>
      <c r="AG14" s="338"/>
      <c r="AH14" s="338" t="str">
        <f t="shared" si="0"/>
        <v>JS9222</v>
      </c>
    </row>
    <row r="15" spans="1:34" ht="18" customHeight="1">
      <c r="A15" s="175" t="s">
        <v>1092</v>
      </c>
      <c r="B15" s="175" t="s">
        <v>1158</v>
      </c>
      <c r="C15" s="175" t="s">
        <v>1093</v>
      </c>
      <c r="D15" s="175" t="s">
        <v>1804</v>
      </c>
      <c r="E15" s="338" t="s">
        <v>1155</v>
      </c>
      <c r="F15" s="176">
        <v>16</v>
      </c>
      <c r="G15" s="176">
        <v>15</v>
      </c>
      <c r="H15" s="193">
        <f>計分版!D353</f>
        <v>1.9500000000000001E-9</v>
      </c>
      <c r="I15" s="188">
        <f>IF(I$1="差距(Median)",H15-F15,IF(I$1="差距(UQ)",H15-#REF!,IF(I$1="差距(LQ)",H15-G15)))</f>
        <v>-15.999999998050001</v>
      </c>
      <c r="J15" s="189">
        <f>IF(I$1="差距(Median)",(H15-F15)/H15,IF(I$1="差距(UQ)",(H15-#REF!)/H15,IF(I$1="差距(LQ)",(H15-G15)/H15)))</f>
        <v>-8205128204.1282053</v>
      </c>
      <c r="K15" s="333">
        <v>40</v>
      </c>
      <c r="L15" s="381">
        <f>入學要求!S339</f>
        <v>0</v>
      </c>
      <c r="M15" s="371" t="s">
        <v>360</v>
      </c>
      <c r="N15" s="338">
        <v>3</v>
      </c>
      <c r="O15" s="338">
        <v>3</v>
      </c>
      <c r="P15" s="338">
        <v>2</v>
      </c>
      <c r="Q15" s="338">
        <v>2</v>
      </c>
      <c r="R15" s="338">
        <v>2</v>
      </c>
      <c r="S15" s="501"/>
      <c r="T15" s="333">
        <f>IF($S$2="2018年",'Offer Statistics'!EV15,IF($S$2="2019年",'Offer Statistics'!EV51,IF($S$2="2020年",'Offer Statistics'!EV87)))</f>
        <v>126</v>
      </c>
      <c r="U15" s="284">
        <f>IF($S$2="2018年",'Offer Statistics'!EQ15,IF($S$2="2019年",'Offer Statistics'!EQ51,IF($S$2="2020年",'Offer Statistics'!EQ87)))</f>
        <v>62</v>
      </c>
      <c r="V15" s="284">
        <f>IF($S$2="2018年",'Offer Statistics'!ER15,IF($S$2="2019年",'Offer Statistics'!ER51,IF($S$2="2020年",'Offer Statistics'!ER87)))</f>
        <v>26</v>
      </c>
      <c r="W15" s="284">
        <f>IF($S$2="2018年",'Offer Statistics'!ES15,IF($S$2="2019年",'Offer Statistics'!ES51,IF($S$2="2020年",'Offer Statistics'!ES87)))</f>
        <v>11</v>
      </c>
      <c r="X15" s="284">
        <f>IF($S$2="2018年",'Offer Statistics'!ET15,IF($S$2="2019年",'Offer Statistics'!ET51,IF($S$2="2020年",'Offer Statistics'!ET87)))</f>
        <v>11</v>
      </c>
      <c r="Y15" s="284">
        <f>IF($S$2="2018年",'Offer Statistics'!EU15,IF($S$2="2019年",'Offer Statistics'!EU51,IF($S$2="2020年",'Offer Statistics'!EU87)))</f>
        <v>16</v>
      </c>
      <c r="Z15" s="501"/>
      <c r="AA15" s="333">
        <f>IF($S$2="2018年",'Offer Statistics'!EN15,IF($S$2="2019年",'Offer Statistics'!EN51,IF($S$2="2020年",'Offer Statistics'!EN87)))</f>
        <v>3466</v>
      </c>
      <c r="AB15" s="284">
        <f>IF($S$2="2018年",'Offer Statistics'!EI15,IF($S$2="2019年",'Offer Statistics'!EI51,IF($S$2="2020年",'Offer Statistics'!EI87)))</f>
        <v>517</v>
      </c>
      <c r="AC15" s="284">
        <f>IF($S$2="2018年",'Offer Statistics'!EJ15,IF($S$2="2019年",'Offer Statistics'!EJ51,IF($S$2="2020年",'Offer Statistics'!EJ87)))</f>
        <v>586</v>
      </c>
      <c r="AD15" s="284">
        <f>IF($S$2="2018年",'Offer Statistics'!EK15,IF($S$2="2019年",'Offer Statistics'!EK51,IF($S$2="2020年",'Offer Statistics'!EK87)))</f>
        <v>664</v>
      </c>
      <c r="AE15" s="284">
        <f>IF($S$2="2018年",'Offer Statistics'!EL15,IF($S$2="2019年",'Offer Statistics'!EL51,IF($S$2="2020年",'Offer Statistics'!EL87)))</f>
        <v>774</v>
      </c>
      <c r="AF15" s="284">
        <f>IF($S$2="2018年",'Offer Statistics'!EM15,IF($S$2="2019年",'Offer Statistics'!EM51,IF($S$2="2020年",'Offer Statistics'!EM87)))</f>
        <v>925</v>
      </c>
      <c r="AG15" s="338"/>
      <c r="AH15" s="338" t="str">
        <f t="shared" si="0"/>
        <v>JS9230</v>
      </c>
    </row>
    <row r="16" spans="1:34" ht="18" customHeight="1">
      <c r="A16" s="175" t="s">
        <v>1095</v>
      </c>
      <c r="B16" s="175" t="s">
        <v>1158</v>
      </c>
      <c r="C16" s="175" t="s">
        <v>1096</v>
      </c>
      <c r="D16" s="175" t="s">
        <v>1805</v>
      </c>
      <c r="E16" s="338" t="s">
        <v>1155</v>
      </c>
      <c r="F16" s="176">
        <v>17</v>
      </c>
      <c r="G16" s="176">
        <v>16</v>
      </c>
      <c r="H16" s="193">
        <f>計分版!D354</f>
        <v>1.9500000000000001E-9</v>
      </c>
      <c r="I16" s="188">
        <f>IF(I$1="差距(Median)",H16-F16,IF(I$1="差距(UQ)",H16-#REF!,IF(I$1="差距(LQ)",H16-G16)))</f>
        <v>-16.999999998050001</v>
      </c>
      <c r="J16" s="189">
        <f>IF(I$1="差距(Median)",(H16-F16)/H16,IF(I$1="差距(UQ)",(H16-#REF!)/H16,IF(I$1="差距(LQ)",(H16-G16)/H16)))</f>
        <v>-8717948716.9487171</v>
      </c>
      <c r="K16" s="333">
        <v>40</v>
      </c>
      <c r="L16" s="381">
        <f>入學要求!S340</f>
        <v>0</v>
      </c>
      <c r="M16" s="371" t="s">
        <v>360</v>
      </c>
      <c r="N16" s="338">
        <v>3</v>
      </c>
      <c r="O16" s="338">
        <v>3</v>
      </c>
      <c r="P16" s="338">
        <v>2</v>
      </c>
      <c r="Q16" s="338">
        <v>2</v>
      </c>
      <c r="R16" s="338">
        <v>2</v>
      </c>
      <c r="S16" s="501"/>
      <c r="T16" s="333">
        <f>IF($S$2="2018年",'Offer Statistics'!EV16,IF($S$2="2019年",'Offer Statistics'!EV52,IF($S$2="2020年",'Offer Statistics'!EV88)))</f>
        <v>122</v>
      </c>
      <c r="U16" s="284">
        <f>IF($S$2="2018年",'Offer Statistics'!EQ16,IF($S$2="2019年",'Offer Statistics'!EQ52,IF($S$2="2020年",'Offer Statistics'!EQ88)))</f>
        <v>58</v>
      </c>
      <c r="V16" s="284">
        <f>IF($S$2="2018年",'Offer Statistics'!ER16,IF($S$2="2019年",'Offer Statistics'!ER52,IF($S$2="2020年",'Offer Statistics'!ER88)))</f>
        <v>26</v>
      </c>
      <c r="W16" s="284">
        <f>IF($S$2="2018年",'Offer Statistics'!ES16,IF($S$2="2019年",'Offer Statistics'!ES52,IF($S$2="2020年",'Offer Statistics'!ES88)))</f>
        <v>10</v>
      </c>
      <c r="X16" s="284">
        <f>IF($S$2="2018年",'Offer Statistics'!ET16,IF($S$2="2019年",'Offer Statistics'!ET52,IF($S$2="2020年",'Offer Statistics'!ET88)))</f>
        <v>19</v>
      </c>
      <c r="Y16" s="284">
        <f>IF($S$2="2018年",'Offer Statistics'!EU16,IF($S$2="2019年",'Offer Statistics'!EU52,IF($S$2="2020年",'Offer Statistics'!EU88)))</f>
        <v>9</v>
      </c>
      <c r="Z16" s="501"/>
      <c r="AA16" s="333">
        <f>IF($S$2="2018年",'Offer Statistics'!EN16,IF($S$2="2019年",'Offer Statistics'!EN52,IF($S$2="2020年",'Offer Statistics'!EN88)))</f>
        <v>2487</v>
      </c>
      <c r="AB16" s="284">
        <f>IF($S$2="2018年",'Offer Statistics'!EI16,IF($S$2="2019年",'Offer Statistics'!EI52,IF($S$2="2020年",'Offer Statistics'!EI88)))</f>
        <v>240</v>
      </c>
      <c r="AC16" s="284">
        <f>IF($S$2="2018年",'Offer Statistics'!EJ16,IF($S$2="2019年",'Offer Statistics'!EJ52,IF($S$2="2020年",'Offer Statistics'!EJ88)))</f>
        <v>416</v>
      </c>
      <c r="AD16" s="284">
        <f>IF($S$2="2018年",'Offer Statistics'!EK16,IF($S$2="2019年",'Offer Statistics'!EK52,IF($S$2="2020年",'Offer Statistics'!EK88)))</f>
        <v>514</v>
      </c>
      <c r="AE16" s="284">
        <f>IF($S$2="2018年",'Offer Statistics'!EL16,IF($S$2="2019年",'Offer Statistics'!EL52,IF($S$2="2020年",'Offer Statistics'!EL88)))</f>
        <v>577</v>
      </c>
      <c r="AF16" s="284">
        <f>IF($S$2="2018年",'Offer Statistics'!EM16,IF($S$2="2019年",'Offer Statistics'!EM52,IF($S$2="2020年",'Offer Statistics'!EM88)))</f>
        <v>740</v>
      </c>
      <c r="AG16" s="338"/>
      <c r="AH16" s="338" t="str">
        <f t="shared" si="0"/>
        <v>JS9240</v>
      </c>
    </row>
    <row r="17" spans="1:34" ht="18" customHeight="1">
      <c r="A17" s="175" t="s">
        <v>1098</v>
      </c>
      <c r="B17" s="175" t="s">
        <v>1158</v>
      </c>
      <c r="C17" s="175" t="s">
        <v>1099</v>
      </c>
      <c r="D17" s="175" t="s">
        <v>1806</v>
      </c>
      <c r="E17" s="338" t="s">
        <v>1155</v>
      </c>
      <c r="F17" s="176">
        <v>18</v>
      </c>
      <c r="G17" s="176">
        <v>18</v>
      </c>
      <c r="H17" s="193">
        <f>計分版!D355</f>
        <v>1.9500000000000001E-9</v>
      </c>
      <c r="I17" s="188">
        <f>IF(I$1="差距(Median)",H17-F17,IF(I$1="差距(UQ)",H17-#REF!,IF(I$1="差距(LQ)",H17-G17)))</f>
        <v>-17.999999998050001</v>
      </c>
      <c r="J17" s="189">
        <f>IF(I$1="差距(Median)",(H17-F17)/H17,IF(I$1="差距(UQ)",(H17-#REF!)/H17,IF(I$1="差距(LQ)",(H17-G17)/H17)))</f>
        <v>-9230769229.7692299</v>
      </c>
      <c r="K17" s="333">
        <v>10</v>
      </c>
      <c r="L17" s="381">
        <f>入學要求!S341</f>
        <v>0</v>
      </c>
      <c r="M17" s="371" t="s">
        <v>360</v>
      </c>
      <c r="N17" s="338">
        <v>3</v>
      </c>
      <c r="O17" s="338">
        <v>3</v>
      </c>
      <c r="P17" s="338">
        <v>2</v>
      </c>
      <c r="Q17" s="338">
        <v>2</v>
      </c>
      <c r="R17" s="338">
        <v>2</v>
      </c>
      <c r="S17" s="501"/>
      <c r="T17" s="333">
        <f>IF($S$2="2018年",'Offer Statistics'!EV17,IF($S$2="2019年",'Offer Statistics'!EV53,IF($S$2="2020年",'Offer Statistics'!EV89)))</f>
        <v>13</v>
      </c>
      <c r="U17" s="284">
        <f>IF($S$2="2018年",'Offer Statistics'!EQ17,IF($S$2="2019年",'Offer Statistics'!EQ53,IF($S$2="2020年",'Offer Statistics'!EQ89)))</f>
        <v>8</v>
      </c>
      <c r="V17" s="284">
        <f>IF($S$2="2018年",'Offer Statistics'!ER17,IF($S$2="2019年",'Offer Statistics'!ER53,IF($S$2="2020年",'Offer Statistics'!ER89)))</f>
        <v>2</v>
      </c>
      <c r="W17" s="284">
        <f>IF($S$2="2018年",'Offer Statistics'!ES17,IF($S$2="2019年",'Offer Statistics'!ES53,IF($S$2="2020年",'Offer Statistics'!ES89)))</f>
        <v>3</v>
      </c>
      <c r="X17" s="284">
        <f>IF($S$2="2018年",'Offer Statistics'!ET17,IF($S$2="2019年",'Offer Statistics'!ET53,IF($S$2="2020年",'Offer Statistics'!ET89)))</f>
        <v>0</v>
      </c>
      <c r="Y17" s="284">
        <f>IF($S$2="2018年",'Offer Statistics'!EU17,IF($S$2="2019年",'Offer Statistics'!EU53,IF($S$2="2020年",'Offer Statistics'!EU89)))</f>
        <v>0</v>
      </c>
      <c r="Z17" s="501"/>
      <c r="AA17" s="333">
        <f>IF($S$2="2018年",'Offer Statistics'!EN17,IF($S$2="2019年",'Offer Statistics'!EN53,IF($S$2="2020年",'Offer Statistics'!EN89)))</f>
        <v>1492</v>
      </c>
      <c r="AB17" s="284">
        <f>IF($S$2="2018年",'Offer Statistics'!EI17,IF($S$2="2019年",'Offer Statistics'!EI53,IF($S$2="2020年",'Offer Statistics'!EI89)))</f>
        <v>131</v>
      </c>
      <c r="AC17" s="284">
        <f>IF($S$2="2018年",'Offer Statistics'!EJ17,IF($S$2="2019年",'Offer Statistics'!EJ53,IF($S$2="2020年",'Offer Statistics'!EJ89)))</f>
        <v>260</v>
      </c>
      <c r="AD17" s="284">
        <f>IF($S$2="2018年",'Offer Statistics'!EK17,IF($S$2="2019年",'Offer Statistics'!EK53,IF($S$2="2020年",'Offer Statistics'!EK89)))</f>
        <v>293</v>
      </c>
      <c r="AE17" s="284">
        <f>IF($S$2="2018年",'Offer Statistics'!EL17,IF($S$2="2019年",'Offer Statistics'!EL53,IF($S$2="2020年",'Offer Statistics'!EL89)))</f>
        <v>387</v>
      </c>
      <c r="AF17" s="284">
        <f>IF($S$2="2018年",'Offer Statistics'!EM17,IF($S$2="2019年",'Offer Statistics'!EM53,IF($S$2="2020年",'Offer Statistics'!EM89)))</f>
        <v>421</v>
      </c>
      <c r="AG17" s="338"/>
      <c r="AH17" s="338" t="str">
        <f t="shared" si="0"/>
        <v>JS9250</v>
      </c>
    </row>
    <row r="18" spans="1:34" ht="18" customHeight="1">
      <c r="A18" s="175" t="s">
        <v>1101</v>
      </c>
      <c r="B18" s="175" t="s">
        <v>1158</v>
      </c>
      <c r="C18" s="175" t="s">
        <v>1102</v>
      </c>
      <c r="D18" s="175" t="s">
        <v>1807</v>
      </c>
      <c r="E18" s="338" t="s">
        <v>1155</v>
      </c>
      <c r="F18" s="176">
        <v>12</v>
      </c>
      <c r="G18" s="176">
        <v>12</v>
      </c>
      <c r="H18" s="193">
        <f>計分版!D356</f>
        <v>1.9500000000000001E-9</v>
      </c>
      <c r="I18" s="188">
        <f>IF(I$1="差距(Median)",H18-F18,IF(I$1="差距(UQ)",H18-#REF!,IF(I$1="差距(LQ)",H18-G18)))</f>
        <v>-11.999999998050001</v>
      </c>
      <c r="J18" s="189">
        <f>IF(I$1="差距(Median)",(H18-F18)/H18,IF(I$1="差距(UQ)",(H18-#REF!)/H18,IF(I$1="差距(LQ)",(H18-G18)/H18)))</f>
        <v>-6153846152.8461542</v>
      </c>
      <c r="K18" s="333">
        <v>10</v>
      </c>
      <c r="L18" s="381">
        <f>入學要求!S342</f>
        <v>0</v>
      </c>
      <c r="M18" s="371" t="s">
        <v>360</v>
      </c>
      <c r="N18" s="338">
        <v>3</v>
      </c>
      <c r="O18" s="338">
        <v>3</v>
      </c>
      <c r="P18" s="338">
        <v>2</v>
      </c>
      <c r="Q18" s="338">
        <v>2</v>
      </c>
      <c r="R18" s="338">
        <v>2</v>
      </c>
      <c r="S18" s="501"/>
      <c r="T18" s="333">
        <f>IF($S$2="2018年",'Offer Statistics'!EV18,IF($S$2="2019年",'Offer Statistics'!EV54,IF($S$2="2020年",'Offer Statistics'!EV90)))</f>
        <v>7</v>
      </c>
      <c r="U18" s="284">
        <f>IF($S$2="2018年",'Offer Statistics'!EQ18,IF($S$2="2019年",'Offer Statistics'!EQ54,IF($S$2="2020年",'Offer Statistics'!EQ90)))</f>
        <v>1</v>
      </c>
      <c r="V18" s="284">
        <f>IF($S$2="2018年",'Offer Statistics'!ER18,IF($S$2="2019年",'Offer Statistics'!ER54,IF($S$2="2020年",'Offer Statistics'!ER90)))</f>
        <v>5</v>
      </c>
      <c r="W18" s="284">
        <f>IF($S$2="2018年",'Offer Statistics'!ES18,IF($S$2="2019年",'Offer Statistics'!ES54,IF($S$2="2020年",'Offer Statistics'!ES90)))</f>
        <v>0</v>
      </c>
      <c r="X18" s="284">
        <f>IF($S$2="2018年",'Offer Statistics'!ET18,IF($S$2="2019年",'Offer Statistics'!ET54,IF($S$2="2020年",'Offer Statistics'!ET90)))</f>
        <v>1</v>
      </c>
      <c r="Y18" s="284">
        <f>IF($S$2="2018年",'Offer Statistics'!EU18,IF($S$2="2019年",'Offer Statistics'!EU54,IF($S$2="2020年",'Offer Statistics'!EU90)))</f>
        <v>0</v>
      </c>
      <c r="Z18" s="501"/>
      <c r="AA18" s="333">
        <f>IF($S$2="2018年",'Offer Statistics'!EN18,IF($S$2="2019年",'Offer Statistics'!EN54,IF($S$2="2020年",'Offer Statistics'!EN90)))</f>
        <v>455</v>
      </c>
      <c r="AB18" s="284">
        <f>IF($S$2="2018年",'Offer Statistics'!EI18,IF($S$2="2019年",'Offer Statistics'!EI54,IF($S$2="2020年",'Offer Statistics'!EI90)))</f>
        <v>20</v>
      </c>
      <c r="AC18" s="284">
        <f>IF($S$2="2018年",'Offer Statistics'!EJ18,IF($S$2="2019年",'Offer Statistics'!EJ54,IF($S$2="2020年",'Offer Statistics'!EJ90)))</f>
        <v>52</v>
      </c>
      <c r="AD18" s="284">
        <f>IF($S$2="2018年",'Offer Statistics'!EK18,IF($S$2="2019年",'Offer Statistics'!EK54,IF($S$2="2020年",'Offer Statistics'!EK90)))</f>
        <v>82</v>
      </c>
      <c r="AE18" s="284">
        <f>IF($S$2="2018年",'Offer Statistics'!EL18,IF($S$2="2019年",'Offer Statistics'!EL54,IF($S$2="2020年",'Offer Statistics'!EL90)))</f>
        <v>139</v>
      </c>
      <c r="AF18" s="284">
        <f>IF($S$2="2018年",'Offer Statistics'!EM18,IF($S$2="2019年",'Offer Statistics'!EM54,IF($S$2="2020年",'Offer Statistics'!EM90)))</f>
        <v>162</v>
      </c>
      <c r="AG18" s="338"/>
      <c r="AH18" s="338" t="str">
        <f t="shared" si="0"/>
        <v>JS9261</v>
      </c>
    </row>
    <row r="19" spans="1:34" ht="18" customHeight="1">
      <c r="A19" s="175" t="s">
        <v>2195</v>
      </c>
      <c r="B19" s="175" t="s">
        <v>1158</v>
      </c>
      <c r="C19" s="175" t="s">
        <v>1105</v>
      </c>
      <c r="D19" s="175" t="s">
        <v>1808</v>
      </c>
      <c r="E19" s="371" t="s">
        <v>1155</v>
      </c>
      <c r="F19" s="176" t="s">
        <v>360</v>
      </c>
      <c r="G19" s="176" t="s">
        <v>360</v>
      </c>
      <c r="H19" s="193">
        <f>計分版!D357</f>
        <v>1.9500000000000001E-9</v>
      </c>
      <c r="I19" s="177" t="s">
        <v>360</v>
      </c>
      <c r="J19" s="177" t="s">
        <v>360</v>
      </c>
      <c r="K19" s="333">
        <v>10</v>
      </c>
      <c r="L19" s="381">
        <f>入學要求!S343</f>
        <v>0</v>
      </c>
      <c r="M19" s="371" t="s">
        <v>360</v>
      </c>
      <c r="N19" s="338">
        <v>3</v>
      </c>
      <c r="O19" s="338">
        <v>3</v>
      </c>
      <c r="P19" s="338">
        <v>2</v>
      </c>
      <c r="Q19" s="338">
        <v>2</v>
      </c>
      <c r="R19" s="338">
        <v>2</v>
      </c>
      <c r="S19" s="501"/>
      <c r="T19" s="333">
        <f>IF($S$2="2018年",'Offer Statistics'!EV19,IF($S$2="2019年",'Offer Statistics'!EV55,IF($S$2="2020年",'Offer Statistics'!EV91)))</f>
        <v>14</v>
      </c>
      <c r="U19" s="284">
        <f>IF($S$2="2018年",'Offer Statistics'!EQ19,IF($S$2="2019年",'Offer Statistics'!EQ55,IF($S$2="2020年",'Offer Statistics'!EQ91)))</f>
        <v>4</v>
      </c>
      <c r="V19" s="284">
        <f>IF($S$2="2018年",'Offer Statistics'!ER19,IF($S$2="2019年",'Offer Statistics'!ER55,IF($S$2="2020年",'Offer Statistics'!ER91)))</f>
        <v>4</v>
      </c>
      <c r="W19" s="284">
        <f>IF($S$2="2018年",'Offer Statistics'!ES19,IF($S$2="2019年",'Offer Statistics'!ES55,IF($S$2="2020年",'Offer Statistics'!ES91)))</f>
        <v>2</v>
      </c>
      <c r="X19" s="284">
        <f>IF($S$2="2018年",'Offer Statistics'!ET19,IF($S$2="2019年",'Offer Statistics'!ET55,IF($S$2="2020年",'Offer Statistics'!ET91)))</f>
        <v>3</v>
      </c>
      <c r="Y19" s="284">
        <f>IF($S$2="2018年",'Offer Statistics'!EU19,IF($S$2="2019年",'Offer Statistics'!EU55,IF($S$2="2020年",'Offer Statistics'!EU91)))</f>
        <v>1</v>
      </c>
      <c r="Z19" s="501"/>
      <c r="AA19" s="333">
        <f>IF($S$2="2018年",'Offer Statistics'!EN19,IF($S$2="2019年",'Offer Statistics'!EN55,IF($S$2="2020年",'Offer Statistics'!EN91)))</f>
        <v>918</v>
      </c>
      <c r="AB19" s="284">
        <f>IF($S$2="2018年",'Offer Statistics'!EI19,IF($S$2="2019年",'Offer Statistics'!EI55,IF($S$2="2020年",'Offer Statistics'!EI91)))</f>
        <v>54</v>
      </c>
      <c r="AC19" s="284">
        <f>IF($S$2="2018年",'Offer Statistics'!EJ19,IF($S$2="2019年",'Offer Statistics'!EJ55,IF($S$2="2020年",'Offer Statistics'!EJ91)))</f>
        <v>118</v>
      </c>
      <c r="AD19" s="284">
        <f>IF($S$2="2018年",'Offer Statistics'!EK19,IF($S$2="2019年",'Offer Statistics'!EK55,IF($S$2="2020年",'Offer Statistics'!EK91)))</f>
        <v>178</v>
      </c>
      <c r="AE19" s="284">
        <f>IF($S$2="2018年",'Offer Statistics'!EL19,IF($S$2="2019年",'Offer Statistics'!EL55,IF($S$2="2020年",'Offer Statistics'!EL91)))</f>
        <v>255</v>
      </c>
      <c r="AF19" s="284">
        <f>IF($S$2="2018年",'Offer Statistics'!EM19,IF($S$2="2019年",'Offer Statistics'!EM55,IF($S$2="2020年",'Offer Statistics'!EM91)))</f>
        <v>313</v>
      </c>
      <c r="AG19" s="338"/>
      <c r="AH19" s="338" t="str">
        <f t="shared" si="0"/>
        <v>JS9272</v>
      </c>
    </row>
    <row r="20" spans="1:34" ht="18" customHeight="1">
      <c r="A20" s="175" t="s">
        <v>1107</v>
      </c>
      <c r="B20" s="175" t="s">
        <v>1158</v>
      </c>
      <c r="C20" s="175" t="s">
        <v>1108</v>
      </c>
      <c r="D20" s="175" t="s">
        <v>1809</v>
      </c>
      <c r="E20" s="338" t="s">
        <v>1155</v>
      </c>
      <c r="F20" s="176">
        <v>16</v>
      </c>
      <c r="G20" s="176">
        <v>16</v>
      </c>
      <c r="H20" s="193">
        <f>計分版!D358</f>
        <v>1.9500000000000001E-9</v>
      </c>
      <c r="I20" s="188">
        <f>IF(I$1="差距(Median)",H20-F20,IF(I$1="差距(UQ)",H20-#REF!,IF(I$1="差距(LQ)",H20-G20)))</f>
        <v>-15.999999998050001</v>
      </c>
      <c r="J20" s="189">
        <f>IF(I$1="差距(Median)",(H20-F20)/H20,IF(I$1="差距(UQ)",(H20-#REF!)/H20,IF(I$1="差距(LQ)",(H20-G20)/H20)))</f>
        <v>-8205128204.1282053</v>
      </c>
      <c r="K20" s="333">
        <v>10</v>
      </c>
      <c r="L20" s="381">
        <f>入學要求!S344</f>
        <v>0</v>
      </c>
      <c r="M20" s="371" t="s">
        <v>360</v>
      </c>
      <c r="N20" s="338">
        <v>3</v>
      </c>
      <c r="O20" s="338">
        <v>3</v>
      </c>
      <c r="P20" s="338">
        <v>2</v>
      </c>
      <c r="Q20" s="338">
        <v>2</v>
      </c>
      <c r="R20" s="338">
        <v>2</v>
      </c>
      <c r="S20" s="501"/>
      <c r="T20" s="333">
        <f>IF($S$2="2018年",'Offer Statistics'!EV20,IF($S$2="2019年",'Offer Statistics'!EV56,IF($S$2="2020年",'Offer Statistics'!EV92)))</f>
        <v>9</v>
      </c>
      <c r="U20" s="284">
        <f>IF($S$2="2018年",'Offer Statistics'!EQ20,IF($S$2="2019年",'Offer Statistics'!EQ56,IF($S$2="2020年",'Offer Statistics'!EQ92)))</f>
        <v>2</v>
      </c>
      <c r="V20" s="284">
        <f>IF($S$2="2018年",'Offer Statistics'!ER20,IF($S$2="2019年",'Offer Statistics'!ER56,IF($S$2="2020年",'Offer Statistics'!ER92)))</f>
        <v>2</v>
      </c>
      <c r="W20" s="284">
        <f>IF($S$2="2018年",'Offer Statistics'!ES20,IF($S$2="2019年",'Offer Statistics'!ES56,IF($S$2="2020年",'Offer Statistics'!ES92)))</f>
        <v>1</v>
      </c>
      <c r="X20" s="284">
        <f>IF($S$2="2018年",'Offer Statistics'!ET20,IF($S$2="2019年",'Offer Statistics'!ET56,IF($S$2="2020年",'Offer Statistics'!ET92)))</f>
        <v>3</v>
      </c>
      <c r="Y20" s="284">
        <f>IF($S$2="2018年",'Offer Statistics'!EU20,IF($S$2="2019年",'Offer Statistics'!EU56,IF($S$2="2020年",'Offer Statistics'!EU92)))</f>
        <v>1</v>
      </c>
      <c r="Z20" s="501"/>
      <c r="AA20" s="333">
        <f>IF($S$2="2018年",'Offer Statistics'!EN20,IF($S$2="2019年",'Offer Statistics'!EN56,IF($S$2="2020年",'Offer Statistics'!EN92)))</f>
        <v>644</v>
      </c>
      <c r="AB20" s="284">
        <f>IF($S$2="2018年",'Offer Statistics'!EI20,IF($S$2="2019年",'Offer Statistics'!EI56,IF($S$2="2020年",'Offer Statistics'!EI92)))</f>
        <v>28</v>
      </c>
      <c r="AC20" s="284">
        <f>IF($S$2="2018年",'Offer Statistics'!EJ20,IF($S$2="2019年",'Offer Statistics'!EJ56,IF($S$2="2020年",'Offer Statistics'!EJ92)))</f>
        <v>86</v>
      </c>
      <c r="AD20" s="284">
        <f>IF($S$2="2018年",'Offer Statistics'!EK20,IF($S$2="2019年",'Offer Statistics'!EK56,IF($S$2="2020年",'Offer Statistics'!EK92)))</f>
        <v>159</v>
      </c>
      <c r="AE20" s="284">
        <f>IF($S$2="2018年",'Offer Statistics'!EL20,IF($S$2="2019年",'Offer Statistics'!EL56,IF($S$2="2020年",'Offer Statistics'!EL92)))</f>
        <v>174</v>
      </c>
      <c r="AF20" s="284">
        <f>IF($S$2="2018年",'Offer Statistics'!EM20,IF($S$2="2019年",'Offer Statistics'!EM56,IF($S$2="2020年",'Offer Statistics'!EM92)))</f>
        <v>197</v>
      </c>
      <c r="AG20" s="338"/>
      <c r="AH20" s="338" t="str">
        <f t="shared" si="0"/>
        <v>JS9276</v>
      </c>
    </row>
    <row r="21" spans="1:34" ht="18" customHeight="1">
      <c r="A21" s="175" t="s">
        <v>1110</v>
      </c>
      <c r="B21" s="175" t="s">
        <v>1158</v>
      </c>
      <c r="C21" s="175" t="s">
        <v>1111</v>
      </c>
      <c r="D21" s="175" t="s">
        <v>1810</v>
      </c>
      <c r="E21" s="338" t="s">
        <v>1155</v>
      </c>
      <c r="F21" s="176">
        <v>17</v>
      </c>
      <c r="G21" s="176">
        <v>16</v>
      </c>
      <c r="H21" s="193">
        <f>計分版!D359</f>
        <v>1.9500000000000001E-9</v>
      </c>
      <c r="I21" s="188">
        <f>IF(I$1="差距(Median)",H21-F21,IF(I$1="差距(UQ)",H21-#REF!,IF(I$1="差距(LQ)",H21-G21)))</f>
        <v>-16.999999998050001</v>
      </c>
      <c r="J21" s="189">
        <f>IF(I$1="差距(Median)",(H21-F21)/H21,IF(I$1="差距(UQ)",(H21-#REF!)/H21,IF(I$1="差距(LQ)",(H21-G21)/H21)))</f>
        <v>-8717948716.9487171</v>
      </c>
      <c r="K21" s="333">
        <v>30</v>
      </c>
      <c r="L21" s="381">
        <f>入學要求!S345</f>
        <v>0</v>
      </c>
      <c r="M21" s="371" t="s">
        <v>360</v>
      </c>
      <c r="N21" s="338">
        <v>3</v>
      </c>
      <c r="O21" s="338">
        <v>3</v>
      </c>
      <c r="P21" s="338">
        <v>2</v>
      </c>
      <c r="Q21" s="338">
        <v>2</v>
      </c>
      <c r="R21" s="338">
        <v>2</v>
      </c>
      <c r="S21" s="501"/>
      <c r="T21" s="333">
        <f>IF($S$2="2018年",'Offer Statistics'!EV21,IF($S$2="2019年",'Offer Statistics'!EV57,IF($S$2="2020年",'Offer Statistics'!EV93)))</f>
        <v>63</v>
      </c>
      <c r="U21" s="284">
        <f>IF($S$2="2018年",'Offer Statistics'!EQ21,IF($S$2="2019年",'Offer Statistics'!EQ57,IF($S$2="2020年",'Offer Statistics'!EQ93)))</f>
        <v>35</v>
      </c>
      <c r="V21" s="284">
        <f>IF($S$2="2018年",'Offer Statistics'!ER21,IF($S$2="2019年",'Offer Statistics'!ER57,IF($S$2="2020年",'Offer Statistics'!ER93)))</f>
        <v>14</v>
      </c>
      <c r="W21" s="284">
        <f>IF($S$2="2018年",'Offer Statistics'!ES21,IF($S$2="2019年",'Offer Statistics'!ES57,IF($S$2="2020年",'Offer Statistics'!ES93)))</f>
        <v>6</v>
      </c>
      <c r="X21" s="284">
        <f>IF($S$2="2018年",'Offer Statistics'!ET21,IF($S$2="2019年",'Offer Statistics'!ET57,IF($S$2="2020年",'Offer Statistics'!ET93)))</f>
        <v>5</v>
      </c>
      <c r="Y21" s="284">
        <f>IF($S$2="2018年",'Offer Statistics'!EU21,IF($S$2="2019年",'Offer Statistics'!EU57,IF($S$2="2020年",'Offer Statistics'!EU93)))</f>
        <v>3</v>
      </c>
      <c r="Z21" s="501"/>
      <c r="AA21" s="333">
        <f>IF($S$2="2018年",'Offer Statistics'!EN21,IF($S$2="2019年",'Offer Statistics'!EN57,IF($S$2="2020年",'Offer Statistics'!EN93)))</f>
        <v>2325</v>
      </c>
      <c r="AB21" s="284">
        <f>IF($S$2="2018年",'Offer Statistics'!EI21,IF($S$2="2019年",'Offer Statistics'!EI57,IF($S$2="2020年",'Offer Statistics'!EI93)))</f>
        <v>191</v>
      </c>
      <c r="AC21" s="284">
        <f>IF($S$2="2018年",'Offer Statistics'!EJ21,IF($S$2="2019年",'Offer Statistics'!EJ57,IF($S$2="2020年",'Offer Statistics'!EJ93)))</f>
        <v>373</v>
      </c>
      <c r="AD21" s="284">
        <f>IF($S$2="2018年",'Offer Statistics'!EK21,IF($S$2="2019年",'Offer Statistics'!EK57,IF($S$2="2020年",'Offer Statistics'!EK93)))</f>
        <v>502</v>
      </c>
      <c r="AE21" s="284">
        <f>IF($S$2="2018年",'Offer Statistics'!EL21,IF($S$2="2019年",'Offer Statistics'!EL57,IF($S$2="2020年",'Offer Statistics'!EL93)))</f>
        <v>614</v>
      </c>
      <c r="AF21" s="284">
        <f>IF($S$2="2018年",'Offer Statistics'!EM21,IF($S$2="2019年",'Offer Statistics'!EM57,IF($S$2="2020年",'Offer Statistics'!EM93)))</f>
        <v>645</v>
      </c>
      <c r="AG21" s="338"/>
      <c r="AH21" s="338" t="str">
        <f t="shared" si="0"/>
        <v>JS9280</v>
      </c>
    </row>
    <row r="22" spans="1:34" ht="18" customHeight="1">
      <c r="A22" s="175" t="s">
        <v>1113</v>
      </c>
      <c r="B22" s="175" t="s">
        <v>1158</v>
      </c>
      <c r="C22" s="175" t="s">
        <v>1114</v>
      </c>
      <c r="D22" s="175" t="s">
        <v>1811</v>
      </c>
      <c r="E22" s="338" t="s">
        <v>1155</v>
      </c>
      <c r="F22" s="176">
        <v>16</v>
      </c>
      <c r="G22" s="176">
        <v>15</v>
      </c>
      <c r="H22" s="193">
        <f>計分版!D360</f>
        <v>1.9500000000000001E-9</v>
      </c>
      <c r="I22" s="188">
        <f>IF(I$1="差距(Median)",H22-F22,IF(I$1="差距(UQ)",H22-#REF!,IF(I$1="差距(LQ)",H22-G22)))</f>
        <v>-15.999999998050001</v>
      </c>
      <c r="J22" s="189">
        <f>IF(I$1="差距(Median)",(H22-F22)/H22,IF(I$1="差距(UQ)",(H22-#REF!)/H22,IF(I$1="差距(LQ)",(H22-G22)/H22)))</f>
        <v>-8205128204.1282053</v>
      </c>
      <c r="K22" s="333">
        <v>30</v>
      </c>
      <c r="L22" s="381">
        <f>入學要求!S346</f>
        <v>0</v>
      </c>
      <c r="M22" s="371" t="s">
        <v>360</v>
      </c>
      <c r="N22" s="338">
        <v>3</v>
      </c>
      <c r="O22" s="338">
        <v>3</v>
      </c>
      <c r="P22" s="338">
        <v>2</v>
      </c>
      <c r="Q22" s="338">
        <v>2</v>
      </c>
      <c r="R22" s="338">
        <v>2</v>
      </c>
      <c r="S22" s="501"/>
      <c r="T22" s="333">
        <f>IF($S$2="2018年",'Offer Statistics'!EV22,IF($S$2="2019年",'Offer Statistics'!EV58,IF($S$2="2020年",'Offer Statistics'!EV94)))</f>
        <v>138</v>
      </c>
      <c r="U22" s="284">
        <f>IF($S$2="2018年",'Offer Statistics'!EQ22,IF($S$2="2019年",'Offer Statistics'!EQ58,IF($S$2="2020年",'Offer Statistics'!EQ94)))</f>
        <v>82</v>
      </c>
      <c r="V22" s="284">
        <f>IF($S$2="2018年",'Offer Statistics'!ER22,IF($S$2="2019年",'Offer Statistics'!ER58,IF($S$2="2020年",'Offer Statistics'!ER94)))</f>
        <v>21</v>
      </c>
      <c r="W22" s="284">
        <f>IF($S$2="2018年",'Offer Statistics'!ES22,IF($S$2="2019年",'Offer Statistics'!ES58,IF($S$2="2020年",'Offer Statistics'!ES94)))</f>
        <v>10</v>
      </c>
      <c r="X22" s="284">
        <f>IF($S$2="2018年",'Offer Statistics'!ET22,IF($S$2="2019年",'Offer Statistics'!ET58,IF($S$2="2020年",'Offer Statistics'!ET94)))</f>
        <v>9</v>
      </c>
      <c r="Y22" s="284">
        <f>IF($S$2="2018年",'Offer Statistics'!EU22,IF($S$2="2019年",'Offer Statistics'!EU58,IF($S$2="2020年",'Offer Statistics'!EU94)))</f>
        <v>16</v>
      </c>
      <c r="Z22" s="501"/>
      <c r="AA22" s="333">
        <f>IF($S$2="2018年",'Offer Statistics'!EN22,IF($S$2="2019年",'Offer Statistics'!EN58,IF($S$2="2020年",'Offer Statistics'!EN94)))</f>
        <v>4248</v>
      </c>
      <c r="AB22" s="284">
        <f>IF($S$2="2018年",'Offer Statistics'!EI22,IF($S$2="2019年",'Offer Statistics'!EI58,IF($S$2="2020年",'Offer Statistics'!EI94)))</f>
        <v>690</v>
      </c>
      <c r="AC22" s="284">
        <f>IF($S$2="2018年",'Offer Statistics'!EJ22,IF($S$2="2019年",'Offer Statistics'!EJ58,IF($S$2="2020年",'Offer Statistics'!EJ94)))</f>
        <v>765</v>
      </c>
      <c r="AD22" s="284">
        <f>IF($S$2="2018年",'Offer Statistics'!EK22,IF($S$2="2019年",'Offer Statistics'!EK58,IF($S$2="2020年",'Offer Statistics'!EK94)))</f>
        <v>897</v>
      </c>
      <c r="AE22" s="284">
        <f>IF($S$2="2018年",'Offer Statistics'!EL22,IF($S$2="2019年",'Offer Statistics'!EL58,IF($S$2="2020年",'Offer Statistics'!EL94)))</f>
        <v>908</v>
      </c>
      <c r="AF22" s="284">
        <f>IF($S$2="2018年",'Offer Statistics'!EM22,IF($S$2="2019年",'Offer Statistics'!EM58,IF($S$2="2020年",'Offer Statistics'!EM94)))</f>
        <v>988</v>
      </c>
      <c r="AG22" s="338"/>
      <c r="AH22" s="338" t="str">
        <f t="shared" si="0"/>
        <v>JS9291</v>
      </c>
    </row>
    <row r="23" spans="1:34" ht="18" customHeight="1">
      <c r="A23" s="175" t="s">
        <v>1116</v>
      </c>
      <c r="B23" s="175" t="s">
        <v>1158</v>
      </c>
      <c r="C23" s="175" t="s">
        <v>1117</v>
      </c>
      <c r="D23" s="175" t="s">
        <v>1812</v>
      </c>
      <c r="E23" s="338" t="s">
        <v>1155</v>
      </c>
      <c r="F23" s="338">
        <v>15</v>
      </c>
      <c r="G23" s="176">
        <v>15</v>
      </c>
      <c r="H23" s="193">
        <f>計分版!D361</f>
        <v>1.9500000000000001E-9</v>
      </c>
      <c r="I23" s="188">
        <f>IF(I$1="差距(Median)",H23-F23,IF(I$1="差距(UQ)",H23-#REF!,IF(I$1="差距(LQ)",H23-G23)))</f>
        <v>-14.999999998050001</v>
      </c>
      <c r="J23" s="189">
        <f>IF(I$1="差距(Median)",(H23-F23)/H23,IF(I$1="差距(UQ)",(H23-#REF!)/H23,IF(I$1="差距(LQ)",(H23-G23)/H23)))</f>
        <v>-7692307691.3076925</v>
      </c>
      <c r="K23" s="333">
        <v>30</v>
      </c>
      <c r="L23" s="381">
        <f>入學要求!S347</f>
        <v>0</v>
      </c>
      <c r="M23" s="371" t="s">
        <v>360</v>
      </c>
      <c r="N23" s="338">
        <v>3</v>
      </c>
      <c r="O23" s="338">
        <v>3</v>
      </c>
      <c r="P23" s="338">
        <v>2</v>
      </c>
      <c r="Q23" s="338">
        <v>2</v>
      </c>
      <c r="R23" s="338">
        <v>2</v>
      </c>
      <c r="S23" s="501"/>
      <c r="T23" s="333">
        <f>IF($S$2="2018年",'Offer Statistics'!EV23,IF($S$2="2019年",'Offer Statistics'!EV59,IF($S$2="2020年",'Offer Statistics'!EV95)))</f>
        <v>36</v>
      </c>
      <c r="U23" s="284">
        <f>IF($S$2="2018年",'Offer Statistics'!EQ23,IF($S$2="2019年",'Offer Statistics'!EQ59,IF($S$2="2020年",'Offer Statistics'!EQ95)))</f>
        <v>9</v>
      </c>
      <c r="V23" s="284">
        <f>IF($S$2="2018年",'Offer Statistics'!ER23,IF($S$2="2019年",'Offer Statistics'!ER59,IF($S$2="2020年",'Offer Statistics'!ER95)))</f>
        <v>9</v>
      </c>
      <c r="W23" s="284">
        <f>IF($S$2="2018年",'Offer Statistics'!ES23,IF($S$2="2019年",'Offer Statistics'!ES59,IF($S$2="2020年",'Offer Statistics'!ES95)))</f>
        <v>5</v>
      </c>
      <c r="X23" s="284">
        <f>IF($S$2="2018年",'Offer Statistics'!ET23,IF($S$2="2019年",'Offer Statistics'!ET59,IF($S$2="2020年",'Offer Statistics'!ET95)))</f>
        <v>4</v>
      </c>
      <c r="Y23" s="284">
        <f>IF($S$2="2018年",'Offer Statistics'!EU23,IF($S$2="2019年",'Offer Statistics'!EU59,IF($S$2="2020年",'Offer Statistics'!EU95)))</f>
        <v>9</v>
      </c>
      <c r="Z23" s="501"/>
      <c r="AA23" s="333">
        <f>IF($S$2="2018年",'Offer Statistics'!EN23,IF($S$2="2019年",'Offer Statistics'!EN59,IF($S$2="2020年",'Offer Statistics'!EN95)))</f>
        <v>1932</v>
      </c>
      <c r="AB23" s="284">
        <f>IF($S$2="2018年",'Offer Statistics'!EI23,IF($S$2="2019年",'Offer Statistics'!EI59,IF($S$2="2020年",'Offer Statistics'!EI95)))</f>
        <v>260</v>
      </c>
      <c r="AC23" s="284">
        <f>IF($S$2="2018年",'Offer Statistics'!EJ23,IF($S$2="2019年",'Offer Statistics'!EJ59,IF($S$2="2020年",'Offer Statistics'!EJ95)))</f>
        <v>376</v>
      </c>
      <c r="AD23" s="284">
        <f>IF($S$2="2018年",'Offer Statistics'!EK23,IF($S$2="2019年",'Offer Statistics'!EK59,IF($S$2="2020年",'Offer Statistics'!EK95)))</f>
        <v>370</v>
      </c>
      <c r="AE23" s="284">
        <f>IF($S$2="2018年",'Offer Statistics'!EL23,IF($S$2="2019年",'Offer Statistics'!EL59,IF($S$2="2020年",'Offer Statistics'!EL95)))</f>
        <v>463</v>
      </c>
      <c r="AF23" s="284">
        <f>IF($S$2="2018年",'Offer Statistics'!EM23,IF($S$2="2019年",'Offer Statistics'!EM59,IF($S$2="2020年",'Offer Statistics'!EM95)))</f>
        <v>463</v>
      </c>
      <c r="AG23" s="338"/>
      <c r="AH23" s="338" t="str">
        <f t="shared" si="0"/>
        <v>JS9294</v>
      </c>
    </row>
    <row r="24" spans="1:34" ht="18" customHeight="1">
      <c r="A24" s="175" t="s">
        <v>1119</v>
      </c>
      <c r="B24" s="175" t="s">
        <v>1159</v>
      </c>
      <c r="C24" s="175" t="s">
        <v>1120</v>
      </c>
      <c r="D24" s="175" t="s">
        <v>1813</v>
      </c>
      <c r="E24" s="437" t="s">
        <v>59</v>
      </c>
      <c r="F24" s="176">
        <v>22</v>
      </c>
      <c r="G24" s="176">
        <v>21</v>
      </c>
      <c r="H24" s="193">
        <f>計分版!D362</f>
        <v>3.9500000000000006E-9</v>
      </c>
      <c r="I24" s="188">
        <f>IF(I$1="差距(Median)",H24-F24,IF(I$1="差距(UQ)",H24-#REF!,IF(I$1="差距(LQ)",H24-G24)))</f>
        <v>-21.999999996050001</v>
      </c>
      <c r="J24" s="189">
        <f>IF(I$1="差距(Median)",(H24-F24)/H24,IF(I$1="差距(UQ)",(H24-#REF!)/H24,IF(I$1="差距(LQ)",(H24-G24)/H24)))</f>
        <v>-5569620252.1645565</v>
      </c>
      <c r="K24" s="333">
        <v>30</v>
      </c>
      <c r="L24" s="381">
        <f>入學要求!S348</f>
        <v>0</v>
      </c>
      <c r="M24" s="377" t="s">
        <v>2193</v>
      </c>
      <c r="N24" s="338">
        <v>3</v>
      </c>
      <c r="O24" s="338">
        <v>3</v>
      </c>
      <c r="P24" s="338">
        <v>2</v>
      </c>
      <c r="Q24" s="338">
        <v>2</v>
      </c>
      <c r="R24" s="338">
        <v>2</v>
      </c>
      <c r="S24" s="501"/>
      <c r="T24" s="333">
        <f>IF($S$2="2018年",'Offer Statistics'!EV24,IF($S$2="2019年",'Offer Statistics'!EV60,IF($S$2="2020年",'Offer Statistics'!EV96)))</f>
        <v>32</v>
      </c>
      <c r="U24" s="284">
        <f>IF($S$2="2018年",'Offer Statistics'!EQ24,IF($S$2="2019年",'Offer Statistics'!EQ60,IF($S$2="2020年",'Offer Statistics'!EQ96)))</f>
        <v>27</v>
      </c>
      <c r="V24" s="284">
        <f>IF($S$2="2018年",'Offer Statistics'!ER24,IF($S$2="2019年",'Offer Statistics'!ER60,IF($S$2="2020年",'Offer Statistics'!ER96)))</f>
        <v>5</v>
      </c>
      <c r="W24" s="284">
        <f>IF($S$2="2018年",'Offer Statistics'!ES24,IF($S$2="2019年",'Offer Statistics'!ES60,IF($S$2="2020年",'Offer Statistics'!ES96)))</f>
        <v>0</v>
      </c>
      <c r="X24" s="284">
        <f>IF($S$2="2018年",'Offer Statistics'!ET24,IF($S$2="2019年",'Offer Statistics'!ET60,IF($S$2="2020年",'Offer Statistics'!ET96)))</f>
        <v>0</v>
      </c>
      <c r="Y24" s="284">
        <f>IF($S$2="2018年",'Offer Statistics'!EU24,IF($S$2="2019年",'Offer Statistics'!EU60,IF($S$2="2020年",'Offer Statistics'!EU96)))</f>
        <v>0</v>
      </c>
      <c r="Z24" s="501"/>
      <c r="AA24" s="333">
        <f>IF($S$2="2018年",'Offer Statistics'!EN24,IF($S$2="2019年",'Offer Statistics'!EN60,IF($S$2="2020年",'Offer Statistics'!EN96)))</f>
        <v>739</v>
      </c>
      <c r="AB24" s="284">
        <f>IF($S$2="2018年",'Offer Statistics'!EI24,IF($S$2="2019年",'Offer Statistics'!EI60,IF($S$2="2020年",'Offer Statistics'!EI96)))</f>
        <v>116</v>
      </c>
      <c r="AC24" s="284">
        <f>IF($S$2="2018年",'Offer Statistics'!EJ24,IF($S$2="2019年",'Offer Statistics'!EJ60,IF($S$2="2020年",'Offer Statistics'!EJ96)))</f>
        <v>139</v>
      </c>
      <c r="AD24" s="284">
        <f>IF($S$2="2018年",'Offer Statistics'!EK24,IF($S$2="2019年",'Offer Statistics'!EK60,IF($S$2="2020年",'Offer Statistics'!EK96)))</f>
        <v>137</v>
      </c>
      <c r="AE24" s="284">
        <f>IF($S$2="2018年",'Offer Statistics'!EL24,IF($S$2="2019年",'Offer Statistics'!EL60,IF($S$2="2020年",'Offer Statistics'!EL96)))</f>
        <v>149</v>
      </c>
      <c r="AF24" s="284">
        <f>IF($S$2="2018年",'Offer Statistics'!EM24,IF($S$2="2019年",'Offer Statistics'!EM60,IF($S$2="2020年",'Offer Statistics'!EM96)))</f>
        <v>198</v>
      </c>
      <c r="AG24" s="338"/>
      <c r="AH24" s="338" t="str">
        <f t="shared" si="0"/>
        <v>JS9530</v>
      </c>
    </row>
    <row r="25" spans="1:34" ht="18" customHeight="1">
      <c r="A25" s="175" t="s">
        <v>1122</v>
      </c>
      <c r="B25" s="175" t="s">
        <v>1159</v>
      </c>
      <c r="C25" s="175" t="s">
        <v>1123</v>
      </c>
      <c r="D25" s="175" t="s">
        <v>1814</v>
      </c>
      <c r="E25" s="437" t="s">
        <v>59</v>
      </c>
      <c r="F25" s="176">
        <v>20</v>
      </c>
      <c r="G25" s="176">
        <v>19</v>
      </c>
      <c r="H25" s="193">
        <f>計分版!D363</f>
        <v>3.9500000000000006E-9</v>
      </c>
      <c r="I25" s="188">
        <f>IF(I$1="差距(Median)",H25-F25,IF(I$1="差距(UQ)",H25-#REF!,IF(I$1="差距(LQ)",H25-G25)))</f>
        <v>-19.999999996050001</v>
      </c>
      <c r="J25" s="189">
        <f>IF(I$1="差距(Median)",(H25-F25)/H25,IF(I$1="差距(UQ)",(H25-#REF!)/H25,IF(I$1="差距(LQ)",(H25-G25)/H25)))</f>
        <v>-5063291138.2405052</v>
      </c>
      <c r="K25" s="333">
        <v>25</v>
      </c>
      <c r="L25" s="381">
        <f>入學要求!S349</f>
        <v>0</v>
      </c>
      <c r="M25" s="371" t="s">
        <v>360</v>
      </c>
      <c r="N25" s="338">
        <v>3</v>
      </c>
      <c r="O25" s="338">
        <v>3</v>
      </c>
      <c r="P25" s="338">
        <v>2</v>
      </c>
      <c r="Q25" s="338">
        <v>2</v>
      </c>
      <c r="R25" s="338">
        <v>2</v>
      </c>
      <c r="S25" s="501"/>
      <c r="T25" s="333">
        <f>IF($S$2="2018年",'Offer Statistics'!EV25,IF($S$2="2019年",'Offer Statistics'!EV61,IF($S$2="2020年",'Offer Statistics'!EV97)))</f>
        <v>56</v>
      </c>
      <c r="U25" s="284">
        <f>IF($S$2="2018年",'Offer Statistics'!EQ25,IF($S$2="2019年",'Offer Statistics'!EQ61,IF($S$2="2020年",'Offer Statistics'!EQ97)))</f>
        <v>32</v>
      </c>
      <c r="V25" s="284">
        <f>IF($S$2="2018年",'Offer Statistics'!ER25,IF($S$2="2019年",'Offer Statistics'!ER61,IF($S$2="2020年",'Offer Statistics'!ER97)))</f>
        <v>16</v>
      </c>
      <c r="W25" s="284">
        <f>IF($S$2="2018年",'Offer Statistics'!ES25,IF($S$2="2019年",'Offer Statistics'!ES61,IF($S$2="2020年",'Offer Statistics'!ES97)))</f>
        <v>4</v>
      </c>
      <c r="X25" s="284">
        <f>IF($S$2="2018年",'Offer Statistics'!ET25,IF($S$2="2019年",'Offer Statistics'!ET61,IF($S$2="2020年",'Offer Statistics'!ET97)))</f>
        <v>0</v>
      </c>
      <c r="Y25" s="284">
        <f>IF($S$2="2018年",'Offer Statistics'!EU25,IF($S$2="2019年",'Offer Statistics'!EU61,IF($S$2="2020年",'Offer Statistics'!EU97)))</f>
        <v>4</v>
      </c>
      <c r="Z25" s="501"/>
      <c r="AA25" s="333">
        <f>IF($S$2="2018年",'Offer Statistics'!EN25,IF($S$2="2019年",'Offer Statistics'!EN61,IF($S$2="2020年",'Offer Statistics'!EN97)))</f>
        <v>772</v>
      </c>
      <c r="AB25" s="284">
        <f>IF($S$2="2018年",'Offer Statistics'!EI25,IF($S$2="2019年",'Offer Statistics'!EI61,IF($S$2="2020年",'Offer Statistics'!EI97)))</f>
        <v>87</v>
      </c>
      <c r="AC25" s="284">
        <f>IF($S$2="2018年",'Offer Statistics'!EJ25,IF($S$2="2019年",'Offer Statistics'!EJ61,IF($S$2="2020年",'Offer Statistics'!EJ97)))</f>
        <v>139</v>
      </c>
      <c r="AD25" s="284">
        <f>IF($S$2="2018年",'Offer Statistics'!EK25,IF($S$2="2019年",'Offer Statistics'!EK61,IF($S$2="2020年",'Offer Statistics'!EK97)))</f>
        <v>145</v>
      </c>
      <c r="AE25" s="284">
        <f>IF($S$2="2018年",'Offer Statistics'!EL25,IF($S$2="2019年",'Offer Statistics'!EL61,IF($S$2="2020年",'Offer Statistics'!EL97)))</f>
        <v>192</v>
      </c>
      <c r="AF25" s="284">
        <f>IF($S$2="2018年",'Offer Statistics'!EM25,IF($S$2="2019年",'Offer Statistics'!EM61,IF($S$2="2020年",'Offer Statistics'!EM97)))</f>
        <v>209</v>
      </c>
      <c r="AG25" s="338"/>
      <c r="AH25" s="338" t="str">
        <f t="shared" si="0"/>
        <v>JS9540</v>
      </c>
    </row>
    <row r="26" spans="1:34" ht="18" customHeight="1">
      <c r="A26" s="175" t="s">
        <v>1125</v>
      </c>
      <c r="B26" s="175" t="s">
        <v>1159</v>
      </c>
      <c r="C26" s="175" t="s">
        <v>1126</v>
      </c>
      <c r="D26" s="175" t="s">
        <v>1815</v>
      </c>
      <c r="E26" s="437" t="s">
        <v>189</v>
      </c>
      <c r="F26" s="176">
        <v>20</v>
      </c>
      <c r="G26" s="176">
        <v>20</v>
      </c>
      <c r="H26" s="193">
        <f>計分版!D364</f>
        <v>3.9500000000000006E-9</v>
      </c>
      <c r="I26" s="188">
        <f>IF(I$1="差距(Median)",H26-F26,IF(I$1="差距(UQ)",H26-#REF!,IF(I$1="差距(LQ)",H26-G26)))</f>
        <v>-19.999999996050001</v>
      </c>
      <c r="J26" s="189">
        <f>IF(I$1="差距(Median)",(H26-F26)/H26,IF(I$1="差距(UQ)",(H26-#REF!)/H26,IF(I$1="差距(LQ)",(H26-G26)/H26)))</f>
        <v>-5063291138.2405052</v>
      </c>
      <c r="K26" s="333">
        <v>20</v>
      </c>
      <c r="L26" s="381">
        <f>入學要求!S350</f>
        <v>0</v>
      </c>
      <c r="M26" s="371" t="s">
        <v>360</v>
      </c>
      <c r="N26" s="338">
        <v>3</v>
      </c>
      <c r="O26" s="338">
        <v>3</v>
      </c>
      <c r="P26" s="338">
        <v>2</v>
      </c>
      <c r="Q26" s="338">
        <v>2</v>
      </c>
      <c r="R26" s="338">
        <v>2</v>
      </c>
      <c r="S26" s="501"/>
      <c r="T26" s="333">
        <f>IF($S$2="2018年",'Offer Statistics'!EV26,IF($S$2="2019年",'Offer Statistics'!EV62,IF($S$2="2020年",'Offer Statistics'!EV98)))</f>
        <v>28</v>
      </c>
      <c r="U26" s="284">
        <f>IF($S$2="2018年",'Offer Statistics'!EQ26,IF($S$2="2019年",'Offer Statistics'!EQ62,IF($S$2="2020年",'Offer Statistics'!EQ98)))</f>
        <v>11</v>
      </c>
      <c r="V26" s="284">
        <f>IF($S$2="2018年",'Offer Statistics'!ER26,IF($S$2="2019年",'Offer Statistics'!ER62,IF($S$2="2020年",'Offer Statistics'!ER98)))</f>
        <v>6</v>
      </c>
      <c r="W26" s="284">
        <f>IF($S$2="2018年",'Offer Statistics'!ES26,IF($S$2="2019年",'Offer Statistics'!ES62,IF($S$2="2020年",'Offer Statistics'!ES98)))</f>
        <v>3</v>
      </c>
      <c r="X26" s="284">
        <f>IF($S$2="2018年",'Offer Statistics'!ET26,IF($S$2="2019年",'Offer Statistics'!ET62,IF($S$2="2020年",'Offer Statistics'!ET98)))</f>
        <v>4</v>
      </c>
      <c r="Y26" s="284">
        <f>IF($S$2="2018年",'Offer Statistics'!EU26,IF($S$2="2019年",'Offer Statistics'!EU62,IF($S$2="2020年",'Offer Statistics'!EU98)))</f>
        <v>4</v>
      </c>
      <c r="Z26" s="501"/>
      <c r="AA26" s="333">
        <f>IF($S$2="2018年",'Offer Statistics'!EN26,IF($S$2="2019年",'Offer Statistics'!EN62,IF($S$2="2020年",'Offer Statistics'!EN98)))</f>
        <v>767</v>
      </c>
      <c r="AB26" s="284">
        <f>IF($S$2="2018年",'Offer Statistics'!EI26,IF($S$2="2019年",'Offer Statistics'!EI62,IF($S$2="2020年",'Offer Statistics'!EI98)))</f>
        <v>54</v>
      </c>
      <c r="AC26" s="284">
        <f>IF($S$2="2018年",'Offer Statistics'!EJ26,IF($S$2="2019年",'Offer Statistics'!EJ62,IF($S$2="2020年",'Offer Statistics'!EJ98)))</f>
        <v>94</v>
      </c>
      <c r="AD26" s="284">
        <f>IF($S$2="2018年",'Offer Statistics'!EK26,IF($S$2="2019年",'Offer Statistics'!EK62,IF($S$2="2020年",'Offer Statistics'!EK98)))</f>
        <v>156</v>
      </c>
      <c r="AE26" s="284">
        <f>IF($S$2="2018年",'Offer Statistics'!EL26,IF($S$2="2019年",'Offer Statistics'!EL62,IF($S$2="2020年",'Offer Statistics'!EL98)))</f>
        <v>208</v>
      </c>
      <c r="AF26" s="284">
        <f>IF($S$2="2018年",'Offer Statistics'!EM26,IF($S$2="2019年",'Offer Statistics'!EM62,IF($S$2="2020年",'Offer Statistics'!EM98)))</f>
        <v>255</v>
      </c>
      <c r="AG26" s="338"/>
      <c r="AH26" s="338" t="str">
        <f t="shared" si="0"/>
        <v>JS9550</v>
      </c>
    </row>
    <row r="27" spans="1:34" ht="18" customHeight="1">
      <c r="A27" s="175" t="s">
        <v>1128</v>
      </c>
      <c r="B27" s="175" t="s">
        <v>1159</v>
      </c>
      <c r="C27" s="175" t="s">
        <v>1129</v>
      </c>
      <c r="D27" s="175" t="s">
        <v>1817</v>
      </c>
      <c r="E27" s="437" t="s">
        <v>189</v>
      </c>
      <c r="F27" s="176">
        <v>23</v>
      </c>
      <c r="G27" s="176">
        <v>22</v>
      </c>
      <c r="H27" s="193">
        <f>計分版!D365</f>
        <v>3.9500000000000006E-9</v>
      </c>
      <c r="I27" s="188">
        <f>IF(I$1="差距(Median)",H27-F27,IF(I$1="差距(UQ)",H27-#REF!,IF(I$1="差距(LQ)",H27-G27)))</f>
        <v>-22.999999996050001</v>
      </c>
      <c r="J27" s="189">
        <f>IF(I$1="差距(Median)",(H27-F27)/H27,IF(I$1="差距(UQ)",(H27-#REF!)/H27,IF(I$1="差距(LQ)",(H27-G27)/H27)))</f>
        <v>-5822784809.1265812</v>
      </c>
      <c r="K27" s="333">
        <v>35</v>
      </c>
      <c r="L27" s="381">
        <f>入學要求!S351</f>
        <v>0</v>
      </c>
      <c r="M27" s="371" t="s">
        <v>2225</v>
      </c>
      <c r="N27" s="338">
        <v>3</v>
      </c>
      <c r="O27" s="338">
        <v>3</v>
      </c>
      <c r="P27" s="338">
        <v>2</v>
      </c>
      <c r="Q27" s="338">
        <v>2</v>
      </c>
      <c r="R27" s="338">
        <v>2</v>
      </c>
      <c r="S27" s="501"/>
      <c r="T27" s="333">
        <f>IF($S$2="2018年",'Offer Statistics'!EV27,IF($S$2="2019年",'Offer Statistics'!EV63,IF($S$2="2020年",'Offer Statistics'!EV99)))</f>
        <v>35</v>
      </c>
      <c r="U27" s="284">
        <f>IF($S$2="2018年",'Offer Statistics'!EQ27,IF($S$2="2019年",'Offer Statistics'!EQ63,IF($S$2="2020年",'Offer Statistics'!EQ99)))</f>
        <v>27</v>
      </c>
      <c r="V27" s="284">
        <f>IF($S$2="2018年",'Offer Statistics'!ER27,IF($S$2="2019年",'Offer Statistics'!ER63,IF($S$2="2020年",'Offer Statistics'!ER99)))</f>
        <v>7</v>
      </c>
      <c r="W27" s="284">
        <f>IF($S$2="2018年",'Offer Statistics'!ES27,IF($S$2="2019年",'Offer Statistics'!ES63,IF($S$2="2020年",'Offer Statistics'!ES99)))</f>
        <v>1</v>
      </c>
      <c r="X27" s="284">
        <f>IF($S$2="2018年",'Offer Statistics'!ET27,IF($S$2="2019年",'Offer Statistics'!ET63,IF($S$2="2020年",'Offer Statistics'!ET99)))</f>
        <v>0</v>
      </c>
      <c r="Y27" s="284">
        <f>IF($S$2="2018年",'Offer Statistics'!EU27,IF($S$2="2019年",'Offer Statistics'!EU63,IF($S$2="2020年",'Offer Statistics'!EU99)))</f>
        <v>0</v>
      </c>
      <c r="Z27" s="501"/>
      <c r="AA27" s="333">
        <f>IF($S$2="2018年",'Offer Statistics'!EN27,IF($S$2="2019年",'Offer Statistics'!EN63,IF($S$2="2020年",'Offer Statistics'!EN99)))</f>
        <v>1027</v>
      </c>
      <c r="AB27" s="284">
        <f>IF($S$2="2018年",'Offer Statistics'!EI27,IF($S$2="2019年",'Offer Statistics'!EI63,IF($S$2="2020年",'Offer Statistics'!EI99)))</f>
        <v>146</v>
      </c>
      <c r="AC27" s="284">
        <f>IF($S$2="2018年",'Offer Statistics'!EJ27,IF($S$2="2019年",'Offer Statistics'!EJ63,IF($S$2="2020年",'Offer Statistics'!EJ99)))</f>
        <v>168</v>
      </c>
      <c r="AD27" s="284">
        <f>IF($S$2="2018年",'Offer Statistics'!EK27,IF($S$2="2019年",'Offer Statistics'!EK63,IF($S$2="2020年",'Offer Statistics'!EK99)))</f>
        <v>210</v>
      </c>
      <c r="AE27" s="284">
        <f>IF($S$2="2018年",'Offer Statistics'!EL27,IF($S$2="2019年",'Offer Statistics'!EL63,IF($S$2="2020年",'Offer Statistics'!EL99)))</f>
        <v>231</v>
      </c>
      <c r="AF27" s="284">
        <f>IF($S$2="2018年",'Offer Statistics'!EM27,IF($S$2="2019年",'Offer Statistics'!EM63,IF($S$2="2020年",'Offer Statistics'!EM99)))</f>
        <v>272</v>
      </c>
      <c r="AG27" s="338"/>
      <c r="AH27" s="338" t="str">
        <f t="shared" si="0"/>
        <v>JS9560</v>
      </c>
    </row>
    <row r="28" spans="1:34" ht="18" customHeight="1">
      <c r="A28" s="175" t="s">
        <v>1131</v>
      </c>
      <c r="B28" s="175" t="s">
        <v>1159</v>
      </c>
      <c r="C28" s="175" t="s">
        <v>1132</v>
      </c>
      <c r="D28" s="175" t="s">
        <v>1818</v>
      </c>
      <c r="E28" s="338" t="s">
        <v>189</v>
      </c>
      <c r="F28" s="176">
        <v>16</v>
      </c>
      <c r="G28" s="176">
        <v>16</v>
      </c>
      <c r="H28" s="193">
        <f>計分版!D366</f>
        <v>3.9500000000000006E-9</v>
      </c>
      <c r="I28" s="188">
        <f>IF(I$1="差距(Median)",H28-F28,IF(I$1="差距(UQ)",H28-#REF!,IF(I$1="差距(LQ)",H28-G28)))</f>
        <v>-15.999999996050001</v>
      </c>
      <c r="J28" s="189">
        <f>IF(I$1="差距(Median)",(H28-F28)/H28,IF(I$1="差距(UQ)",(H28-#REF!)/H28,IF(I$1="差距(LQ)",(H28-G28)/H28)))</f>
        <v>-4050632910.3924046</v>
      </c>
      <c r="K28" s="333">
        <v>20</v>
      </c>
      <c r="L28" s="381">
        <f>入學要求!S352</f>
        <v>0</v>
      </c>
      <c r="M28" s="371" t="s">
        <v>360</v>
      </c>
      <c r="N28" s="338">
        <v>3</v>
      </c>
      <c r="O28" s="338">
        <v>3</v>
      </c>
      <c r="P28" s="338">
        <v>2</v>
      </c>
      <c r="Q28" s="338">
        <v>2</v>
      </c>
      <c r="R28" s="338">
        <v>2</v>
      </c>
      <c r="S28" s="501"/>
      <c r="T28" s="333">
        <f>IF($S$2="2018年",'Offer Statistics'!EV28,IF($S$2="2019年",'Offer Statistics'!EV64,IF($S$2="2020年",'Offer Statistics'!EV100)))</f>
        <v>46</v>
      </c>
      <c r="U28" s="284">
        <f>IF($S$2="2018年",'Offer Statistics'!EQ28,IF($S$2="2019年",'Offer Statistics'!EQ64,IF($S$2="2020年",'Offer Statistics'!EQ100)))</f>
        <v>30</v>
      </c>
      <c r="V28" s="284">
        <f>IF($S$2="2018年",'Offer Statistics'!ER28,IF($S$2="2019年",'Offer Statistics'!ER64,IF($S$2="2020年",'Offer Statistics'!ER100)))</f>
        <v>8</v>
      </c>
      <c r="W28" s="284">
        <f>IF($S$2="2018年",'Offer Statistics'!ES28,IF($S$2="2019年",'Offer Statistics'!ES64,IF($S$2="2020年",'Offer Statistics'!ES100)))</f>
        <v>4</v>
      </c>
      <c r="X28" s="284">
        <f>IF($S$2="2018年",'Offer Statistics'!ET28,IF($S$2="2019年",'Offer Statistics'!ET64,IF($S$2="2020年",'Offer Statistics'!ET100)))</f>
        <v>0</v>
      </c>
      <c r="Y28" s="284">
        <f>IF($S$2="2018年",'Offer Statistics'!EU28,IF($S$2="2019年",'Offer Statistics'!EU64,IF($S$2="2020年",'Offer Statistics'!EU100)))</f>
        <v>4</v>
      </c>
      <c r="Z28" s="501"/>
      <c r="AA28" s="333">
        <f>IF($S$2="2018年",'Offer Statistics'!EN28,IF($S$2="2019年",'Offer Statistics'!EN64,IF($S$2="2020年",'Offer Statistics'!EN100)))</f>
        <v>813</v>
      </c>
      <c r="AB28" s="284">
        <f>IF($S$2="2018年",'Offer Statistics'!EI28,IF($S$2="2019年",'Offer Statistics'!EI64,IF($S$2="2020年",'Offer Statistics'!EI100)))</f>
        <v>104</v>
      </c>
      <c r="AC28" s="284">
        <f>IF($S$2="2018年",'Offer Statistics'!EJ28,IF($S$2="2019年",'Offer Statistics'!EJ64,IF($S$2="2020年",'Offer Statistics'!EJ100)))</f>
        <v>146</v>
      </c>
      <c r="AD28" s="284">
        <f>IF($S$2="2018年",'Offer Statistics'!EK28,IF($S$2="2019年",'Offer Statistics'!EK64,IF($S$2="2020年",'Offer Statistics'!EK100)))</f>
        <v>172</v>
      </c>
      <c r="AE28" s="284">
        <f>IF($S$2="2018年",'Offer Statistics'!EL28,IF($S$2="2019年",'Offer Statistics'!EL64,IF($S$2="2020年",'Offer Statistics'!EL100)))</f>
        <v>168</v>
      </c>
      <c r="AF28" s="284">
        <f>IF($S$2="2018年",'Offer Statistics'!EM28,IF($S$2="2019年",'Offer Statistics'!EM64,IF($S$2="2020年",'Offer Statistics'!EM100)))</f>
        <v>223</v>
      </c>
      <c r="AG28" s="338"/>
      <c r="AH28" s="338" t="str">
        <f t="shared" si="0"/>
        <v>JS9570</v>
      </c>
    </row>
    <row r="29" spans="1:34" ht="18" customHeight="1">
      <c r="A29" s="175" t="s">
        <v>1134</v>
      </c>
      <c r="B29" s="175" t="s">
        <v>1159</v>
      </c>
      <c r="C29" s="175" t="s">
        <v>1135</v>
      </c>
      <c r="D29" s="175" t="s">
        <v>1820</v>
      </c>
      <c r="E29" s="437" t="s">
        <v>189</v>
      </c>
      <c r="F29" s="176">
        <v>16</v>
      </c>
      <c r="G29" s="176">
        <v>15</v>
      </c>
      <c r="H29" s="193">
        <f>計分版!D367</f>
        <v>3.9500000000000006E-9</v>
      </c>
      <c r="I29" s="188">
        <f>IF(I$1="差距(Median)",H29-F29,IF(I$1="差距(UQ)",H29-#REF!,IF(I$1="差距(LQ)",H29-G29)))</f>
        <v>-15.999999996050001</v>
      </c>
      <c r="J29" s="189">
        <f>IF(I$1="差距(Median)",(H29-F29)/H29,IF(I$1="差距(UQ)",(H29-#REF!)/H29,IF(I$1="差距(LQ)",(H29-G29)/H29)))</f>
        <v>-4050632910.3924046</v>
      </c>
      <c r="K29" s="333">
        <v>40</v>
      </c>
      <c r="L29" s="381">
        <f>入學要求!S353</f>
        <v>0</v>
      </c>
      <c r="M29" s="371" t="s">
        <v>2225</v>
      </c>
      <c r="N29" s="338">
        <v>3</v>
      </c>
      <c r="O29" s="338">
        <v>3</v>
      </c>
      <c r="P29" s="338">
        <v>2</v>
      </c>
      <c r="Q29" s="338">
        <v>2</v>
      </c>
      <c r="R29" s="338">
        <v>2</v>
      </c>
      <c r="S29" s="501"/>
      <c r="T29" s="333">
        <f>IF($S$2="2018年",'Offer Statistics'!EV29,IF($S$2="2019年",'Offer Statistics'!EV65,IF($S$2="2020年",'Offer Statistics'!EV101)))</f>
        <v>98</v>
      </c>
      <c r="U29" s="284">
        <f>IF($S$2="2018年",'Offer Statistics'!EQ29,IF($S$2="2019年",'Offer Statistics'!EQ65,IF($S$2="2020年",'Offer Statistics'!EQ101)))</f>
        <v>90</v>
      </c>
      <c r="V29" s="284">
        <f>IF($S$2="2018年",'Offer Statistics'!ER29,IF($S$2="2019年",'Offer Statistics'!ER65,IF($S$2="2020年",'Offer Statistics'!ER101)))</f>
        <v>8</v>
      </c>
      <c r="W29" s="284">
        <f>IF($S$2="2018年",'Offer Statistics'!ES29,IF($S$2="2019年",'Offer Statistics'!ES65,IF($S$2="2020年",'Offer Statistics'!ES101)))</f>
        <v>0</v>
      </c>
      <c r="X29" s="284">
        <f>IF($S$2="2018年",'Offer Statistics'!ET29,IF($S$2="2019年",'Offer Statistics'!ET65,IF($S$2="2020年",'Offer Statistics'!ET101)))</f>
        <v>0</v>
      </c>
      <c r="Y29" s="284">
        <f>IF($S$2="2018年",'Offer Statistics'!EU29,IF($S$2="2019年",'Offer Statistics'!EU65,IF($S$2="2020年",'Offer Statistics'!EU101)))</f>
        <v>0</v>
      </c>
      <c r="Z29" s="501"/>
      <c r="AA29" s="333">
        <f>IF($S$2="2018年",'Offer Statistics'!EN29,IF($S$2="2019年",'Offer Statistics'!EN65,IF($S$2="2020年",'Offer Statistics'!EN101)))</f>
        <v>3397</v>
      </c>
      <c r="AB29" s="284">
        <f>IF($S$2="2018年",'Offer Statistics'!EI29,IF($S$2="2019年",'Offer Statistics'!EI65,IF($S$2="2020年",'Offer Statistics'!EI101)))</f>
        <v>762</v>
      </c>
      <c r="AC29" s="284">
        <f>IF($S$2="2018年",'Offer Statistics'!EJ29,IF($S$2="2019年",'Offer Statistics'!EJ65,IF($S$2="2020年",'Offer Statistics'!EJ101)))</f>
        <v>708</v>
      </c>
      <c r="AD29" s="284">
        <f>IF($S$2="2018年",'Offer Statistics'!EK29,IF($S$2="2019年",'Offer Statistics'!EK65,IF($S$2="2020年",'Offer Statistics'!EK101)))</f>
        <v>584</v>
      </c>
      <c r="AE29" s="284">
        <f>IF($S$2="2018年",'Offer Statistics'!EL29,IF($S$2="2019年",'Offer Statistics'!EL65,IF($S$2="2020年",'Offer Statistics'!EL101)))</f>
        <v>661</v>
      </c>
      <c r="AF29" s="284">
        <f>IF($S$2="2018年",'Offer Statistics'!EM29,IF($S$2="2019年",'Offer Statistics'!EM65,IF($S$2="2020年",'Offer Statistics'!EM101)))</f>
        <v>682</v>
      </c>
      <c r="AG29" s="338"/>
      <c r="AH29" s="338" t="str">
        <f t="shared" si="0"/>
        <v>JS9580</v>
      </c>
    </row>
    <row r="30" spans="1:34" ht="18" customHeight="1">
      <c r="A30" s="175" t="s">
        <v>1295</v>
      </c>
      <c r="B30" s="175" t="s">
        <v>1160</v>
      </c>
      <c r="C30" s="175" t="s">
        <v>1299</v>
      </c>
      <c r="D30" s="175" t="s">
        <v>1822</v>
      </c>
      <c r="E30" s="377" t="s">
        <v>1156</v>
      </c>
      <c r="F30" s="176" t="s">
        <v>360</v>
      </c>
      <c r="G30" s="176" t="s">
        <v>360</v>
      </c>
      <c r="H30" s="193">
        <f>計分版!D368</f>
        <v>1.9500000000000001E-9</v>
      </c>
      <c r="I30" s="177" t="s">
        <v>360</v>
      </c>
      <c r="J30" s="177" t="s">
        <v>360</v>
      </c>
      <c r="K30" s="333">
        <v>35</v>
      </c>
      <c r="L30" s="381">
        <f>入學要求!S354</f>
        <v>0</v>
      </c>
      <c r="M30" s="371" t="s">
        <v>360</v>
      </c>
      <c r="N30" s="338">
        <v>3</v>
      </c>
      <c r="O30" s="338">
        <v>3</v>
      </c>
      <c r="P30" s="338">
        <v>2</v>
      </c>
      <c r="Q30" s="338">
        <v>2</v>
      </c>
      <c r="R30" s="338">
        <v>2</v>
      </c>
      <c r="S30" s="501"/>
      <c r="T30" s="333" t="str">
        <f>IF($S$2="2018年",'Offer Statistics'!EV30,IF($S$2="2019年",'Offer Statistics'!EV66,IF($S$2="2020年",'Offer Statistics'!EV102)))</f>
        <v>/</v>
      </c>
      <c r="U30" s="284" t="str">
        <f>IF($S$2="2018年",'Offer Statistics'!EQ30,IF($S$2="2019年",'Offer Statistics'!EQ66,IF($S$2="2020年",'Offer Statistics'!EQ102)))</f>
        <v>/</v>
      </c>
      <c r="V30" s="284" t="str">
        <f>IF($S$2="2018年",'Offer Statistics'!ER30,IF($S$2="2019年",'Offer Statistics'!ER66,IF($S$2="2020年",'Offer Statistics'!ER102)))</f>
        <v>/</v>
      </c>
      <c r="W30" s="284" t="str">
        <f>IF($S$2="2018年",'Offer Statistics'!ES30,IF($S$2="2019年",'Offer Statistics'!ES66,IF($S$2="2020年",'Offer Statistics'!ES102)))</f>
        <v>/</v>
      </c>
      <c r="X30" s="284" t="str">
        <f>IF($S$2="2018年",'Offer Statistics'!ET30,IF($S$2="2019年",'Offer Statistics'!ET66,IF($S$2="2020年",'Offer Statistics'!ET102)))</f>
        <v>/</v>
      </c>
      <c r="Y30" s="284" t="str">
        <f>IF($S$2="2018年",'Offer Statistics'!EU30,IF($S$2="2019年",'Offer Statistics'!EU66,IF($S$2="2020年",'Offer Statistics'!EU102)))</f>
        <v>/</v>
      </c>
      <c r="Z30" s="501"/>
      <c r="AA30" s="333" t="str">
        <f>IF($S$2="2018年",'Offer Statistics'!EN30,IF($S$2="2019年",'Offer Statistics'!EN66,IF($S$2="2020年",'Offer Statistics'!EN102)))</f>
        <v>/</v>
      </c>
      <c r="AB30" s="284" t="str">
        <f>IF($S$2="2018年",'Offer Statistics'!EI30,IF($S$2="2019年",'Offer Statistics'!EI66,IF($S$2="2020年",'Offer Statistics'!EI102)))</f>
        <v>/</v>
      </c>
      <c r="AC30" s="284" t="str">
        <f>IF($S$2="2018年",'Offer Statistics'!EJ30,IF($S$2="2019年",'Offer Statistics'!EJ66,IF($S$2="2020年",'Offer Statistics'!EJ102)))</f>
        <v>/</v>
      </c>
      <c r="AD30" s="284" t="str">
        <f>IF($S$2="2018年",'Offer Statistics'!EK30,IF($S$2="2019年",'Offer Statistics'!EK66,IF($S$2="2020年",'Offer Statistics'!EK102)))</f>
        <v>/</v>
      </c>
      <c r="AE30" s="284" t="str">
        <f>IF($S$2="2018年",'Offer Statistics'!EL30,IF($S$2="2019年",'Offer Statistics'!EL66,IF($S$2="2020年",'Offer Statistics'!EL102)))</f>
        <v>/</v>
      </c>
      <c r="AF30" s="284" t="str">
        <f>IF($S$2="2018年",'Offer Statistics'!EM30,IF($S$2="2019年",'Offer Statistics'!EM66,IF($S$2="2020年",'Offer Statistics'!EM102)))</f>
        <v>/</v>
      </c>
      <c r="AG30" s="338"/>
      <c r="AH30" s="338" t="str">
        <f t="shared" si="0"/>
        <v>JS9718</v>
      </c>
    </row>
    <row r="31" spans="1:34" ht="18" customHeight="1">
      <c r="A31" s="175" t="s">
        <v>1297</v>
      </c>
      <c r="B31" s="175" t="s">
        <v>1160</v>
      </c>
      <c r="C31" s="175" t="s">
        <v>1301</v>
      </c>
      <c r="D31" s="175" t="s">
        <v>1824</v>
      </c>
      <c r="E31" s="377" t="s">
        <v>1156</v>
      </c>
      <c r="F31" s="176" t="s">
        <v>360</v>
      </c>
      <c r="G31" s="176" t="s">
        <v>360</v>
      </c>
      <c r="H31" s="193">
        <f>計分版!D369</f>
        <v>1.9500000000000001E-9</v>
      </c>
      <c r="I31" s="177" t="s">
        <v>360</v>
      </c>
      <c r="J31" s="177" t="s">
        <v>360</v>
      </c>
      <c r="K31" s="333">
        <v>30</v>
      </c>
      <c r="L31" s="381">
        <f>入學要求!S355</f>
        <v>0</v>
      </c>
      <c r="M31" s="371" t="s">
        <v>360</v>
      </c>
      <c r="N31" s="338">
        <v>3</v>
      </c>
      <c r="O31" s="338">
        <v>3</v>
      </c>
      <c r="P31" s="338">
        <v>2</v>
      </c>
      <c r="Q31" s="338">
        <v>2</v>
      </c>
      <c r="R31" s="338">
        <v>2</v>
      </c>
      <c r="S31" s="501"/>
      <c r="T31" s="333" t="str">
        <f>IF($S$2="2018年",'Offer Statistics'!EV31,IF($S$2="2019年",'Offer Statistics'!EV67,IF($S$2="2020年",'Offer Statistics'!EV103)))</f>
        <v>/</v>
      </c>
      <c r="U31" s="284" t="str">
        <f>IF($S$2="2018年",'Offer Statistics'!EQ31,IF($S$2="2019年",'Offer Statistics'!EQ67,IF($S$2="2020年",'Offer Statistics'!EQ103)))</f>
        <v>/</v>
      </c>
      <c r="V31" s="284" t="str">
        <f>IF($S$2="2018年",'Offer Statistics'!ER31,IF($S$2="2019年",'Offer Statistics'!ER67,IF($S$2="2020年",'Offer Statistics'!ER103)))</f>
        <v>/</v>
      </c>
      <c r="W31" s="284" t="str">
        <f>IF($S$2="2018年",'Offer Statistics'!ES31,IF($S$2="2019年",'Offer Statistics'!ES67,IF($S$2="2020年",'Offer Statistics'!ES103)))</f>
        <v>/</v>
      </c>
      <c r="X31" s="284" t="str">
        <f>IF($S$2="2018年",'Offer Statistics'!ET31,IF($S$2="2019年",'Offer Statistics'!ET67,IF($S$2="2020年",'Offer Statistics'!ET103)))</f>
        <v>/</v>
      </c>
      <c r="Y31" s="284" t="str">
        <f>IF($S$2="2018年",'Offer Statistics'!EU31,IF($S$2="2019年",'Offer Statistics'!EU67,IF($S$2="2020年",'Offer Statistics'!EU103)))</f>
        <v>/</v>
      </c>
      <c r="Z31" s="501"/>
      <c r="AA31" s="333" t="str">
        <f>IF($S$2="2018年",'Offer Statistics'!EN31,IF($S$2="2019年",'Offer Statistics'!EN67,IF($S$2="2020年",'Offer Statistics'!EN103)))</f>
        <v>/</v>
      </c>
      <c r="AB31" s="284" t="str">
        <f>IF($S$2="2018年",'Offer Statistics'!EI31,IF($S$2="2019年",'Offer Statistics'!EI67,IF($S$2="2020年",'Offer Statistics'!EI103)))</f>
        <v>/</v>
      </c>
      <c r="AC31" s="284" t="str">
        <f>IF($S$2="2018年",'Offer Statistics'!EJ31,IF($S$2="2019年",'Offer Statistics'!EJ67,IF($S$2="2020年",'Offer Statistics'!EJ103)))</f>
        <v>/</v>
      </c>
      <c r="AD31" s="284" t="str">
        <f>IF($S$2="2018年",'Offer Statistics'!EK31,IF($S$2="2019年",'Offer Statistics'!EK67,IF($S$2="2020年",'Offer Statistics'!EK103)))</f>
        <v>/</v>
      </c>
      <c r="AE31" s="284" t="str">
        <f>IF($S$2="2018年",'Offer Statistics'!EL31,IF($S$2="2019年",'Offer Statistics'!EL67,IF($S$2="2020年",'Offer Statistics'!EL103)))</f>
        <v>/</v>
      </c>
      <c r="AF31" s="284" t="str">
        <f>IF($S$2="2018年",'Offer Statistics'!EM31,IF($S$2="2019年",'Offer Statistics'!EM67,IF($S$2="2020年",'Offer Statistics'!EM103)))</f>
        <v>/</v>
      </c>
      <c r="AG31" s="338"/>
      <c r="AH31" s="338" t="str">
        <f t="shared" si="0"/>
        <v>JS9719</v>
      </c>
    </row>
    <row r="32" spans="1:34" ht="18" customHeight="1">
      <c r="A32" s="175" t="s">
        <v>1137</v>
      </c>
      <c r="B32" s="175" t="s">
        <v>1160</v>
      </c>
      <c r="C32" s="175" t="s">
        <v>1138</v>
      </c>
      <c r="D32" s="175" t="s">
        <v>1826</v>
      </c>
      <c r="E32" s="338" t="s">
        <v>1155</v>
      </c>
      <c r="F32" s="176">
        <v>16</v>
      </c>
      <c r="G32" s="176">
        <v>15</v>
      </c>
      <c r="H32" s="193">
        <f>計分版!D370</f>
        <v>1.9500000000000001E-9</v>
      </c>
      <c r="I32" s="188">
        <f>IF(I$1="差距(Median)",H32-F32,IF(I$1="差距(UQ)",H32-#REF!,IF(I$1="差距(LQ)",H32-G32)))</f>
        <v>-15.999999998050001</v>
      </c>
      <c r="J32" s="189">
        <f>IF(I$1="差距(Median)",(H32-F32)/H32,IF(I$1="差距(UQ)",(H32-#REF!)/H32,IF(I$1="差距(LQ)",(H32-G32)/H32)))</f>
        <v>-8205128204.1282053</v>
      </c>
      <c r="K32" s="333">
        <v>35</v>
      </c>
      <c r="L32" s="381">
        <f>入學要求!S356</f>
        <v>0</v>
      </c>
      <c r="M32" s="371" t="s">
        <v>360</v>
      </c>
      <c r="N32" s="338">
        <v>3</v>
      </c>
      <c r="O32" s="338">
        <v>3</v>
      </c>
      <c r="P32" s="338">
        <v>2</v>
      </c>
      <c r="Q32" s="338">
        <v>2</v>
      </c>
      <c r="R32" s="338">
        <v>2</v>
      </c>
      <c r="S32" s="501"/>
      <c r="T32" s="333">
        <f>IF($S$2="2018年",'Offer Statistics'!EV32,IF($S$2="2019年",'Offer Statistics'!EV68,IF($S$2="2020年",'Offer Statistics'!EV104)))</f>
        <v>53</v>
      </c>
      <c r="U32" s="284">
        <f>IF($S$2="2018年",'Offer Statistics'!EQ32,IF($S$2="2019年",'Offer Statistics'!EQ68,IF($S$2="2020年",'Offer Statistics'!EQ104)))</f>
        <v>32</v>
      </c>
      <c r="V32" s="284">
        <f>IF($S$2="2018年",'Offer Statistics'!ER32,IF($S$2="2019年",'Offer Statistics'!ER68,IF($S$2="2020年",'Offer Statistics'!ER104)))</f>
        <v>8</v>
      </c>
      <c r="W32" s="284">
        <f>IF($S$2="2018年",'Offer Statistics'!ES32,IF($S$2="2019年",'Offer Statistics'!ES68,IF($S$2="2020年",'Offer Statistics'!ES104)))</f>
        <v>4</v>
      </c>
      <c r="X32" s="284">
        <f>IF($S$2="2018年",'Offer Statistics'!ET32,IF($S$2="2019年",'Offer Statistics'!ET68,IF($S$2="2020年",'Offer Statistics'!ET104)))</f>
        <v>3</v>
      </c>
      <c r="Y32" s="284">
        <f>IF($S$2="2018年",'Offer Statistics'!EU32,IF($S$2="2019年",'Offer Statistics'!EU68,IF($S$2="2020年",'Offer Statistics'!EU104)))</f>
        <v>6</v>
      </c>
      <c r="Z32" s="501"/>
      <c r="AA32" s="333">
        <f>IF($S$2="2018年",'Offer Statistics'!EN32,IF($S$2="2019年",'Offer Statistics'!EN68,IF($S$2="2020年",'Offer Statistics'!EN104)))</f>
        <v>1585</v>
      </c>
      <c r="AB32" s="284">
        <f>IF($S$2="2018年",'Offer Statistics'!EI32,IF($S$2="2019年",'Offer Statistics'!EI68,IF($S$2="2020年",'Offer Statistics'!EI104)))</f>
        <v>168</v>
      </c>
      <c r="AC32" s="284">
        <f>IF($S$2="2018年",'Offer Statistics'!EJ32,IF($S$2="2019年",'Offer Statistics'!EJ68,IF($S$2="2020年",'Offer Statistics'!EJ104)))</f>
        <v>243</v>
      </c>
      <c r="AD32" s="284">
        <f>IF($S$2="2018年",'Offer Statistics'!EK32,IF($S$2="2019年",'Offer Statistics'!EK68,IF($S$2="2020年",'Offer Statistics'!EK104)))</f>
        <v>338</v>
      </c>
      <c r="AE32" s="284">
        <f>IF($S$2="2018年",'Offer Statistics'!EL32,IF($S$2="2019年",'Offer Statistics'!EL68,IF($S$2="2020年",'Offer Statistics'!EL104)))</f>
        <v>419</v>
      </c>
      <c r="AF32" s="284">
        <f>IF($S$2="2018年",'Offer Statistics'!EM32,IF($S$2="2019年",'Offer Statistics'!EM68,IF($S$2="2020年",'Offer Statistics'!EM104)))</f>
        <v>417</v>
      </c>
      <c r="AG32" s="338"/>
      <c r="AH32" s="338" t="str">
        <f t="shared" si="0"/>
        <v>JS9720</v>
      </c>
    </row>
    <row r="33" spans="1:36" ht="18" customHeight="1">
      <c r="A33" s="175" t="s">
        <v>1307</v>
      </c>
      <c r="B33" s="175" t="s">
        <v>1160</v>
      </c>
      <c r="C33" s="175" t="s">
        <v>1303</v>
      </c>
      <c r="D33" s="175" t="s">
        <v>1827</v>
      </c>
      <c r="E33" s="377" t="s">
        <v>1156</v>
      </c>
      <c r="F33" s="176" t="s">
        <v>360</v>
      </c>
      <c r="G33" s="176" t="s">
        <v>360</v>
      </c>
      <c r="H33" s="193">
        <f>計分版!D371</f>
        <v>1.9500000000000001E-9</v>
      </c>
      <c r="I33" s="177" t="s">
        <v>360</v>
      </c>
      <c r="J33" s="177" t="s">
        <v>360</v>
      </c>
      <c r="K33" s="333">
        <v>30</v>
      </c>
      <c r="L33" s="381">
        <f>入學要求!S357</f>
        <v>0</v>
      </c>
      <c r="M33" s="371" t="s">
        <v>360</v>
      </c>
      <c r="N33" s="338">
        <v>3</v>
      </c>
      <c r="O33" s="338">
        <v>3</v>
      </c>
      <c r="P33" s="338">
        <v>2</v>
      </c>
      <c r="Q33" s="338">
        <v>2</v>
      </c>
      <c r="R33" s="338">
        <v>2</v>
      </c>
      <c r="S33" s="501"/>
      <c r="T33" s="333" t="str">
        <f>IF($S$2="2018年",'Offer Statistics'!EV33,IF($S$2="2019年",'Offer Statistics'!EV69,IF($S$2="2020年",'Offer Statistics'!EV105)))</f>
        <v>/</v>
      </c>
      <c r="U33" s="284" t="str">
        <f>IF($S$2="2018年",'Offer Statistics'!EQ33,IF($S$2="2019年",'Offer Statistics'!EQ69,IF($S$2="2020年",'Offer Statistics'!EQ105)))</f>
        <v>/</v>
      </c>
      <c r="V33" s="284" t="str">
        <f>IF($S$2="2018年",'Offer Statistics'!ER33,IF($S$2="2019年",'Offer Statistics'!ER69,IF($S$2="2020年",'Offer Statistics'!ER105)))</f>
        <v>/</v>
      </c>
      <c r="W33" s="284" t="str">
        <f>IF($S$2="2018年",'Offer Statistics'!ES33,IF($S$2="2019年",'Offer Statistics'!ES69,IF($S$2="2020年",'Offer Statistics'!ES105)))</f>
        <v>/</v>
      </c>
      <c r="X33" s="284" t="str">
        <f>IF($S$2="2018年",'Offer Statistics'!ET33,IF($S$2="2019年",'Offer Statistics'!ET69,IF($S$2="2020年",'Offer Statistics'!ET105)))</f>
        <v>/</v>
      </c>
      <c r="Y33" s="284" t="str">
        <f>IF($S$2="2018年",'Offer Statistics'!EU33,IF($S$2="2019年",'Offer Statistics'!EU69,IF($S$2="2020年",'Offer Statistics'!EU105)))</f>
        <v>/</v>
      </c>
      <c r="Z33" s="501"/>
      <c r="AA33" s="333" t="str">
        <f>IF($S$2="2018年",'Offer Statistics'!EN33,IF($S$2="2019年",'Offer Statistics'!EN69,IF($S$2="2020年",'Offer Statistics'!EN105)))</f>
        <v>/</v>
      </c>
      <c r="AB33" s="284" t="str">
        <f>IF($S$2="2018年",'Offer Statistics'!EI33,IF($S$2="2019年",'Offer Statistics'!EI69,IF($S$2="2020年",'Offer Statistics'!EI105)))</f>
        <v>/</v>
      </c>
      <c r="AC33" s="284" t="str">
        <f>IF($S$2="2018年",'Offer Statistics'!EJ33,IF($S$2="2019年",'Offer Statistics'!EJ69,IF($S$2="2020年",'Offer Statistics'!EJ105)))</f>
        <v>/</v>
      </c>
      <c r="AD33" s="284" t="str">
        <f>IF($S$2="2018年",'Offer Statistics'!EK33,IF($S$2="2019年",'Offer Statistics'!EK69,IF($S$2="2020年",'Offer Statistics'!EK105)))</f>
        <v>/</v>
      </c>
      <c r="AE33" s="284" t="str">
        <f>IF($S$2="2018年",'Offer Statistics'!EL33,IF($S$2="2019年",'Offer Statistics'!EL69,IF($S$2="2020年",'Offer Statistics'!EL105)))</f>
        <v>/</v>
      </c>
      <c r="AF33" s="284" t="str">
        <f>IF($S$2="2018年",'Offer Statistics'!EM33,IF($S$2="2019年",'Offer Statistics'!EM69,IF($S$2="2020年",'Offer Statistics'!EM105)))</f>
        <v>/</v>
      </c>
      <c r="AG33" s="338"/>
      <c r="AH33" s="338" t="str">
        <f t="shared" si="0"/>
        <v>JS9721</v>
      </c>
    </row>
    <row r="34" spans="1:36" ht="18" customHeight="1">
      <c r="A34" s="175" t="s">
        <v>1309</v>
      </c>
      <c r="B34" s="175" t="s">
        <v>1160</v>
      </c>
      <c r="C34" s="175" t="s">
        <v>1305</v>
      </c>
      <c r="D34" s="175" t="s">
        <v>1829</v>
      </c>
      <c r="E34" s="377" t="s">
        <v>1156</v>
      </c>
      <c r="F34" s="176" t="s">
        <v>360</v>
      </c>
      <c r="G34" s="176" t="s">
        <v>360</v>
      </c>
      <c r="H34" s="193">
        <f>計分版!D372</f>
        <v>1.9500000000000001E-9</v>
      </c>
      <c r="I34" s="177" t="s">
        <v>360</v>
      </c>
      <c r="J34" s="177" t="s">
        <v>360</v>
      </c>
      <c r="K34" s="333">
        <v>30</v>
      </c>
      <c r="L34" s="381">
        <f>入學要求!S358</f>
        <v>0</v>
      </c>
      <c r="M34" s="371" t="s">
        <v>360</v>
      </c>
      <c r="N34" s="338">
        <v>3</v>
      </c>
      <c r="O34" s="338">
        <v>3</v>
      </c>
      <c r="P34" s="338">
        <v>2</v>
      </c>
      <c r="Q34" s="338">
        <v>2</v>
      </c>
      <c r="R34" s="414">
        <v>2</v>
      </c>
      <c r="S34" s="501"/>
      <c r="T34" s="333" t="str">
        <f>IF($S$2="2018年",'Offer Statistics'!EV34,IF($S$2="2019年",'Offer Statistics'!EV70,IF($S$2="2020年",'Offer Statistics'!EV106)))</f>
        <v>/</v>
      </c>
      <c r="U34" s="284" t="str">
        <f>IF($S$2="2018年",'Offer Statistics'!EQ34,IF($S$2="2019年",'Offer Statistics'!EQ70,IF($S$2="2020年",'Offer Statistics'!EQ106)))</f>
        <v>/</v>
      </c>
      <c r="V34" s="284" t="str">
        <f>IF($S$2="2018年",'Offer Statistics'!ER34,IF($S$2="2019年",'Offer Statistics'!ER70,IF($S$2="2020年",'Offer Statistics'!ER106)))</f>
        <v>/</v>
      </c>
      <c r="W34" s="284" t="str">
        <f>IF($S$2="2018年",'Offer Statistics'!ES34,IF($S$2="2019年",'Offer Statistics'!ES70,IF($S$2="2020年",'Offer Statistics'!ES106)))</f>
        <v>/</v>
      </c>
      <c r="X34" s="284" t="str">
        <f>IF($S$2="2018年",'Offer Statistics'!ET34,IF($S$2="2019年",'Offer Statistics'!ET70,IF($S$2="2020年",'Offer Statistics'!ET106)))</f>
        <v>/</v>
      </c>
      <c r="Y34" s="284" t="str">
        <f>IF($S$2="2018年",'Offer Statistics'!EU34,IF($S$2="2019年",'Offer Statistics'!EU70,IF($S$2="2020年",'Offer Statistics'!EU106)))</f>
        <v>/</v>
      </c>
      <c r="Z34" s="501"/>
      <c r="AA34" s="333" t="str">
        <f>IF($S$2="2018年",'Offer Statistics'!EN34,IF($S$2="2019年",'Offer Statistics'!EN70,IF($S$2="2020年",'Offer Statistics'!EN106)))</f>
        <v>/</v>
      </c>
      <c r="AB34" s="284" t="str">
        <f>IF($S$2="2018年",'Offer Statistics'!EI34,IF($S$2="2019年",'Offer Statistics'!EI70,IF($S$2="2020年",'Offer Statistics'!EI106)))</f>
        <v>/</v>
      </c>
      <c r="AC34" s="284" t="str">
        <f>IF($S$2="2018年",'Offer Statistics'!EJ34,IF($S$2="2019年",'Offer Statistics'!EJ70,IF($S$2="2020年",'Offer Statistics'!EJ106)))</f>
        <v>/</v>
      </c>
      <c r="AD34" s="284" t="str">
        <f>IF($S$2="2018年",'Offer Statistics'!EK34,IF($S$2="2019年",'Offer Statistics'!EK70,IF($S$2="2020年",'Offer Statistics'!EK106)))</f>
        <v>/</v>
      </c>
      <c r="AE34" s="284" t="str">
        <f>IF($S$2="2018年",'Offer Statistics'!EL34,IF($S$2="2019年",'Offer Statistics'!EL70,IF($S$2="2020年",'Offer Statistics'!EL106)))</f>
        <v>/</v>
      </c>
      <c r="AF34" s="284" t="str">
        <f>IF($S$2="2018年",'Offer Statistics'!EM34,IF($S$2="2019年",'Offer Statistics'!EM70,IF($S$2="2020年",'Offer Statistics'!EM106)))</f>
        <v>/</v>
      </c>
      <c r="AG34" s="338"/>
      <c r="AH34" s="338" t="str">
        <f t="shared" si="0"/>
        <v>JS9722</v>
      </c>
    </row>
    <row r="35" spans="1:36" ht="18" customHeight="1">
      <c r="A35" s="175" t="s">
        <v>1140</v>
      </c>
      <c r="B35" s="175" t="s">
        <v>1160</v>
      </c>
      <c r="C35" s="175" t="s">
        <v>1141</v>
      </c>
      <c r="D35" s="175" t="s">
        <v>1831</v>
      </c>
      <c r="E35" s="338" t="s">
        <v>1155</v>
      </c>
      <c r="F35" s="176">
        <v>16</v>
      </c>
      <c r="G35" s="176">
        <v>14</v>
      </c>
      <c r="H35" s="193">
        <f>計分版!D373</f>
        <v>1.9500000000000001E-9</v>
      </c>
      <c r="I35" s="188">
        <f>IF(I$1="差距(Median)",H35-F35,IF(I$1="差距(UQ)",H35-#REF!,IF(I$1="差距(LQ)",H35-G35)))</f>
        <v>-15.999999998050001</v>
      </c>
      <c r="J35" s="189">
        <f>IF(I$1="差距(Median)",(H35-F35)/H35,IF(I$1="差距(UQ)",(H35-#REF!)/H35,IF(I$1="差距(LQ)",(H35-G35)/H35)))</f>
        <v>-8205128204.1282053</v>
      </c>
      <c r="K35" s="333">
        <v>35</v>
      </c>
      <c r="L35" s="381">
        <f>入學要求!S359</f>
        <v>0</v>
      </c>
      <c r="M35" s="371" t="s">
        <v>360</v>
      </c>
      <c r="N35" s="338">
        <v>3</v>
      </c>
      <c r="O35" s="338">
        <v>3</v>
      </c>
      <c r="P35" s="338">
        <v>2</v>
      </c>
      <c r="Q35" s="338">
        <v>2</v>
      </c>
      <c r="R35" s="338">
        <v>2</v>
      </c>
      <c r="S35" s="501"/>
      <c r="T35" s="333">
        <f>IF($S$2="2018年",'Offer Statistics'!EV35,IF($S$2="2019年",'Offer Statistics'!EV71,IF($S$2="2020年",'Offer Statistics'!EV107)))</f>
        <v>21</v>
      </c>
      <c r="U35" s="284">
        <f>IF($S$2="2018年",'Offer Statistics'!EQ35,IF($S$2="2019年",'Offer Statistics'!EQ71,IF($S$2="2020年",'Offer Statistics'!EQ107)))</f>
        <v>7</v>
      </c>
      <c r="V35" s="284">
        <f>IF($S$2="2018年",'Offer Statistics'!ER35,IF($S$2="2019年",'Offer Statistics'!ER71,IF($S$2="2020年",'Offer Statistics'!ER107)))</f>
        <v>10</v>
      </c>
      <c r="W35" s="284">
        <f>IF($S$2="2018年",'Offer Statistics'!ES35,IF($S$2="2019年",'Offer Statistics'!ES71,IF($S$2="2020年",'Offer Statistics'!ES107)))</f>
        <v>3</v>
      </c>
      <c r="X35" s="284">
        <f>IF($S$2="2018年",'Offer Statistics'!ET35,IF($S$2="2019年",'Offer Statistics'!ET71,IF($S$2="2020年",'Offer Statistics'!ET107)))</f>
        <v>0</v>
      </c>
      <c r="Y35" s="284">
        <f>IF($S$2="2018年",'Offer Statistics'!EU35,IF($S$2="2019年",'Offer Statistics'!EU71,IF($S$2="2020年",'Offer Statistics'!EU107)))</f>
        <v>1</v>
      </c>
      <c r="Z35" s="501"/>
      <c r="AA35" s="333">
        <f>IF($S$2="2018年",'Offer Statistics'!EN35,IF($S$2="2019年",'Offer Statistics'!EN71,IF($S$2="2020年",'Offer Statistics'!EN107)))</f>
        <v>1038</v>
      </c>
      <c r="AB35" s="284">
        <f>IF($S$2="2018年",'Offer Statistics'!EI35,IF($S$2="2019年",'Offer Statistics'!EI71,IF($S$2="2020年",'Offer Statistics'!EI107)))</f>
        <v>88</v>
      </c>
      <c r="AC35" s="284">
        <f>IF($S$2="2018年",'Offer Statistics'!EJ35,IF($S$2="2019年",'Offer Statistics'!EJ71,IF($S$2="2020年",'Offer Statistics'!EJ107)))</f>
        <v>151</v>
      </c>
      <c r="AD35" s="284">
        <f>IF($S$2="2018年",'Offer Statistics'!EK35,IF($S$2="2019年",'Offer Statistics'!EK71,IF($S$2="2020年",'Offer Statistics'!EK107)))</f>
        <v>224</v>
      </c>
      <c r="AE35" s="284">
        <f>IF($S$2="2018年",'Offer Statistics'!EL35,IF($S$2="2019年",'Offer Statistics'!EL71,IF($S$2="2020年",'Offer Statistics'!EL107)))</f>
        <v>258</v>
      </c>
      <c r="AF35" s="284">
        <f>IF($S$2="2018年",'Offer Statistics'!EM35,IF($S$2="2019年",'Offer Statistics'!EM71,IF($S$2="2020年",'Offer Statistics'!EM107)))</f>
        <v>317</v>
      </c>
      <c r="AG35" s="338"/>
      <c r="AH35" s="338" t="str">
        <f t="shared" si="0"/>
        <v>JS9731</v>
      </c>
    </row>
    <row r="36" spans="1:36" ht="18" customHeight="1">
      <c r="A36" s="175" t="s">
        <v>1143</v>
      </c>
      <c r="B36" s="175" t="s">
        <v>1160</v>
      </c>
      <c r="C36" s="175" t="s">
        <v>1144</v>
      </c>
      <c r="D36" s="175" t="s">
        <v>1832</v>
      </c>
      <c r="E36" s="338" t="s">
        <v>1155</v>
      </c>
      <c r="F36" s="176">
        <v>17</v>
      </c>
      <c r="G36" s="176">
        <v>16</v>
      </c>
      <c r="H36" s="193">
        <f>計分版!D374</f>
        <v>1.9500000000000001E-9</v>
      </c>
      <c r="I36" s="188">
        <f>IF(I$1="差距(Median)",H36-F36,IF(I$1="差距(UQ)",H36-#REF!,IF(I$1="差距(LQ)",H36-G36)))</f>
        <v>-16.999999998050001</v>
      </c>
      <c r="J36" s="189">
        <f>IF(I$1="差距(Median)",(H36-F36)/H36,IF(I$1="差距(UQ)",(H36-#REF!)/H36,IF(I$1="差距(LQ)",(H36-G36)/H36)))</f>
        <v>-8717948716.9487171</v>
      </c>
      <c r="K36" s="333">
        <v>30</v>
      </c>
      <c r="L36" s="381">
        <f>入學要求!S360</f>
        <v>0</v>
      </c>
      <c r="M36" s="371" t="s">
        <v>360</v>
      </c>
      <c r="N36" s="338">
        <v>3</v>
      </c>
      <c r="O36" s="338">
        <v>3</v>
      </c>
      <c r="P36" s="338">
        <v>2</v>
      </c>
      <c r="Q36" s="338">
        <v>2</v>
      </c>
      <c r="R36" s="338">
        <v>2</v>
      </c>
      <c r="S36" s="501"/>
      <c r="T36" s="333">
        <f>IF($S$2="2018年",'Offer Statistics'!EV36,IF($S$2="2019年",'Offer Statistics'!EV72,IF($S$2="2020年",'Offer Statistics'!EV108)))</f>
        <v>25</v>
      </c>
      <c r="U36" s="284">
        <f>IF($S$2="2018年",'Offer Statistics'!EQ36,IF($S$2="2019年",'Offer Statistics'!EQ72,IF($S$2="2020年",'Offer Statistics'!EQ108)))</f>
        <v>13</v>
      </c>
      <c r="V36" s="284">
        <f>IF($S$2="2018年",'Offer Statistics'!ER36,IF($S$2="2019年",'Offer Statistics'!ER72,IF($S$2="2020年",'Offer Statistics'!ER108)))</f>
        <v>7</v>
      </c>
      <c r="W36" s="284">
        <f>IF($S$2="2018年",'Offer Statistics'!ES36,IF($S$2="2019年",'Offer Statistics'!ES72,IF($S$2="2020年",'Offer Statistics'!ES108)))</f>
        <v>0</v>
      </c>
      <c r="X36" s="284">
        <f>IF($S$2="2018年",'Offer Statistics'!ET36,IF($S$2="2019年",'Offer Statistics'!ET72,IF($S$2="2020年",'Offer Statistics'!ET108)))</f>
        <v>2</v>
      </c>
      <c r="Y36" s="284">
        <f>IF($S$2="2018年",'Offer Statistics'!EU36,IF($S$2="2019年",'Offer Statistics'!EU72,IF($S$2="2020年",'Offer Statistics'!EU108)))</f>
        <v>3</v>
      </c>
      <c r="Z36" s="501"/>
      <c r="AA36" s="333">
        <f>IF($S$2="2018年",'Offer Statistics'!EN36,IF($S$2="2019年",'Offer Statistics'!EN72,IF($S$2="2020年",'Offer Statistics'!EN108)))</f>
        <v>800</v>
      </c>
      <c r="AB36" s="284">
        <f>IF($S$2="2018年",'Offer Statistics'!EI36,IF($S$2="2019年",'Offer Statistics'!EI72,IF($S$2="2020年",'Offer Statistics'!EI108)))</f>
        <v>67</v>
      </c>
      <c r="AC36" s="284">
        <f>IF($S$2="2018年",'Offer Statistics'!EJ36,IF($S$2="2019年",'Offer Statistics'!EJ72,IF($S$2="2020年",'Offer Statistics'!EJ108)))</f>
        <v>109</v>
      </c>
      <c r="AD36" s="284">
        <f>IF($S$2="2018年",'Offer Statistics'!EK36,IF($S$2="2019年",'Offer Statistics'!EK72,IF($S$2="2020年",'Offer Statistics'!EK108)))</f>
        <v>142</v>
      </c>
      <c r="AE36" s="284">
        <f>IF($S$2="2018年",'Offer Statistics'!EL36,IF($S$2="2019年",'Offer Statistics'!EL72,IF($S$2="2020年",'Offer Statistics'!EL108)))</f>
        <v>209</v>
      </c>
      <c r="AF36" s="284">
        <f>IF($S$2="2018年",'Offer Statistics'!EM36,IF($S$2="2019年",'Offer Statistics'!EM72,IF($S$2="2020年",'Offer Statistics'!EM108)))</f>
        <v>273</v>
      </c>
      <c r="AG36" s="338"/>
      <c r="AH36" s="338" t="str">
        <f t="shared" si="0"/>
        <v>JS9732</v>
      </c>
    </row>
    <row r="37" spans="1:36" ht="18" customHeight="1">
      <c r="A37" s="44"/>
      <c r="B37" s="44"/>
      <c r="C37" s="44"/>
      <c r="D37" s="44"/>
      <c r="E37" s="272"/>
      <c r="F37" s="344"/>
      <c r="G37" s="344"/>
      <c r="H37" s="344"/>
      <c r="I37" s="356"/>
      <c r="J37" s="357"/>
      <c r="K37" s="344"/>
      <c r="L37" s="344"/>
      <c r="M37" s="344"/>
      <c r="N37" s="344"/>
      <c r="O37" s="344"/>
      <c r="P37" s="344"/>
      <c r="Q37" s="344"/>
      <c r="R37" s="344"/>
      <c r="AA37" s="175"/>
      <c r="AE37" s="175"/>
      <c r="AF37" s="175"/>
      <c r="AG37" s="175"/>
      <c r="AH37" s="175"/>
    </row>
    <row r="38" spans="1:36" s="360" customFormat="1" ht="18" customHeight="1">
      <c r="A38" s="187" t="s">
        <v>2205</v>
      </c>
      <c r="B38" s="187"/>
      <c r="C38" s="187"/>
      <c r="D38" s="187"/>
      <c r="E38" s="272"/>
      <c r="F38" s="35"/>
      <c r="G38" s="35"/>
      <c r="H38" s="35"/>
      <c r="I38" s="36"/>
      <c r="J38" s="37"/>
      <c r="K38" s="35"/>
      <c r="L38" s="35"/>
      <c r="M38" s="35"/>
      <c r="N38" s="35"/>
      <c r="O38" s="35"/>
      <c r="P38" s="35"/>
      <c r="Q38" s="35"/>
      <c r="R38" s="35"/>
      <c r="S38" s="44"/>
      <c r="T38" s="187"/>
      <c r="U38" s="187"/>
      <c r="V38" s="187"/>
      <c r="W38" s="187"/>
      <c r="X38" s="187"/>
      <c r="Y38" s="187"/>
      <c r="Z38" s="187"/>
      <c r="AA38" s="187"/>
      <c r="AB38" s="187"/>
      <c r="AC38" s="187"/>
      <c r="AD38" s="187"/>
      <c r="AE38" s="187"/>
      <c r="AF38" s="187"/>
      <c r="AG38" s="187"/>
      <c r="AH38" s="187"/>
    </row>
    <row r="39" spans="1:36" s="360" customFormat="1" ht="18" customHeight="1">
      <c r="A39" s="187" t="s">
        <v>1264</v>
      </c>
      <c r="B39" s="187"/>
      <c r="C39" s="187"/>
      <c r="D39" s="187"/>
      <c r="E39" s="272"/>
      <c r="F39" s="35"/>
      <c r="G39" s="35"/>
      <c r="H39" s="35"/>
      <c r="I39" s="36"/>
      <c r="J39" s="37"/>
      <c r="K39" s="35"/>
      <c r="L39" s="35"/>
      <c r="M39" s="35"/>
      <c r="N39" s="35"/>
      <c r="O39" s="35"/>
      <c r="P39" s="35"/>
      <c r="Q39" s="35"/>
      <c r="R39" s="35"/>
      <c r="S39" s="44"/>
      <c r="T39" s="187"/>
      <c r="U39" s="187"/>
      <c r="V39" s="187"/>
      <c r="W39" s="187"/>
      <c r="X39" s="187"/>
      <c r="Y39" s="187"/>
      <c r="Z39" s="187"/>
      <c r="AA39" s="187"/>
      <c r="AB39" s="187"/>
      <c r="AC39" s="187"/>
      <c r="AD39" s="187"/>
      <c r="AE39" s="187"/>
      <c r="AF39" s="187"/>
      <c r="AG39" s="187"/>
      <c r="AH39" s="187"/>
    </row>
    <row r="40" spans="1:36" s="175" customFormat="1" ht="18" customHeight="1">
      <c r="C40" s="186"/>
      <c r="E40" s="438"/>
      <c r="H40" s="438"/>
      <c r="K40" s="437"/>
      <c r="L40" s="438"/>
    </row>
    <row r="41" spans="1:36" s="187" customFormat="1" ht="18" customHeight="1">
      <c r="A41" s="187" t="s">
        <v>2352</v>
      </c>
      <c r="E41" s="272"/>
      <c r="F41" s="35"/>
      <c r="G41" s="35"/>
      <c r="H41" s="35"/>
      <c r="I41" s="35"/>
      <c r="J41" s="36"/>
      <c r="K41" s="37"/>
      <c r="L41" s="35"/>
      <c r="N41" s="35"/>
      <c r="O41" s="35"/>
      <c r="P41" s="35"/>
      <c r="Q41" s="35"/>
      <c r="R41" s="35"/>
      <c r="S41" s="35"/>
      <c r="T41" s="35"/>
      <c r="U41" s="35"/>
      <c r="V41" s="35"/>
      <c r="W41" s="35"/>
      <c r="X41" s="35"/>
      <c r="Y41" s="35"/>
      <c r="Z41" s="35"/>
      <c r="AA41" s="35"/>
      <c r="AB41" s="35"/>
      <c r="AC41" s="35"/>
      <c r="AD41" s="35"/>
      <c r="AE41" s="35"/>
      <c r="AF41" s="35"/>
      <c r="AG41" s="35"/>
      <c r="AH41" s="35"/>
      <c r="AJ41" s="35"/>
    </row>
    <row r="42" spans="1:36" s="360" customFormat="1" ht="18" customHeight="1">
      <c r="A42" s="187"/>
      <c r="B42" s="187"/>
      <c r="C42" s="187"/>
      <c r="D42" s="187"/>
      <c r="E42" s="272"/>
      <c r="F42" s="35"/>
      <c r="G42" s="35"/>
      <c r="H42" s="35"/>
      <c r="I42" s="36"/>
      <c r="J42" s="37"/>
      <c r="K42" s="35"/>
      <c r="L42" s="35"/>
      <c r="M42" s="35"/>
      <c r="N42" s="35"/>
      <c r="O42" s="35"/>
      <c r="P42" s="35"/>
      <c r="Q42" s="35"/>
      <c r="R42" s="35"/>
      <c r="S42" s="44"/>
      <c r="T42" s="187"/>
      <c r="U42" s="187"/>
      <c r="V42" s="187"/>
      <c r="W42" s="187"/>
      <c r="X42" s="187"/>
      <c r="Y42" s="187"/>
      <c r="Z42" s="187"/>
      <c r="AA42" s="187"/>
      <c r="AB42" s="187"/>
      <c r="AC42" s="187"/>
      <c r="AD42" s="187"/>
      <c r="AE42" s="187"/>
      <c r="AF42" s="187"/>
      <c r="AG42" s="187"/>
      <c r="AH42" s="187"/>
    </row>
    <row r="43" spans="1:36" s="360" customFormat="1" ht="18" customHeight="1">
      <c r="A43" s="4" t="s">
        <v>2243</v>
      </c>
      <c r="B43" s="187"/>
      <c r="C43" s="187"/>
      <c r="D43" s="187"/>
      <c r="E43" s="272"/>
      <c r="F43" s="35"/>
      <c r="G43" s="35"/>
      <c r="H43" s="35"/>
      <c r="I43" s="36"/>
      <c r="J43" s="37"/>
      <c r="K43" s="35"/>
      <c r="L43" s="35"/>
      <c r="M43" s="35"/>
      <c r="N43" s="35"/>
      <c r="O43" s="35"/>
      <c r="P43" s="35"/>
      <c r="Q43" s="35"/>
      <c r="R43" s="35"/>
      <c r="S43" s="44"/>
      <c r="T43" s="187"/>
      <c r="U43" s="187"/>
      <c r="V43" s="187"/>
      <c r="W43" s="187"/>
      <c r="X43" s="187"/>
      <c r="Y43" s="187"/>
      <c r="Z43" s="187"/>
      <c r="AA43" s="187"/>
      <c r="AB43" s="187"/>
      <c r="AC43" s="187"/>
      <c r="AD43" s="187"/>
      <c r="AE43" s="187"/>
      <c r="AF43" s="187"/>
      <c r="AG43" s="187"/>
      <c r="AH43" s="187"/>
    </row>
    <row r="44" spans="1:36" ht="18" customHeight="1">
      <c r="A44" s="175" t="s">
        <v>2286</v>
      </c>
      <c r="AA44" s="175"/>
      <c r="AE44" s="175"/>
      <c r="AF44" s="175"/>
      <c r="AG44" s="175"/>
      <c r="AH44" s="175"/>
    </row>
    <row r="45" spans="1:36" ht="18" customHeight="1">
      <c r="A45" s="175"/>
      <c r="E45" s="393"/>
      <c r="AA45" s="175"/>
      <c r="AE45" s="175"/>
      <c r="AF45" s="175"/>
      <c r="AG45" s="175"/>
      <c r="AH45" s="175"/>
    </row>
    <row r="46" spans="1:36" s="360" customFormat="1" ht="18" customHeight="1">
      <c r="A46" s="187" t="s">
        <v>1147</v>
      </c>
      <c r="B46" s="187"/>
      <c r="C46" s="187"/>
      <c r="D46" s="187"/>
      <c r="E46" s="272"/>
      <c r="F46" s="35"/>
      <c r="G46" s="35"/>
      <c r="H46" s="35"/>
      <c r="I46" s="36"/>
      <c r="J46" s="37"/>
      <c r="K46" s="35"/>
      <c r="L46" s="35"/>
      <c r="M46" s="35"/>
      <c r="N46" s="35"/>
      <c r="O46" s="35"/>
      <c r="P46" s="35"/>
      <c r="Q46" s="35"/>
      <c r="R46" s="35"/>
      <c r="S46" s="44"/>
      <c r="T46" s="187"/>
      <c r="U46" s="187"/>
      <c r="V46" s="187"/>
      <c r="W46" s="187"/>
      <c r="X46" s="187"/>
      <c r="Y46" s="187"/>
      <c r="Z46" s="187"/>
      <c r="AA46" s="187"/>
      <c r="AB46" s="187"/>
      <c r="AC46" s="187"/>
      <c r="AD46" s="187"/>
      <c r="AE46" s="187"/>
      <c r="AF46" s="187"/>
      <c r="AG46" s="187"/>
      <c r="AH46" s="187"/>
    </row>
    <row r="47" spans="1:36" s="360" customFormat="1" ht="18" customHeight="1">
      <c r="A47" s="76" t="s">
        <v>1311</v>
      </c>
      <c r="B47" s="187"/>
      <c r="C47" s="187"/>
      <c r="D47" s="187"/>
      <c r="E47" s="272"/>
      <c r="F47" s="35"/>
      <c r="G47" s="35"/>
      <c r="H47" s="35"/>
      <c r="I47" s="36"/>
      <c r="J47" s="37"/>
      <c r="K47" s="35"/>
      <c r="L47" s="35"/>
      <c r="M47" s="35"/>
      <c r="N47" s="35"/>
      <c r="O47" s="35"/>
      <c r="P47" s="35"/>
      <c r="Q47" s="35"/>
      <c r="R47" s="35"/>
      <c r="S47" s="187"/>
      <c r="T47" s="187"/>
      <c r="U47" s="187"/>
      <c r="V47" s="187"/>
      <c r="W47" s="187"/>
      <c r="X47" s="187"/>
      <c r="Y47" s="187"/>
      <c r="Z47" s="187"/>
      <c r="AA47" s="187"/>
      <c r="AB47" s="187"/>
      <c r="AC47" s="187"/>
      <c r="AD47" s="187"/>
      <c r="AE47" s="187"/>
      <c r="AF47" s="187"/>
      <c r="AG47" s="187"/>
      <c r="AH47" s="187"/>
    </row>
    <row r="48" spans="1:36" s="360" customFormat="1" ht="18" customHeight="1">
      <c r="A48" s="195" t="s">
        <v>1310</v>
      </c>
      <c r="B48" s="187"/>
      <c r="C48" s="187"/>
      <c r="D48" s="187"/>
      <c r="E48" s="272"/>
      <c r="F48" s="35"/>
      <c r="G48" s="35"/>
      <c r="H48" s="35"/>
      <c r="I48" s="36"/>
      <c r="J48" s="37"/>
      <c r="K48" s="35"/>
      <c r="L48" s="35"/>
      <c r="M48" s="35"/>
      <c r="N48" s="35"/>
      <c r="O48" s="35"/>
      <c r="P48" s="35"/>
      <c r="Q48" s="35"/>
      <c r="R48" s="35"/>
      <c r="S48" s="187"/>
      <c r="T48" s="187"/>
      <c r="U48" s="187"/>
      <c r="V48" s="187"/>
      <c r="W48" s="187"/>
      <c r="X48" s="187"/>
      <c r="Y48" s="187"/>
      <c r="Z48" s="187"/>
      <c r="AA48" s="187"/>
      <c r="AB48" s="187"/>
      <c r="AC48" s="187"/>
      <c r="AD48" s="187"/>
      <c r="AE48" s="187"/>
      <c r="AF48" s="187"/>
      <c r="AG48" s="187"/>
      <c r="AH48" s="187"/>
    </row>
    <row r="49" spans="1:34" ht="18" customHeight="1">
      <c r="A49" s="187"/>
      <c r="B49" s="187"/>
      <c r="C49" s="187"/>
      <c r="D49" s="187"/>
      <c r="E49" s="272"/>
      <c r="F49" s="344"/>
      <c r="G49" s="344"/>
      <c r="H49" s="344"/>
      <c r="I49" s="356"/>
      <c r="J49" s="357"/>
      <c r="K49" s="344"/>
      <c r="L49" s="344"/>
      <c r="M49" s="344"/>
      <c r="N49" s="344"/>
      <c r="O49" s="344"/>
      <c r="P49" s="344"/>
      <c r="Q49" s="344"/>
      <c r="R49" s="344"/>
      <c r="AA49" s="175"/>
      <c r="AE49" s="175"/>
      <c r="AF49" s="175"/>
      <c r="AG49" s="175"/>
      <c r="AH49" s="175"/>
    </row>
    <row r="50" spans="1:34" ht="15.6" hidden="1">
      <c r="A50" s="44"/>
      <c r="B50" s="44"/>
      <c r="C50" s="44"/>
      <c r="D50" s="44"/>
      <c r="E50" s="272"/>
      <c r="F50" s="344"/>
      <c r="G50" s="344"/>
      <c r="H50" s="344"/>
      <c r="I50" s="356"/>
      <c r="J50" s="357"/>
      <c r="K50" s="344"/>
      <c r="L50" s="344"/>
      <c r="M50" s="344"/>
      <c r="N50" s="344"/>
      <c r="O50" s="344"/>
      <c r="P50" s="344"/>
      <c r="Q50" s="344"/>
      <c r="R50" s="344"/>
      <c r="AA50" s="175"/>
      <c r="AE50" s="175"/>
      <c r="AF50" s="175"/>
      <c r="AG50" s="175"/>
      <c r="AH50" s="175"/>
    </row>
    <row r="51" spans="1:34" ht="15.6" hidden="1">
      <c r="A51" s="44"/>
      <c r="B51" s="44"/>
      <c r="C51" s="44"/>
      <c r="D51" s="44"/>
      <c r="E51" s="272"/>
      <c r="F51" s="344"/>
      <c r="G51" s="344"/>
      <c r="H51" s="344"/>
      <c r="I51" s="356"/>
      <c r="J51" s="357"/>
      <c r="K51" s="344"/>
      <c r="L51" s="344"/>
      <c r="M51" s="344"/>
      <c r="N51" s="344"/>
      <c r="O51" s="344"/>
      <c r="P51" s="344"/>
      <c r="Q51" s="344"/>
      <c r="R51" s="344"/>
      <c r="AA51" s="175"/>
      <c r="AE51" s="175"/>
      <c r="AF51" s="175"/>
      <c r="AG51" s="175"/>
      <c r="AH51" s="175"/>
    </row>
    <row r="52" spans="1:34" ht="15.6" hidden="1">
      <c r="AA52" s="175"/>
      <c r="AE52" s="175"/>
      <c r="AF52" s="175"/>
      <c r="AG52" s="175"/>
      <c r="AH52" s="175"/>
    </row>
    <row r="53" spans="1:34" ht="16.5" hidden="1" customHeight="1"/>
    <row r="54" spans="1:34" ht="16.5" hidden="1" customHeight="1"/>
    <row r="55" spans="1:34" ht="16.5" hidden="1" customHeight="1"/>
    <row r="56" spans="1:34" ht="16.5" hidden="1" customHeight="1"/>
    <row r="57" spans="1:34" ht="16.5" hidden="1" customHeight="1"/>
    <row r="58" spans="1:34" ht="16.5" hidden="1" customHeight="1"/>
    <row r="59" spans="1:34" ht="16.5" hidden="1" customHeight="1"/>
    <row r="60" spans="1:34" ht="16.5" hidden="1" customHeight="1"/>
    <row r="61" spans="1:34" ht="16.5" hidden="1" customHeight="1"/>
    <row r="62" spans="1:34" ht="16.5" hidden="1" customHeight="1"/>
    <row r="63" spans="1:34" ht="16.5" hidden="1" customHeight="1"/>
    <row r="64" spans="1:34" ht="16.5" hidden="1" customHeight="1"/>
    <row r="65" ht="16.5" hidden="1" customHeight="1"/>
    <row r="66" ht="16.5" hidden="1" customHeight="1"/>
    <row r="67" ht="16.5" hidden="1" customHeight="1"/>
    <row r="68" ht="16.5" hidden="1" customHeight="1"/>
    <row r="69" ht="16.5" hidden="1" customHeight="1"/>
    <row r="70" ht="16.5" hidden="1" customHeight="1"/>
    <row r="71" ht="16.5" hidden="1" customHeight="1"/>
    <row r="72" ht="16.5" hidden="1" customHeight="1"/>
    <row r="73" ht="16.5" hidden="1" customHeight="1"/>
    <row r="74" ht="16.5" hidden="1" customHeight="1"/>
    <row r="75" ht="16.5" hidden="1" customHeight="1"/>
    <row r="76" ht="16.5" hidden="1" customHeight="1"/>
    <row r="77" ht="16.5" hidden="1" customHeight="1"/>
    <row r="78" ht="16.5" hidden="1" customHeight="1"/>
    <row r="79" ht="16.5" hidden="1" customHeight="1"/>
    <row r="80" ht="16.5" hidden="1" customHeight="1"/>
    <row r="81" ht="16.5" hidden="1" customHeight="1"/>
    <row r="82" ht="16.5" hidden="1" customHeight="1"/>
    <row r="83" ht="16.5" hidden="1" customHeight="1"/>
    <row r="84" ht="16.5" hidden="1" customHeight="1"/>
    <row r="85" ht="16.5" hidden="1" customHeight="1"/>
    <row r="86" ht="16.5" hidden="1" customHeight="1"/>
    <row r="87" ht="16.5" hidden="1" customHeight="1"/>
    <row r="88" ht="16.5" hidden="1" customHeight="1"/>
    <row r="89" ht="16.5" hidden="1" customHeight="1"/>
    <row r="90" ht="16.5" hidden="1" customHeight="1"/>
    <row r="91" ht="16.5" hidden="1" customHeight="1"/>
    <row r="92" ht="16.5" hidden="1" customHeight="1"/>
    <row r="93" ht="16.5" hidden="1" customHeight="1"/>
    <row r="94" ht="16.5" hidden="1" customHeight="1"/>
    <row r="95" ht="16.5" hidden="1" customHeight="1"/>
    <row r="96" ht="16.5" hidden="1" customHeight="1"/>
    <row r="97" ht="16.5" hidden="1" customHeight="1"/>
    <row r="98" ht="16.5" hidden="1" customHeight="1"/>
    <row r="99" ht="16.5" hidden="1" customHeight="1"/>
    <row r="100" ht="16.5" hidden="1" customHeight="1"/>
    <row r="101" ht="16.5" hidden="1" customHeight="1"/>
    <row r="102" ht="16.5" hidden="1" customHeight="1"/>
    <row r="103" ht="16.5" hidden="1" customHeight="1"/>
    <row r="104" ht="16.5" hidden="1" customHeight="1"/>
    <row r="105" ht="16.5" hidden="1" customHeight="1"/>
    <row r="106" ht="16.5" hidden="1" customHeight="1"/>
    <row r="107" ht="16.5" hidden="1" customHeight="1"/>
    <row r="108" ht="16.5" hidden="1" customHeight="1"/>
    <row r="109" ht="16.5" hidden="1" customHeight="1"/>
    <row r="110" ht="16.5" hidden="1" customHeight="1"/>
    <row r="111" ht="16.5" hidden="1" customHeight="1"/>
    <row r="112" ht="15.6" hidden="1"/>
    <row r="113" ht="15.6" hidden="1"/>
    <row r="114" ht="16.5" hidden="1" customHeight="1"/>
    <row r="115" ht="16.5" hidden="1" customHeight="1"/>
    <row r="116" ht="16.5" hidden="1" customHeight="1"/>
    <row r="117" ht="16.5" hidden="1" customHeight="1"/>
    <row r="118" ht="16.5" hidden="1" customHeight="1"/>
    <row r="119" ht="16.5" hidden="1" customHeight="1"/>
    <row r="120" ht="16.5" hidden="1" customHeight="1"/>
    <row r="121" ht="16.5" hidden="1" customHeight="1"/>
    <row r="122" ht="16.5" hidden="1" customHeight="1"/>
    <row r="123" ht="16.5" hidden="1" customHeight="1"/>
    <row r="124" ht="16.5" hidden="1" customHeight="1"/>
    <row r="125" ht="16.5" hidden="1" customHeight="1"/>
    <row r="126" ht="16.5" hidden="1" customHeight="1"/>
    <row r="127" ht="16.5" hidden="1" customHeight="1"/>
  </sheetData>
  <mergeCells count="3">
    <mergeCell ref="I1:J1"/>
    <mergeCell ref="S2:S36"/>
    <mergeCell ref="Z2:Z36"/>
  </mergeCells>
  <phoneticPr fontId="2" type="noConversion"/>
  <conditionalFormatting sqref="I25:J36 I2:J23">
    <cfRule type="cellIs" dxfId="177" priority="76" operator="equal">
      <formula>"/"</formula>
    </cfRule>
    <cfRule type="cellIs" dxfId="176" priority="78" operator="lessThan">
      <formula>0</formula>
    </cfRule>
    <cfRule type="cellIs" dxfId="175" priority="79" operator="greaterThan">
      <formula>0</formula>
    </cfRule>
  </conditionalFormatting>
  <conditionalFormatting sqref="F2:F23 F25:F36">
    <cfRule type="expression" dxfId="174" priority="75">
      <formula>$I$1="差距(Median)"</formula>
    </cfRule>
  </conditionalFormatting>
  <conditionalFormatting sqref="G25:G36 G2:G23">
    <cfRule type="expression" dxfId="173" priority="73">
      <formula>$I$1="差距(LQ)"</formula>
    </cfRule>
  </conditionalFormatting>
  <conditionalFormatting sqref="L2:L36">
    <cfRule type="cellIs" dxfId="172" priority="70" operator="equal">
      <formula>2</formula>
    </cfRule>
    <cfRule type="cellIs" dxfId="171" priority="71" operator="equal">
      <formula>1</formula>
    </cfRule>
    <cfRule type="cellIs" dxfId="170" priority="72" operator="equal">
      <formula>0</formula>
    </cfRule>
  </conditionalFormatting>
  <conditionalFormatting sqref="F24">
    <cfRule type="expression" dxfId="169" priority="26">
      <formula>$I$1="差距(Median)"</formula>
    </cfRule>
  </conditionalFormatting>
  <conditionalFormatting sqref="G24">
    <cfRule type="expression" dxfId="168" priority="25">
      <formula>$I$1="差距(LQ)"</formula>
    </cfRule>
  </conditionalFormatting>
  <conditionalFormatting sqref="I24:J24">
    <cfRule type="cellIs" dxfId="167" priority="19" operator="equal">
      <formula>"/"</formula>
    </cfRule>
    <cfRule type="cellIs" dxfId="166" priority="23" operator="lessThan">
      <formula>0</formula>
    </cfRule>
    <cfRule type="cellIs" dxfId="165" priority="24" operator="greaterThan">
      <formula>0</formula>
    </cfRule>
  </conditionalFormatting>
  <conditionalFormatting sqref="A2:M36 S2:AH36">
    <cfRule type="expression" dxfId="164" priority="1212">
      <formula>MOD(ROW(),2)=0</formula>
    </cfRule>
  </conditionalFormatting>
  <conditionalFormatting sqref="S2">
    <cfRule type="expression" dxfId="163" priority="6">
      <formula>MOD(ROW(),2)=0</formula>
    </cfRule>
  </conditionalFormatting>
  <conditionalFormatting sqref="S2 Z2 AG2:AG36">
    <cfRule type="expression" dxfId="162" priority="5">
      <formula>TRUE</formula>
    </cfRule>
  </conditionalFormatting>
  <hyperlinks>
    <hyperlink ref="A48" r:id="rId1" xr:uid="{00000000-0004-0000-0F00-000000000000}"/>
    <hyperlink ref="A47" r:id="rId2" xr:uid="{00000000-0004-0000-0F00-000001000000}"/>
  </hyperlinks>
  <pageMargins left="0.7" right="0.7" top="0.75" bottom="0.75" header="0.3" footer="0.3"/>
  <legacyDrawing r:id="rId3"/>
  <extLst>
    <ext xmlns:x14="http://schemas.microsoft.com/office/spreadsheetml/2009/9/main" uri="{78C0D931-6437-407d-A8EE-F0AAD7539E65}">
      <x14:conditionalFormattings>
        <x14:conditionalFormatting xmlns:xm="http://schemas.microsoft.com/office/excel/2006/main">
          <x14:cfRule type="expression" priority="1" id="{6BD1C9A1-1339-4491-AE20-2BEF8BA8F63F}">
            <xm:f>入學要求!L326=0</xm:f>
            <x14:dxf>
              <font>
                <color rgb="FF9C0006"/>
              </font>
              <fill>
                <patternFill>
                  <bgColor rgb="FFFFC7CE"/>
                </patternFill>
              </fill>
            </x14:dxf>
          </x14:cfRule>
          <x14:cfRule type="expression" priority="2" id="{D4D083F8-DFAF-466C-A570-1284BA9E116D}">
            <xm:f>入學要求!L326=2</xm:f>
            <x14:dxf>
              <font>
                <color rgb="FF9C5700"/>
              </font>
              <fill>
                <patternFill>
                  <bgColor rgb="FFFFEB9C"/>
                </patternFill>
              </fill>
            </x14:dxf>
          </x14:cfRule>
          <x14:cfRule type="expression" priority="3" id="{6ACB1930-D99F-4C1E-8F71-8206FF132CAA}">
            <xm:f>入學要求!L326=1</xm:f>
            <x14:dxf>
              <font>
                <color rgb="FF006100"/>
              </font>
              <fill>
                <patternFill>
                  <bgColor rgb="FFC6EFCE"/>
                </patternFill>
              </fill>
            </x14:dxf>
          </x14:cfRule>
          <xm:sqref>N2:R36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0000000}">
          <x14:formula1>
            <xm:f>選單!$J$2:$J$3</xm:f>
          </x14:formula1>
          <xm:sqref>I1:J1</xm:sqref>
        </x14:dataValidation>
        <x14:dataValidation type="list" allowBlank="1" showInputMessage="1" showErrorMessage="1" xr:uid="{00000000-0002-0000-0F00-000001000000}">
          <x14:formula1>
            <xm:f>選單!$I$1:$I$3</xm:f>
          </x14:formula1>
          <xm:sqref>S2</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工作表18"/>
  <dimension ref="A1:L432"/>
  <sheetViews>
    <sheetView topLeftCell="A64" workbookViewId="0">
      <selection activeCell="D84" sqref="D84"/>
    </sheetView>
  </sheetViews>
  <sheetFormatPr defaultColWidth="9" defaultRowHeight="16.2"/>
  <cols>
    <col min="1" max="16384" width="9" style="254"/>
  </cols>
  <sheetData>
    <row r="1" spans="1:7">
      <c r="A1" s="253" t="s">
        <v>1403</v>
      </c>
      <c r="B1" s="253" t="s">
        <v>629</v>
      </c>
      <c r="C1" s="253" t="s">
        <v>1366</v>
      </c>
      <c r="D1" s="253" t="s">
        <v>1404</v>
      </c>
      <c r="E1" s="253" t="s">
        <v>631</v>
      </c>
      <c r="F1" s="253" t="s">
        <v>630</v>
      </c>
      <c r="G1" s="253"/>
    </row>
    <row r="2" spans="1:7">
      <c r="A2" s="253" t="s">
        <v>1403</v>
      </c>
      <c r="B2" s="253" t="s">
        <v>632</v>
      </c>
      <c r="C2" s="253" t="s">
        <v>1366</v>
      </c>
      <c r="D2" s="253" t="s">
        <v>1405</v>
      </c>
      <c r="E2" s="253" t="s">
        <v>634</v>
      </c>
      <c r="F2" s="253" t="s">
        <v>633</v>
      </c>
      <c r="G2" s="253"/>
    </row>
    <row r="3" spans="1:7">
      <c r="A3" s="253" t="s">
        <v>1403</v>
      </c>
      <c r="B3" s="253" t="s">
        <v>635</v>
      </c>
      <c r="C3" s="253" t="s">
        <v>1366</v>
      </c>
      <c r="D3" s="253" t="s">
        <v>1406</v>
      </c>
      <c r="E3" s="253" t="s">
        <v>637</v>
      </c>
      <c r="F3" s="253" t="s">
        <v>636</v>
      </c>
      <c r="G3" s="253"/>
    </row>
    <row r="4" spans="1:7">
      <c r="A4" s="253" t="s">
        <v>1403</v>
      </c>
      <c r="B4" s="253" t="s">
        <v>638</v>
      </c>
      <c r="C4" s="253" t="s">
        <v>1366</v>
      </c>
      <c r="D4" s="253" t="s">
        <v>1407</v>
      </c>
      <c r="E4" s="253" t="s">
        <v>640</v>
      </c>
      <c r="F4" s="253" t="s">
        <v>639</v>
      </c>
      <c r="G4" s="253"/>
    </row>
    <row r="5" spans="1:7">
      <c r="A5" s="253" t="s">
        <v>1403</v>
      </c>
      <c r="B5" s="253" t="s">
        <v>641</v>
      </c>
      <c r="C5" s="253" t="s">
        <v>1366</v>
      </c>
      <c r="D5" s="253" t="s">
        <v>1408</v>
      </c>
      <c r="E5" s="253" t="s">
        <v>643</v>
      </c>
      <c r="F5" s="253" t="s">
        <v>642</v>
      </c>
      <c r="G5" s="253"/>
    </row>
    <row r="6" spans="1:7">
      <c r="A6" s="253" t="s">
        <v>1403</v>
      </c>
      <c r="B6" s="253" t="s">
        <v>644</v>
      </c>
      <c r="C6" s="253" t="s">
        <v>1366</v>
      </c>
      <c r="D6" s="253" t="s">
        <v>1409</v>
      </c>
      <c r="E6" s="253" t="s">
        <v>1455</v>
      </c>
      <c r="F6" s="253" t="s">
        <v>645</v>
      </c>
      <c r="G6" s="253"/>
    </row>
    <row r="7" spans="1:7">
      <c r="A7" s="253" t="s">
        <v>1403</v>
      </c>
      <c r="B7" s="253" t="s">
        <v>646</v>
      </c>
      <c r="C7" s="253" t="s">
        <v>1366</v>
      </c>
      <c r="D7" s="253" t="s">
        <v>1410</v>
      </c>
      <c r="E7" s="253" t="s">
        <v>1456</v>
      </c>
      <c r="F7" s="253" t="s">
        <v>647</v>
      </c>
      <c r="G7" s="253"/>
    </row>
    <row r="8" spans="1:7">
      <c r="A8" s="253" t="s">
        <v>1403</v>
      </c>
      <c r="B8" s="253" t="s">
        <v>648</v>
      </c>
      <c r="C8" s="253" t="s">
        <v>1366</v>
      </c>
      <c r="D8" s="253" t="s">
        <v>1411</v>
      </c>
      <c r="E8" s="253" t="s">
        <v>1457</v>
      </c>
      <c r="F8" s="253" t="s">
        <v>649</v>
      </c>
      <c r="G8" s="253"/>
    </row>
    <row r="9" spans="1:7">
      <c r="A9" s="253" t="s">
        <v>1403</v>
      </c>
      <c r="B9" s="253" t="s">
        <v>650</v>
      </c>
      <c r="C9" s="253" t="s">
        <v>1366</v>
      </c>
      <c r="D9" s="253" t="s">
        <v>1381</v>
      </c>
      <c r="E9" s="253" t="s">
        <v>1458</v>
      </c>
      <c r="F9" s="253" t="s">
        <v>651</v>
      </c>
      <c r="G9" s="253"/>
    </row>
    <row r="10" spans="1:7">
      <c r="A10" s="253" t="s">
        <v>1403</v>
      </c>
      <c r="B10" s="253" t="s">
        <v>652</v>
      </c>
      <c r="C10" s="253" t="s">
        <v>1366</v>
      </c>
      <c r="D10" s="253" t="s">
        <v>1412</v>
      </c>
      <c r="E10" s="253" t="s">
        <v>1459</v>
      </c>
      <c r="F10" s="253" t="s">
        <v>653</v>
      </c>
      <c r="G10" s="253"/>
    </row>
    <row r="11" spans="1:7">
      <c r="A11" s="253" t="s">
        <v>1403</v>
      </c>
      <c r="B11" s="253" t="s">
        <v>654</v>
      </c>
      <c r="C11" s="253" t="s">
        <v>1366</v>
      </c>
      <c r="D11" s="253" t="s">
        <v>1413</v>
      </c>
      <c r="E11" s="253" t="s">
        <v>1460</v>
      </c>
      <c r="F11" s="253" t="s">
        <v>655</v>
      </c>
      <c r="G11" s="253"/>
    </row>
    <row r="12" spans="1:7">
      <c r="A12" s="253" t="s">
        <v>1403</v>
      </c>
      <c r="B12" s="253" t="s">
        <v>656</v>
      </c>
      <c r="C12" s="253" t="s">
        <v>1366</v>
      </c>
      <c r="D12" s="253" t="s">
        <v>1414</v>
      </c>
      <c r="E12" s="253" t="s">
        <v>1461</v>
      </c>
      <c r="F12" s="253" t="s">
        <v>657</v>
      </c>
      <c r="G12" s="253"/>
    </row>
    <row r="13" spans="1:7">
      <c r="A13" s="253" t="s">
        <v>1403</v>
      </c>
      <c r="B13" s="253" t="s">
        <v>658</v>
      </c>
      <c r="C13" s="253" t="s">
        <v>1366</v>
      </c>
      <c r="D13" s="253" t="s">
        <v>1415</v>
      </c>
      <c r="E13" s="253" t="s">
        <v>1462</v>
      </c>
      <c r="F13" s="253" t="s">
        <v>659</v>
      </c>
      <c r="G13" s="253"/>
    </row>
    <row r="14" spans="1:7">
      <c r="A14" s="253" t="s">
        <v>1403</v>
      </c>
      <c r="B14" s="253" t="s">
        <v>660</v>
      </c>
      <c r="C14" s="253" t="s">
        <v>1366</v>
      </c>
      <c r="D14" s="253" t="s">
        <v>1416</v>
      </c>
      <c r="E14" s="253" t="s">
        <v>1463</v>
      </c>
      <c r="F14" s="253" t="s">
        <v>661</v>
      </c>
      <c r="G14" s="253"/>
    </row>
    <row r="15" spans="1:7">
      <c r="A15" s="253" t="s">
        <v>1403</v>
      </c>
      <c r="B15" s="253" t="s">
        <v>662</v>
      </c>
      <c r="C15" s="253" t="s">
        <v>1366</v>
      </c>
      <c r="D15" s="253" t="s">
        <v>1417</v>
      </c>
      <c r="E15" s="253" t="s">
        <v>664</v>
      </c>
      <c r="F15" s="253" t="s">
        <v>663</v>
      </c>
      <c r="G15" s="253"/>
    </row>
    <row r="16" spans="1:7">
      <c r="A16" s="253" t="s">
        <v>1403</v>
      </c>
      <c r="B16" s="253" t="s">
        <v>665</v>
      </c>
      <c r="C16" s="253" t="s">
        <v>1366</v>
      </c>
      <c r="D16" s="253" t="s">
        <v>1418</v>
      </c>
      <c r="E16" s="253" t="s">
        <v>667</v>
      </c>
      <c r="F16" s="253" t="s">
        <v>666</v>
      </c>
      <c r="G16" s="253"/>
    </row>
    <row r="17" spans="1:7">
      <c r="A17" s="253" t="s">
        <v>1403</v>
      </c>
      <c r="B17" s="253" t="s">
        <v>668</v>
      </c>
      <c r="C17" s="253" t="s">
        <v>1366</v>
      </c>
      <c r="D17" s="253" t="s">
        <v>1419</v>
      </c>
      <c r="E17" s="253" t="s">
        <v>670</v>
      </c>
      <c r="F17" s="253" t="s">
        <v>669</v>
      </c>
      <c r="G17" s="253"/>
    </row>
    <row r="18" spans="1:7">
      <c r="A18" s="253" t="s">
        <v>1403</v>
      </c>
      <c r="B18" s="253" t="s">
        <v>671</v>
      </c>
      <c r="C18" s="253" t="s">
        <v>1366</v>
      </c>
      <c r="D18" s="253" t="s">
        <v>1420</v>
      </c>
      <c r="E18" s="253" t="s">
        <v>673</v>
      </c>
      <c r="F18" s="253" t="s">
        <v>672</v>
      </c>
      <c r="G18" s="253"/>
    </row>
    <row r="19" spans="1:7">
      <c r="A19" s="253" t="s">
        <v>1403</v>
      </c>
      <c r="B19" s="253" t="s">
        <v>674</v>
      </c>
      <c r="C19" s="253" t="s">
        <v>1366</v>
      </c>
      <c r="D19" s="253" t="s">
        <v>1421</v>
      </c>
      <c r="E19" s="253" t="s">
        <v>676</v>
      </c>
      <c r="F19" s="253" t="s">
        <v>675</v>
      </c>
      <c r="G19" s="253"/>
    </row>
    <row r="20" spans="1:7">
      <c r="A20" s="253" t="s">
        <v>1403</v>
      </c>
      <c r="B20" s="253" t="s">
        <v>677</v>
      </c>
      <c r="C20" s="253" t="s">
        <v>1366</v>
      </c>
      <c r="D20" s="253" t="s">
        <v>1422</v>
      </c>
      <c r="E20" s="253" t="s">
        <v>302</v>
      </c>
      <c r="F20" s="253" t="s">
        <v>678</v>
      </c>
      <c r="G20" s="253"/>
    </row>
    <row r="21" spans="1:7">
      <c r="A21" s="253" t="s">
        <v>1403</v>
      </c>
      <c r="B21" s="253" t="s">
        <v>679</v>
      </c>
      <c r="C21" s="253" t="s">
        <v>1366</v>
      </c>
      <c r="D21" s="253" t="s">
        <v>1423</v>
      </c>
      <c r="E21" s="253" t="s">
        <v>681</v>
      </c>
      <c r="F21" s="253" t="s">
        <v>680</v>
      </c>
      <c r="G21" s="253"/>
    </row>
    <row r="22" spans="1:7">
      <c r="A22" s="253" t="s">
        <v>1403</v>
      </c>
      <c r="B22" s="253" t="s">
        <v>682</v>
      </c>
      <c r="C22" s="253" t="s">
        <v>1366</v>
      </c>
      <c r="D22" s="253" t="s">
        <v>1424</v>
      </c>
      <c r="E22" s="253" t="s">
        <v>684</v>
      </c>
      <c r="F22" s="253" t="s">
        <v>683</v>
      </c>
      <c r="G22" s="253"/>
    </row>
    <row r="23" spans="1:7">
      <c r="A23" s="253" t="s">
        <v>1403</v>
      </c>
      <c r="B23" s="253" t="s">
        <v>685</v>
      </c>
      <c r="C23" s="253" t="s">
        <v>1366</v>
      </c>
      <c r="D23" s="253" t="s">
        <v>1425</v>
      </c>
      <c r="E23" s="253" t="s">
        <v>687</v>
      </c>
      <c r="F23" s="253" t="s">
        <v>686</v>
      </c>
      <c r="G23" s="253"/>
    </row>
    <row r="24" spans="1:7">
      <c r="A24" s="253" t="s">
        <v>1403</v>
      </c>
      <c r="B24" s="253" t="s">
        <v>688</v>
      </c>
      <c r="C24" s="253" t="s">
        <v>1366</v>
      </c>
      <c r="D24" s="253" t="s">
        <v>1426</v>
      </c>
      <c r="E24" s="253" t="s">
        <v>690</v>
      </c>
      <c r="F24" s="253" t="s">
        <v>689</v>
      </c>
      <c r="G24" s="253"/>
    </row>
    <row r="25" spans="1:7">
      <c r="A25" s="253" t="s">
        <v>1403</v>
      </c>
      <c r="B25" s="253" t="s">
        <v>691</v>
      </c>
      <c r="C25" s="253" t="s">
        <v>1366</v>
      </c>
      <c r="D25" s="253" t="s">
        <v>1427</v>
      </c>
      <c r="E25" s="253" t="s">
        <v>693</v>
      </c>
      <c r="F25" s="253" t="s">
        <v>692</v>
      </c>
      <c r="G25" s="253"/>
    </row>
    <row r="26" spans="1:7">
      <c r="A26" s="253" t="s">
        <v>1403</v>
      </c>
      <c r="B26" s="253" t="s">
        <v>694</v>
      </c>
      <c r="C26" s="253" t="s">
        <v>1366</v>
      </c>
      <c r="D26" s="253" t="s">
        <v>1428</v>
      </c>
      <c r="E26" s="253" t="s">
        <v>696</v>
      </c>
      <c r="F26" s="253" t="s">
        <v>695</v>
      </c>
      <c r="G26" s="253"/>
    </row>
    <row r="27" spans="1:7">
      <c r="A27" s="253" t="s">
        <v>1403</v>
      </c>
      <c r="B27" s="253" t="s">
        <v>697</v>
      </c>
      <c r="C27" s="253" t="s">
        <v>1366</v>
      </c>
      <c r="D27" s="253" t="s">
        <v>1429</v>
      </c>
      <c r="E27" s="253" t="s">
        <v>699</v>
      </c>
      <c r="F27" s="253" t="s">
        <v>698</v>
      </c>
      <c r="G27" s="253"/>
    </row>
    <row r="28" spans="1:7">
      <c r="A28" s="253" t="s">
        <v>1403</v>
      </c>
      <c r="B28" s="253" t="s">
        <v>700</v>
      </c>
      <c r="C28" s="253" t="s">
        <v>1366</v>
      </c>
      <c r="D28" s="253" t="s">
        <v>1430</v>
      </c>
      <c r="E28" s="253" t="s">
        <v>702</v>
      </c>
      <c r="F28" s="253" t="s">
        <v>701</v>
      </c>
      <c r="G28" s="253"/>
    </row>
    <row r="29" spans="1:7">
      <c r="A29" s="253" t="s">
        <v>1403</v>
      </c>
      <c r="B29" s="253" t="s">
        <v>703</v>
      </c>
      <c r="C29" s="253" t="s">
        <v>1366</v>
      </c>
      <c r="D29" s="253" t="s">
        <v>1431</v>
      </c>
      <c r="E29" s="253" t="s">
        <v>705</v>
      </c>
      <c r="F29" s="253" t="s">
        <v>704</v>
      </c>
      <c r="G29" s="253"/>
    </row>
    <row r="30" spans="1:7">
      <c r="A30" s="253" t="s">
        <v>1403</v>
      </c>
      <c r="B30" s="253" t="s">
        <v>706</v>
      </c>
      <c r="C30" s="253" t="s">
        <v>1366</v>
      </c>
      <c r="D30" s="253" t="s">
        <v>1432</v>
      </c>
      <c r="E30" s="253" t="s">
        <v>708</v>
      </c>
      <c r="F30" s="253" t="s">
        <v>707</v>
      </c>
      <c r="G30" s="253"/>
    </row>
    <row r="31" spans="1:7">
      <c r="A31" s="253" t="s">
        <v>1403</v>
      </c>
      <c r="B31" s="253" t="s">
        <v>709</v>
      </c>
      <c r="C31" s="253" t="s">
        <v>1366</v>
      </c>
      <c r="D31" s="253" t="s">
        <v>1433</v>
      </c>
      <c r="E31" s="253" t="s">
        <v>711</v>
      </c>
      <c r="F31" s="253" t="s">
        <v>710</v>
      </c>
      <c r="G31" s="253"/>
    </row>
    <row r="32" spans="1:7">
      <c r="A32" s="253" t="s">
        <v>1403</v>
      </c>
      <c r="B32" s="253" t="s">
        <v>712</v>
      </c>
      <c r="C32" s="253" t="s">
        <v>1366</v>
      </c>
      <c r="D32" s="253" t="s">
        <v>1434</v>
      </c>
      <c r="E32" s="253" t="s">
        <v>714</v>
      </c>
      <c r="F32" s="253" t="s">
        <v>713</v>
      </c>
      <c r="G32" s="253"/>
    </row>
    <row r="33" spans="1:7">
      <c r="A33" s="253" t="s">
        <v>1403</v>
      </c>
      <c r="B33" s="253" t="s">
        <v>715</v>
      </c>
      <c r="C33" s="253" t="s">
        <v>1366</v>
      </c>
      <c r="D33" s="253" t="s">
        <v>1435</v>
      </c>
      <c r="E33" s="253" t="s">
        <v>717</v>
      </c>
      <c r="F33" s="253" t="s">
        <v>716</v>
      </c>
      <c r="G33" s="253"/>
    </row>
    <row r="34" spans="1:7">
      <c r="A34" s="253" t="s">
        <v>1403</v>
      </c>
      <c r="B34" s="253" t="s">
        <v>718</v>
      </c>
      <c r="C34" s="253" t="s">
        <v>1366</v>
      </c>
      <c r="D34" s="253" t="s">
        <v>1436</v>
      </c>
      <c r="E34" s="253" t="s">
        <v>720</v>
      </c>
      <c r="F34" s="253" t="s">
        <v>719</v>
      </c>
      <c r="G34" s="253"/>
    </row>
    <row r="35" spans="1:7">
      <c r="A35" s="253" t="s">
        <v>1403</v>
      </c>
      <c r="B35" s="253" t="s">
        <v>721</v>
      </c>
      <c r="C35" s="253" t="s">
        <v>1366</v>
      </c>
      <c r="D35" s="253" t="s">
        <v>1437</v>
      </c>
      <c r="E35" s="253" t="s">
        <v>723</v>
      </c>
      <c r="F35" s="253" t="s">
        <v>722</v>
      </c>
      <c r="G35" s="253"/>
    </row>
    <row r="36" spans="1:7">
      <c r="A36" s="253" t="s">
        <v>1403</v>
      </c>
      <c r="B36" s="253" t="s">
        <v>1269</v>
      </c>
      <c r="C36" s="253" t="s">
        <v>1366</v>
      </c>
      <c r="D36" s="253" t="s">
        <v>1438</v>
      </c>
      <c r="E36" s="253" t="s">
        <v>1268</v>
      </c>
      <c r="F36" s="253" t="s">
        <v>1267</v>
      </c>
      <c r="G36" s="253"/>
    </row>
    <row r="37" spans="1:7">
      <c r="A37" s="253" t="s">
        <v>1403</v>
      </c>
      <c r="B37" s="253" t="s">
        <v>1266</v>
      </c>
      <c r="C37" s="253" t="s">
        <v>1366</v>
      </c>
      <c r="D37" s="253" t="s">
        <v>1439</v>
      </c>
      <c r="E37" s="253" t="s">
        <v>746</v>
      </c>
      <c r="F37" s="253" t="s">
        <v>745</v>
      </c>
      <c r="G37" s="253"/>
    </row>
    <row r="38" spans="1:7">
      <c r="A38" s="253" t="s">
        <v>1403</v>
      </c>
      <c r="B38" s="253" t="s">
        <v>724</v>
      </c>
      <c r="C38" s="253" t="s">
        <v>1366</v>
      </c>
      <c r="D38" s="253" t="s">
        <v>1440</v>
      </c>
      <c r="E38" s="253" t="s">
        <v>726</v>
      </c>
      <c r="F38" s="253" t="s">
        <v>725</v>
      </c>
      <c r="G38" s="253"/>
    </row>
    <row r="39" spans="1:7">
      <c r="A39" s="253" t="s">
        <v>1403</v>
      </c>
      <c r="B39" s="253" t="s">
        <v>727</v>
      </c>
      <c r="C39" s="253" t="s">
        <v>1366</v>
      </c>
      <c r="D39" s="253" t="s">
        <v>1441</v>
      </c>
      <c r="E39" s="253" t="s">
        <v>729</v>
      </c>
      <c r="F39" s="253" t="s">
        <v>728</v>
      </c>
      <c r="G39" s="253"/>
    </row>
    <row r="40" spans="1:7">
      <c r="A40" s="253" t="s">
        <v>1403</v>
      </c>
      <c r="B40" s="253" t="s">
        <v>730</v>
      </c>
      <c r="C40" s="253" t="s">
        <v>1366</v>
      </c>
      <c r="D40" s="253" t="s">
        <v>1442</v>
      </c>
      <c r="E40" s="253" t="s">
        <v>732</v>
      </c>
      <c r="F40" s="253" t="s">
        <v>731</v>
      </c>
      <c r="G40" s="253"/>
    </row>
    <row r="41" spans="1:7">
      <c r="A41" s="253" t="s">
        <v>1403</v>
      </c>
      <c r="B41" s="253" t="s">
        <v>733</v>
      </c>
      <c r="C41" s="253" t="s">
        <v>1366</v>
      </c>
      <c r="D41" s="253" t="s">
        <v>1419</v>
      </c>
      <c r="E41" s="253" t="s">
        <v>735</v>
      </c>
      <c r="F41" s="253" t="s">
        <v>734</v>
      </c>
      <c r="G41" s="253"/>
    </row>
    <row r="42" spans="1:7">
      <c r="A42" s="253" t="s">
        <v>1403</v>
      </c>
      <c r="B42" s="253" t="s">
        <v>736</v>
      </c>
      <c r="C42" s="253" t="s">
        <v>1366</v>
      </c>
      <c r="D42" s="253" t="s">
        <v>1443</v>
      </c>
      <c r="E42" s="253" t="s">
        <v>738</v>
      </c>
      <c r="F42" s="253" t="s">
        <v>737</v>
      </c>
      <c r="G42" s="253"/>
    </row>
    <row r="43" spans="1:7">
      <c r="A43" s="253" t="s">
        <v>1403</v>
      </c>
      <c r="B43" s="253" t="s">
        <v>739</v>
      </c>
      <c r="C43" s="253" t="s">
        <v>1366</v>
      </c>
      <c r="D43" s="253" t="s">
        <v>1444</v>
      </c>
      <c r="E43" s="253" t="s">
        <v>1445</v>
      </c>
      <c r="F43" s="253" t="s">
        <v>1446</v>
      </c>
      <c r="G43" s="253"/>
    </row>
    <row r="44" spans="1:7">
      <c r="A44" s="253" t="s">
        <v>1403</v>
      </c>
      <c r="B44" s="253" t="s">
        <v>740</v>
      </c>
      <c r="C44" s="253" t="s">
        <v>1366</v>
      </c>
      <c r="D44" s="253" t="s">
        <v>1447</v>
      </c>
      <c r="E44" s="253" t="s">
        <v>742</v>
      </c>
      <c r="F44" s="253" t="s">
        <v>741</v>
      </c>
      <c r="G44" s="253"/>
    </row>
    <row r="45" spans="1:7">
      <c r="A45" s="253" t="s">
        <v>1403</v>
      </c>
      <c r="B45" s="253" t="s">
        <v>743</v>
      </c>
      <c r="C45" s="253" t="s">
        <v>1366</v>
      </c>
      <c r="D45" s="253" t="s">
        <v>1448</v>
      </c>
      <c r="E45" s="253" t="s">
        <v>1449</v>
      </c>
      <c r="F45" s="253" t="s">
        <v>744</v>
      </c>
      <c r="G45" s="253"/>
    </row>
    <row r="46" spans="1:7">
      <c r="A46" s="253" t="s">
        <v>1403</v>
      </c>
      <c r="B46" s="253" t="s">
        <v>747</v>
      </c>
      <c r="C46" s="253" t="s">
        <v>1366</v>
      </c>
      <c r="D46" s="253" t="s">
        <v>1450</v>
      </c>
      <c r="E46" s="253" t="s">
        <v>1451</v>
      </c>
      <c r="F46" s="253" t="s">
        <v>748</v>
      </c>
      <c r="G46" s="253"/>
    </row>
    <row r="47" spans="1:7">
      <c r="A47" s="253" t="s">
        <v>1403</v>
      </c>
      <c r="B47" s="253" t="s">
        <v>749</v>
      </c>
      <c r="C47" s="253" t="s">
        <v>1366</v>
      </c>
      <c r="D47" s="253" t="s">
        <v>1452</v>
      </c>
      <c r="E47" s="253" t="s">
        <v>751</v>
      </c>
      <c r="F47" s="253" t="s">
        <v>750</v>
      </c>
      <c r="G47" s="253"/>
    </row>
    <row r="48" spans="1:7">
      <c r="A48" s="253" t="s">
        <v>1403</v>
      </c>
      <c r="B48" s="253" t="s">
        <v>752</v>
      </c>
      <c r="C48" s="253" t="s">
        <v>1366</v>
      </c>
      <c r="D48" s="253" t="s">
        <v>1453</v>
      </c>
      <c r="E48" s="253" t="s">
        <v>754</v>
      </c>
      <c r="F48" s="253" t="s">
        <v>753</v>
      </c>
      <c r="G48" s="253"/>
    </row>
    <row r="49" spans="1:7">
      <c r="A49" s="253" t="s">
        <v>1403</v>
      </c>
      <c r="B49" s="253" t="s">
        <v>755</v>
      </c>
      <c r="C49" s="253" t="s">
        <v>1366</v>
      </c>
      <c r="D49" s="253" t="s">
        <v>1454</v>
      </c>
      <c r="E49" s="253" t="s">
        <v>757</v>
      </c>
      <c r="F49" s="253" t="s">
        <v>756</v>
      </c>
      <c r="G49" s="253"/>
    </row>
    <row r="51" spans="1:7">
      <c r="A51" s="253" t="s">
        <v>975</v>
      </c>
      <c r="B51" s="253" t="s">
        <v>893</v>
      </c>
      <c r="C51" s="253" t="s">
        <v>1366</v>
      </c>
      <c r="D51" s="253" t="s">
        <v>1515</v>
      </c>
      <c r="E51" s="253" t="s">
        <v>921</v>
      </c>
      <c r="F51" s="253" t="s">
        <v>215</v>
      </c>
    </row>
    <row r="52" spans="1:7">
      <c r="A52" s="253" t="s">
        <v>975</v>
      </c>
      <c r="B52" s="253" t="s">
        <v>894</v>
      </c>
      <c r="C52" s="253" t="s">
        <v>1366</v>
      </c>
      <c r="D52" s="253" t="s">
        <v>1516</v>
      </c>
      <c r="E52" s="253" t="s">
        <v>923</v>
      </c>
      <c r="F52" s="253" t="s">
        <v>922</v>
      </c>
    </row>
    <row r="53" spans="1:7">
      <c r="A53" s="253" t="s">
        <v>975</v>
      </c>
      <c r="B53" s="253" t="s">
        <v>895</v>
      </c>
      <c r="C53" s="253" t="s">
        <v>1366</v>
      </c>
      <c r="D53" s="253" t="s">
        <v>1517</v>
      </c>
      <c r="E53" s="253" t="s">
        <v>925</v>
      </c>
      <c r="F53" s="253" t="s">
        <v>924</v>
      </c>
    </row>
    <row r="54" spans="1:7">
      <c r="A54" s="253" t="s">
        <v>975</v>
      </c>
      <c r="B54" s="253" t="s">
        <v>896</v>
      </c>
      <c r="C54" s="253" t="s">
        <v>1366</v>
      </c>
      <c r="D54" s="253" t="s">
        <v>1518</v>
      </c>
      <c r="E54" s="253" t="s">
        <v>927</v>
      </c>
      <c r="F54" s="253" t="s">
        <v>926</v>
      </c>
    </row>
    <row r="55" spans="1:7">
      <c r="A55" s="253" t="s">
        <v>975</v>
      </c>
      <c r="B55" s="253" t="s">
        <v>897</v>
      </c>
      <c r="C55" s="253" t="s">
        <v>1366</v>
      </c>
      <c r="D55" s="253" t="s">
        <v>1519</v>
      </c>
      <c r="E55" s="253" t="s">
        <v>929</v>
      </c>
      <c r="F55" s="253" t="s">
        <v>928</v>
      </c>
    </row>
    <row r="56" spans="1:7">
      <c r="A56" s="253" t="s">
        <v>975</v>
      </c>
      <c r="B56" s="253" t="s">
        <v>898</v>
      </c>
      <c r="C56" s="253" t="s">
        <v>1366</v>
      </c>
      <c r="D56" s="253" t="s">
        <v>1520</v>
      </c>
      <c r="E56" s="253" t="s">
        <v>931</v>
      </c>
      <c r="F56" s="253" t="s">
        <v>930</v>
      </c>
    </row>
    <row r="57" spans="1:7">
      <c r="A57" s="253" t="s">
        <v>975</v>
      </c>
      <c r="B57" s="253" t="s">
        <v>899</v>
      </c>
      <c r="C57" s="253" t="s">
        <v>1366</v>
      </c>
      <c r="D57" s="253" t="s">
        <v>1521</v>
      </c>
      <c r="E57" s="253" t="s">
        <v>933</v>
      </c>
      <c r="F57" s="253" t="s">
        <v>932</v>
      </c>
    </row>
    <row r="58" spans="1:7">
      <c r="A58" s="253" t="s">
        <v>975</v>
      </c>
      <c r="B58" s="253" t="s">
        <v>900</v>
      </c>
      <c r="C58" s="253" t="s">
        <v>1366</v>
      </c>
      <c r="D58" s="253" t="s">
        <v>1522</v>
      </c>
      <c r="E58" s="253" t="s">
        <v>1547</v>
      </c>
      <c r="F58" s="253" t="s">
        <v>934</v>
      </c>
    </row>
    <row r="59" spans="1:7">
      <c r="A59" s="253" t="s">
        <v>975</v>
      </c>
      <c r="B59" s="253" t="s">
        <v>901</v>
      </c>
      <c r="C59" s="253" t="s">
        <v>1366</v>
      </c>
      <c r="D59" s="253" t="s">
        <v>1523</v>
      </c>
      <c r="E59" s="253" t="s">
        <v>936</v>
      </c>
      <c r="F59" s="253" t="s">
        <v>935</v>
      </c>
    </row>
    <row r="60" spans="1:7">
      <c r="A60" s="253" t="s">
        <v>975</v>
      </c>
      <c r="B60" s="253" t="s">
        <v>902</v>
      </c>
      <c r="C60" s="253" t="s">
        <v>1366</v>
      </c>
      <c r="D60" s="253" t="s">
        <v>1524</v>
      </c>
      <c r="E60" s="253" t="s">
        <v>938</v>
      </c>
      <c r="F60" s="253" t="s">
        <v>937</v>
      </c>
    </row>
    <row r="61" spans="1:7">
      <c r="A61" s="253" t="s">
        <v>975</v>
      </c>
      <c r="B61" s="253" t="s">
        <v>903</v>
      </c>
      <c r="C61" s="253" t="s">
        <v>1366</v>
      </c>
      <c r="D61" s="253" t="s">
        <v>1525</v>
      </c>
      <c r="E61" s="253" t="s">
        <v>940</v>
      </c>
      <c r="F61" s="253" t="s">
        <v>939</v>
      </c>
    </row>
    <row r="62" spans="1:7">
      <c r="A62" s="253" t="s">
        <v>975</v>
      </c>
      <c r="B62" s="253" t="s">
        <v>904</v>
      </c>
      <c r="C62" s="253" t="s">
        <v>1366</v>
      </c>
      <c r="D62" s="253" t="s">
        <v>1526</v>
      </c>
      <c r="E62" s="253" t="s">
        <v>942</v>
      </c>
      <c r="F62" s="253" t="s">
        <v>941</v>
      </c>
    </row>
    <row r="63" spans="1:7">
      <c r="A63" s="253" t="s">
        <v>975</v>
      </c>
      <c r="B63" s="253" t="s">
        <v>905</v>
      </c>
      <c r="C63" s="253" t="s">
        <v>1366</v>
      </c>
      <c r="D63" s="253" t="s">
        <v>1527</v>
      </c>
      <c r="E63" s="253" t="s">
        <v>1528</v>
      </c>
      <c r="F63" s="253" t="s">
        <v>943</v>
      </c>
    </row>
    <row r="64" spans="1:7">
      <c r="A64" s="253" t="s">
        <v>975</v>
      </c>
      <c r="B64" s="253" t="s">
        <v>906</v>
      </c>
      <c r="C64" s="253" t="s">
        <v>1366</v>
      </c>
      <c r="D64" s="253" t="s">
        <v>1529</v>
      </c>
      <c r="E64" s="253" t="s">
        <v>1530</v>
      </c>
      <c r="F64" s="253" t="s">
        <v>944</v>
      </c>
    </row>
    <row r="65" spans="1:6">
      <c r="A65" s="253" t="s">
        <v>975</v>
      </c>
      <c r="B65" s="253" t="s">
        <v>907</v>
      </c>
      <c r="C65" s="253" t="s">
        <v>1366</v>
      </c>
      <c r="D65" s="253" t="s">
        <v>1531</v>
      </c>
      <c r="E65" s="253" t="s">
        <v>1548</v>
      </c>
      <c r="F65" s="253" t="s">
        <v>945</v>
      </c>
    </row>
    <row r="66" spans="1:6">
      <c r="A66" s="253" t="s">
        <v>975</v>
      </c>
      <c r="B66" s="253" t="s">
        <v>1261</v>
      </c>
      <c r="C66" s="253" t="s">
        <v>1366</v>
      </c>
      <c r="D66" s="253" t="s">
        <v>1532</v>
      </c>
      <c r="E66" s="253" t="s">
        <v>1549</v>
      </c>
      <c r="F66" s="253" t="s">
        <v>1259</v>
      </c>
    </row>
    <row r="67" spans="1:6">
      <c r="A67" s="253" t="s">
        <v>975</v>
      </c>
      <c r="B67" s="253" t="s">
        <v>1262</v>
      </c>
      <c r="C67" s="253" t="s">
        <v>1366</v>
      </c>
      <c r="D67" s="253" t="s">
        <v>1533</v>
      </c>
      <c r="E67" s="253" t="s">
        <v>1263</v>
      </c>
      <c r="F67" s="253" t="s">
        <v>1260</v>
      </c>
    </row>
    <row r="68" spans="1:6">
      <c r="A68" s="253" t="s">
        <v>975</v>
      </c>
      <c r="B68" s="253" t="s">
        <v>908</v>
      </c>
      <c r="C68" s="253" t="s">
        <v>1366</v>
      </c>
      <c r="D68" s="253" t="s">
        <v>1534</v>
      </c>
      <c r="E68" s="253" t="s">
        <v>947</v>
      </c>
      <c r="F68" s="253" t="s">
        <v>946</v>
      </c>
    </row>
    <row r="69" spans="1:6">
      <c r="A69" s="253" t="s">
        <v>975</v>
      </c>
      <c r="B69" s="253" t="s">
        <v>909</v>
      </c>
      <c r="C69" s="253" t="s">
        <v>1366</v>
      </c>
      <c r="D69" s="253" t="s">
        <v>1535</v>
      </c>
      <c r="E69" s="253" t="s">
        <v>949</v>
      </c>
      <c r="F69" s="253" t="s">
        <v>948</v>
      </c>
    </row>
    <row r="70" spans="1:6">
      <c r="A70" s="253" t="s">
        <v>975</v>
      </c>
      <c r="B70" s="253" t="s">
        <v>910</v>
      </c>
      <c r="C70" s="253" t="s">
        <v>1366</v>
      </c>
      <c r="D70" s="253" t="s">
        <v>1536</v>
      </c>
      <c r="E70" s="253" t="s">
        <v>950</v>
      </c>
      <c r="F70" s="253" t="s">
        <v>276</v>
      </c>
    </row>
    <row r="71" spans="1:6">
      <c r="A71" s="253" t="s">
        <v>975</v>
      </c>
      <c r="B71" s="253" t="s">
        <v>911</v>
      </c>
      <c r="C71" s="253" t="s">
        <v>1366</v>
      </c>
      <c r="D71" s="253" t="s">
        <v>1537</v>
      </c>
      <c r="E71" s="253" t="s">
        <v>952</v>
      </c>
      <c r="F71" s="253" t="s">
        <v>951</v>
      </c>
    </row>
    <row r="72" spans="1:6">
      <c r="A72" s="253" t="s">
        <v>975</v>
      </c>
      <c r="B72" s="253" t="s">
        <v>912</v>
      </c>
      <c r="C72" s="253" t="s">
        <v>1366</v>
      </c>
      <c r="D72" s="253" t="s">
        <v>1538</v>
      </c>
      <c r="E72" s="253" t="s">
        <v>954</v>
      </c>
      <c r="F72" s="253" t="s">
        <v>953</v>
      </c>
    </row>
    <row r="73" spans="1:6">
      <c r="A73" s="253" t="s">
        <v>975</v>
      </c>
      <c r="B73" s="253" t="s">
        <v>913</v>
      </c>
      <c r="C73" s="253" t="s">
        <v>1366</v>
      </c>
      <c r="D73" s="253" t="s">
        <v>1539</v>
      </c>
      <c r="E73" s="253" t="s">
        <v>956</v>
      </c>
      <c r="F73" s="253" t="s">
        <v>955</v>
      </c>
    </row>
    <row r="74" spans="1:6">
      <c r="A74" s="253" t="s">
        <v>975</v>
      </c>
      <c r="B74" s="253" t="s">
        <v>914</v>
      </c>
      <c r="C74" s="253" t="s">
        <v>1366</v>
      </c>
      <c r="D74" s="253" t="s">
        <v>1540</v>
      </c>
      <c r="E74" s="253" t="s">
        <v>958</v>
      </c>
      <c r="F74" s="253" t="s">
        <v>957</v>
      </c>
    </row>
    <row r="75" spans="1:6">
      <c r="A75" s="253" t="s">
        <v>975</v>
      </c>
      <c r="B75" s="253" t="s">
        <v>915</v>
      </c>
      <c r="C75" s="253" t="s">
        <v>1366</v>
      </c>
      <c r="D75" s="253" t="s">
        <v>1541</v>
      </c>
      <c r="E75" s="253" t="s">
        <v>1550</v>
      </c>
      <c r="F75" s="253" t="s">
        <v>959</v>
      </c>
    </row>
    <row r="76" spans="1:6">
      <c r="A76" s="253" t="s">
        <v>975</v>
      </c>
      <c r="B76" s="253" t="s">
        <v>916</v>
      </c>
      <c r="C76" s="253" t="s">
        <v>1366</v>
      </c>
      <c r="D76" s="253" t="s">
        <v>1542</v>
      </c>
      <c r="E76" s="253" t="s">
        <v>1543</v>
      </c>
      <c r="F76" s="253" t="s">
        <v>961</v>
      </c>
    </row>
    <row r="77" spans="1:6">
      <c r="A77" s="253" t="s">
        <v>975</v>
      </c>
      <c r="B77" s="253" t="s">
        <v>918</v>
      </c>
      <c r="C77" s="253" t="s">
        <v>1366</v>
      </c>
      <c r="D77" s="253" t="s">
        <v>1544</v>
      </c>
      <c r="E77" s="253" t="s">
        <v>963</v>
      </c>
      <c r="F77" s="253" t="s">
        <v>962</v>
      </c>
    </row>
    <row r="78" spans="1:6">
      <c r="A78" s="253" t="s">
        <v>975</v>
      </c>
      <c r="B78" s="253" t="s">
        <v>919</v>
      </c>
      <c r="C78" s="253" t="s">
        <v>1366</v>
      </c>
      <c r="D78" s="253" t="s">
        <v>1545</v>
      </c>
      <c r="E78" s="253" t="s">
        <v>965</v>
      </c>
      <c r="F78" s="253" t="s">
        <v>964</v>
      </c>
    </row>
    <row r="79" spans="1:6">
      <c r="A79" s="253" t="s">
        <v>975</v>
      </c>
      <c r="B79" s="253" t="s">
        <v>920</v>
      </c>
      <c r="C79" s="253" t="s">
        <v>1366</v>
      </c>
      <c r="D79" s="253" t="s">
        <v>1546</v>
      </c>
      <c r="E79" s="253" t="s">
        <v>967</v>
      </c>
      <c r="F79" s="253" t="s">
        <v>966</v>
      </c>
    </row>
    <row r="80" spans="1:6">
      <c r="A80" s="253"/>
      <c r="B80" s="253"/>
      <c r="C80" s="253"/>
      <c r="D80" s="253"/>
      <c r="E80" s="253"/>
      <c r="F80" s="253"/>
    </row>
    <row r="81" spans="1:6">
      <c r="A81" s="253" t="s">
        <v>1620</v>
      </c>
      <c r="B81" s="253" t="s">
        <v>439</v>
      </c>
      <c r="C81" s="253" t="s">
        <v>1366</v>
      </c>
      <c r="D81" s="253" t="s">
        <v>1621</v>
      </c>
      <c r="E81" s="253" t="s">
        <v>529</v>
      </c>
      <c r="F81" s="253" t="s">
        <v>538</v>
      </c>
    </row>
    <row r="82" spans="1:6">
      <c r="A82" s="253" t="s">
        <v>1620</v>
      </c>
      <c r="B82" s="253" t="s">
        <v>440</v>
      </c>
      <c r="C82" s="253" t="s">
        <v>1366</v>
      </c>
      <c r="D82" s="253" t="s">
        <v>1622</v>
      </c>
      <c r="E82" s="253" t="s">
        <v>530</v>
      </c>
      <c r="F82" s="253" t="s">
        <v>539</v>
      </c>
    </row>
    <row r="83" spans="1:6">
      <c r="A83" s="253" t="s">
        <v>1620</v>
      </c>
      <c r="B83" s="253" t="s">
        <v>441</v>
      </c>
      <c r="C83" s="253" t="s">
        <v>1366</v>
      </c>
      <c r="D83" s="253" t="s">
        <v>1623</v>
      </c>
      <c r="E83" s="253" t="s">
        <v>531</v>
      </c>
      <c r="F83" s="253" t="s">
        <v>540</v>
      </c>
    </row>
    <row r="84" spans="1:6">
      <c r="A84" s="253" t="s">
        <v>1620</v>
      </c>
      <c r="B84" s="253" t="s">
        <v>442</v>
      </c>
      <c r="C84" s="253" t="s">
        <v>1366</v>
      </c>
      <c r="D84" s="253" t="s">
        <v>1624</v>
      </c>
      <c r="E84" s="253" t="s">
        <v>1625</v>
      </c>
      <c r="F84" s="253" t="s">
        <v>541</v>
      </c>
    </row>
    <row r="85" spans="1:6">
      <c r="A85" s="253" t="s">
        <v>1620</v>
      </c>
      <c r="B85" s="253" t="s">
        <v>443</v>
      </c>
      <c r="C85" s="253" t="s">
        <v>1366</v>
      </c>
      <c r="D85" s="253" t="s">
        <v>1626</v>
      </c>
      <c r="E85" s="253" t="s">
        <v>532</v>
      </c>
      <c r="F85" s="253" t="s">
        <v>542</v>
      </c>
    </row>
    <row r="86" spans="1:6">
      <c r="A86" s="253" t="s">
        <v>1620</v>
      </c>
      <c r="B86" s="253" t="s">
        <v>444</v>
      </c>
      <c r="C86" s="253" t="s">
        <v>1366</v>
      </c>
      <c r="D86" s="253" t="s">
        <v>1627</v>
      </c>
      <c r="E86" s="253" t="s">
        <v>533</v>
      </c>
      <c r="F86" s="253" t="s">
        <v>543</v>
      </c>
    </row>
    <row r="87" spans="1:6">
      <c r="A87" s="253" t="s">
        <v>1620</v>
      </c>
      <c r="B87" s="253" t="s">
        <v>445</v>
      </c>
      <c r="C87" s="253" t="s">
        <v>1366</v>
      </c>
      <c r="D87" s="253" t="s">
        <v>1628</v>
      </c>
      <c r="E87" s="253" t="s">
        <v>534</v>
      </c>
      <c r="F87" s="253" t="s">
        <v>544</v>
      </c>
    </row>
    <row r="88" spans="1:6">
      <c r="A88" s="253" t="s">
        <v>1620</v>
      </c>
      <c r="B88" s="253" t="s">
        <v>446</v>
      </c>
      <c r="C88" s="253" t="s">
        <v>1366</v>
      </c>
      <c r="D88" s="253" t="s">
        <v>1629</v>
      </c>
      <c r="E88" s="253" t="s">
        <v>535</v>
      </c>
      <c r="F88" s="253" t="s">
        <v>545</v>
      </c>
    </row>
    <row r="89" spans="1:6">
      <c r="A89" s="253" t="s">
        <v>1620</v>
      </c>
      <c r="B89" s="253" t="s">
        <v>447</v>
      </c>
      <c r="C89" s="253" t="s">
        <v>1366</v>
      </c>
      <c r="D89" s="253" t="s">
        <v>1630</v>
      </c>
      <c r="E89" s="253" t="s">
        <v>536</v>
      </c>
      <c r="F89" s="253" t="s">
        <v>546</v>
      </c>
    </row>
    <row r="90" spans="1:6">
      <c r="A90" s="253" t="s">
        <v>1620</v>
      </c>
      <c r="B90" s="253" t="s">
        <v>448</v>
      </c>
      <c r="C90" s="253" t="s">
        <v>1366</v>
      </c>
      <c r="D90" s="253" t="s">
        <v>1631</v>
      </c>
      <c r="E90" s="253" t="s">
        <v>537</v>
      </c>
      <c r="F90" s="253" t="s">
        <v>547</v>
      </c>
    </row>
    <row r="91" spans="1:6">
      <c r="A91" s="253" t="s">
        <v>1620</v>
      </c>
      <c r="B91" s="253" t="s">
        <v>395</v>
      </c>
      <c r="C91" s="253" t="s">
        <v>1366</v>
      </c>
      <c r="D91" s="253" t="s">
        <v>1632</v>
      </c>
      <c r="E91" s="253" t="s">
        <v>449</v>
      </c>
      <c r="F91" s="253" t="s">
        <v>485</v>
      </c>
    </row>
    <row r="92" spans="1:6">
      <c r="A92" s="253" t="s">
        <v>1620</v>
      </c>
      <c r="B92" s="253" t="s">
        <v>396</v>
      </c>
      <c r="C92" s="253" t="s">
        <v>1366</v>
      </c>
      <c r="D92" s="253" t="s">
        <v>1633</v>
      </c>
      <c r="E92" s="253" t="s">
        <v>450</v>
      </c>
      <c r="F92" s="253" t="s">
        <v>486</v>
      </c>
    </row>
    <row r="93" spans="1:6">
      <c r="A93" s="253" t="s">
        <v>1620</v>
      </c>
      <c r="B93" s="253" t="s">
        <v>397</v>
      </c>
      <c r="C93" s="253" t="s">
        <v>1366</v>
      </c>
      <c r="D93" s="253" t="s">
        <v>1634</v>
      </c>
      <c r="E93" s="253" t="s">
        <v>451</v>
      </c>
      <c r="F93" s="253" t="s">
        <v>487</v>
      </c>
    </row>
    <row r="94" spans="1:6">
      <c r="A94" s="253" t="s">
        <v>1620</v>
      </c>
      <c r="B94" s="253" t="s">
        <v>398</v>
      </c>
      <c r="C94" s="253" t="s">
        <v>1366</v>
      </c>
      <c r="D94" s="253" t="s">
        <v>1635</v>
      </c>
      <c r="E94" s="253" t="s">
        <v>1636</v>
      </c>
      <c r="F94" s="253" t="s">
        <v>488</v>
      </c>
    </row>
    <row r="95" spans="1:6">
      <c r="A95" s="253" t="s">
        <v>1620</v>
      </c>
      <c r="B95" s="253" t="s">
        <v>399</v>
      </c>
      <c r="C95" s="253" t="s">
        <v>1366</v>
      </c>
      <c r="D95" s="253" t="s">
        <v>1637</v>
      </c>
      <c r="E95" s="253" t="s">
        <v>1638</v>
      </c>
      <c r="F95" s="253" t="s">
        <v>489</v>
      </c>
    </row>
    <row r="96" spans="1:6">
      <c r="A96" s="253" t="s">
        <v>1620</v>
      </c>
      <c r="B96" s="253" t="s">
        <v>400</v>
      </c>
      <c r="C96" s="253" t="s">
        <v>1366</v>
      </c>
      <c r="D96" s="253" t="s">
        <v>1639</v>
      </c>
      <c r="E96" s="253" t="s">
        <v>452</v>
      </c>
      <c r="F96" s="253" t="s">
        <v>490</v>
      </c>
    </row>
    <row r="97" spans="1:6">
      <c r="A97" s="253" t="s">
        <v>1620</v>
      </c>
      <c r="B97" s="253" t="s">
        <v>401</v>
      </c>
      <c r="C97" s="253" t="s">
        <v>1366</v>
      </c>
      <c r="D97" s="253" t="s">
        <v>1640</v>
      </c>
      <c r="E97" s="253" t="s">
        <v>453</v>
      </c>
      <c r="F97" s="253" t="s">
        <v>491</v>
      </c>
    </row>
    <row r="98" spans="1:6">
      <c r="A98" s="253" t="s">
        <v>1620</v>
      </c>
      <c r="B98" s="253" t="s">
        <v>402</v>
      </c>
      <c r="C98" s="253" t="s">
        <v>1366</v>
      </c>
      <c r="D98" s="253" t="s">
        <v>1641</v>
      </c>
      <c r="E98" s="253" t="s">
        <v>454</v>
      </c>
      <c r="F98" s="253" t="s">
        <v>492</v>
      </c>
    </row>
    <row r="99" spans="1:6">
      <c r="A99" s="253" t="s">
        <v>1620</v>
      </c>
      <c r="B99" s="253" t="s">
        <v>403</v>
      </c>
      <c r="C99" s="253" t="s">
        <v>1366</v>
      </c>
      <c r="D99" s="253" t="s">
        <v>1642</v>
      </c>
      <c r="E99" s="253" t="s">
        <v>1643</v>
      </c>
      <c r="F99" s="253" t="s">
        <v>493</v>
      </c>
    </row>
    <row r="100" spans="1:6">
      <c r="A100" s="253" t="s">
        <v>1620</v>
      </c>
      <c r="B100" s="253" t="s">
        <v>404</v>
      </c>
      <c r="C100" s="253" t="s">
        <v>1366</v>
      </c>
      <c r="D100" s="253" t="s">
        <v>1644</v>
      </c>
      <c r="E100" s="253" t="s">
        <v>455</v>
      </c>
      <c r="F100" s="253" t="s">
        <v>494</v>
      </c>
    </row>
    <row r="101" spans="1:6">
      <c r="A101" s="253" t="s">
        <v>1620</v>
      </c>
      <c r="B101" s="253" t="s">
        <v>405</v>
      </c>
      <c r="C101" s="253" t="s">
        <v>1366</v>
      </c>
      <c r="D101" s="253" t="s">
        <v>1645</v>
      </c>
      <c r="E101" s="253" t="s">
        <v>456</v>
      </c>
      <c r="F101" s="253" t="s">
        <v>495</v>
      </c>
    </row>
    <row r="102" spans="1:6">
      <c r="A102" s="253" t="s">
        <v>1620</v>
      </c>
      <c r="B102" s="253" t="s">
        <v>406</v>
      </c>
      <c r="C102" s="253" t="s">
        <v>1366</v>
      </c>
      <c r="D102" s="253" t="s">
        <v>1646</v>
      </c>
      <c r="E102" s="253" t="s">
        <v>1647</v>
      </c>
      <c r="F102" s="253" t="s">
        <v>496</v>
      </c>
    </row>
    <row r="103" spans="1:6">
      <c r="A103" s="253" t="s">
        <v>1620</v>
      </c>
      <c r="B103" s="253" t="s">
        <v>407</v>
      </c>
      <c r="C103" s="253" t="s">
        <v>1366</v>
      </c>
      <c r="D103" s="253" t="s">
        <v>1648</v>
      </c>
      <c r="E103" s="253" t="s">
        <v>1649</v>
      </c>
      <c r="F103" s="253" t="s">
        <v>497</v>
      </c>
    </row>
    <row r="104" spans="1:6">
      <c r="A104" s="253" t="s">
        <v>1620</v>
      </c>
      <c r="B104" s="253" t="s">
        <v>408</v>
      </c>
      <c r="C104" s="253" t="s">
        <v>1366</v>
      </c>
      <c r="D104" s="253" t="s">
        <v>1650</v>
      </c>
      <c r="E104" s="253" t="s">
        <v>457</v>
      </c>
      <c r="F104" s="253" t="s">
        <v>498</v>
      </c>
    </row>
    <row r="105" spans="1:6">
      <c r="A105" s="253" t="s">
        <v>1620</v>
      </c>
      <c r="B105" s="253" t="s">
        <v>409</v>
      </c>
      <c r="C105" s="253" t="s">
        <v>1366</v>
      </c>
      <c r="D105" s="253" t="s">
        <v>1651</v>
      </c>
      <c r="E105" s="253" t="s">
        <v>458</v>
      </c>
      <c r="F105" s="253" t="s">
        <v>499</v>
      </c>
    </row>
    <row r="106" spans="1:6">
      <c r="A106" s="253" t="s">
        <v>1620</v>
      </c>
      <c r="B106" s="253" t="s">
        <v>410</v>
      </c>
      <c r="C106" s="253" t="s">
        <v>1366</v>
      </c>
      <c r="D106" s="253" t="s">
        <v>1652</v>
      </c>
      <c r="E106" s="253" t="s">
        <v>459</v>
      </c>
      <c r="F106" s="253" t="s">
        <v>500</v>
      </c>
    </row>
    <row r="107" spans="1:6">
      <c r="A107" s="253" t="s">
        <v>1620</v>
      </c>
      <c r="B107" s="253" t="s">
        <v>411</v>
      </c>
      <c r="C107" s="253" t="s">
        <v>1366</v>
      </c>
      <c r="D107" s="253" t="s">
        <v>1653</v>
      </c>
      <c r="E107" s="253" t="s">
        <v>460</v>
      </c>
      <c r="F107" s="253" t="s">
        <v>501</v>
      </c>
    </row>
    <row r="108" spans="1:6">
      <c r="A108" s="253" t="s">
        <v>1620</v>
      </c>
      <c r="B108" s="253" t="s">
        <v>412</v>
      </c>
      <c r="C108" s="253" t="s">
        <v>1366</v>
      </c>
      <c r="D108" s="253" t="s">
        <v>1654</v>
      </c>
      <c r="E108" s="253" t="s">
        <v>461</v>
      </c>
      <c r="F108" s="253" t="s">
        <v>502</v>
      </c>
    </row>
    <row r="109" spans="1:6">
      <c r="A109" s="253" t="s">
        <v>1620</v>
      </c>
      <c r="B109" s="253" t="s">
        <v>413</v>
      </c>
      <c r="C109" s="253" t="s">
        <v>1366</v>
      </c>
      <c r="D109" s="253" t="s">
        <v>1655</v>
      </c>
      <c r="E109" s="253" t="s">
        <v>462</v>
      </c>
      <c r="F109" s="253" t="s">
        <v>503</v>
      </c>
    </row>
    <row r="110" spans="1:6">
      <c r="A110" s="253" t="s">
        <v>1620</v>
      </c>
      <c r="B110" s="253" t="s">
        <v>414</v>
      </c>
      <c r="C110" s="253" t="s">
        <v>1366</v>
      </c>
      <c r="D110" s="253" t="s">
        <v>1656</v>
      </c>
      <c r="E110" s="253" t="s">
        <v>463</v>
      </c>
      <c r="F110" s="253" t="s">
        <v>504</v>
      </c>
    </row>
    <row r="111" spans="1:6">
      <c r="A111" s="253" t="s">
        <v>1620</v>
      </c>
      <c r="B111" s="253" t="s">
        <v>415</v>
      </c>
      <c r="C111" s="253" t="s">
        <v>1366</v>
      </c>
      <c r="D111" s="253" t="s">
        <v>1593</v>
      </c>
      <c r="E111" s="253" t="s">
        <v>464</v>
      </c>
      <c r="F111" s="253" t="s">
        <v>505</v>
      </c>
    </row>
    <row r="112" spans="1:6">
      <c r="A112" s="253" t="s">
        <v>1620</v>
      </c>
      <c r="B112" s="253" t="s">
        <v>416</v>
      </c>
      <c r="C112" s="253" t="s">
        <v>1366</v>
      </c>
      <c r="D112" s="253" t="s">
        <v>1657</v>
      </c>
      <c r="E112" s="253" t="s">
        <v>465</v>
      </c>
      <c r="F112" s="253" t="s">
        <v>506</v>
      </c>
    </row>
    <row r="113" spans="1:6">
      <c r="A113" s="253" t="s">
        <v>1620</v>
      </c>
      <c r="B113" s="253" t="s">
        <v>417</v>
      </c>
      <c r="C113" s="253" t="s">
        <v>1366</v>
      </c>
      <c r="D113" s="253" t="s">
        <v>1615</v>
      </c>
      <c r="E113" s="253" t="s">
        <v>466</v>
      </c>
      <c r="F113" s="253" t="s">
        <v>507</v>
      </c>
    </row>
    <row r="114" spans="1:6">
      <c r="A114" s="253" t="s">
        <v>1620</v>
      </c>
      <c r="B114" s="253" t="s">
        <v>418</v>
      </c>
      <c r="C114" s="253" t="s">
        <v>1366</v>
      </c>
      <c r="D114" s="253" t="s">
        <v>1658</v>
      </c>
      <c r="E114" s="253" t="s">
        <v>467</v>
      </c>
      <c r="F114" s="253" t="s">
        <v>508</v>
      </c>
    </row>
    <row r="115" spans="1:6">
      <c r="A115" s="253" t="s">
        <v>1620</v>
      </c>
      <c r="B115" s="253" t="s">
        <v>419</v>
      </c>
      <c r="C115" s="253" t="s">
        <v>1366</v>
      </c>
      <c r="D115" s="253" t="s">
        <v>1659</v>
      </c>
      <c r="E115" s="253" t="s">
        <v>468</v>
      </c>
      <c r="F115" s="253" t="s">
        <v>509</v>
      </c>
    </row>
    <row r="116" spans="1:6">
      <c r="A116" s="253" t="s">
        <v>1620</v>
      </c>
      <c r="B116" s="253" t="s">
        <v>420</v>
      </c>
      <c r="C116" s="253" t="s">
        <v>1366</v>
      </c>
      <c r="D116" s="253" t="s">
        <v>1660</v>
      </c>
      <c r="E116" s="253" t="s">
        <v>469</v>
      </c>
      <c r="F116" s="253" t="s">
        <v>510</v>
      </c>
    </row>
    <row r="117" spans="1:6">
      <c r="A117" s="253" t="s">
        <v>1620</v>
      </c>
      <c r="B117" s="253" t="s">
        <v>421</v>
      </c>
      <c r="C117" s="253" t="s">
        <v>1366</v>
      </c>
      <c r="D117" s="253" t="s">
        <v>1661</v>
      </c>
      <c r="E117" s="253" t="s">
        <v>470</v>
      </c>
      <c r="F117" s="253" t="s">
        <v>511</v>
      </c>
    </row>
    <row r="118" spans="1:6">
      <c r="A118" s="253" t="s">
        <v>1620</v>
      </c>
      <c r="B118" s="253" t="s">
        <v>422</v>
      </c>
      <c r="C118" s="253" t="s">
        <v>1366</v>
      </c>
      <c r="D118" s="253" t="s">
        <v>1662</v>
      </c>
      <c r="E118" s="253" t="s">
        <v>471</v>
      </c>
      <c r="F118" s="253" t="s">
        <v>512</v>
      </c>
    </row>
    <row r="119" spans="1:6">
      <c r="A119" s="253" t="s">
        <v>1620</v>
      </c>
      <c r="B119" s="253" t="s">
        <v>423</v>
      </c>
      <c r="C119" s="253" t="s">
        <v>1366</v>
      </c>
      <c r="D119" s="253" t="s">
        <v>1663</v>
      </c>
      <c r="E119" s="253" t="s">
        <v>472</v>
      </c>
      <c r="F119" s="253" t="s">
        <v>513</v>
      </c>
    </row>
    <row r="120" spans="1:6">
      <c r="A120" s="253" t="s">
        <v>1620</v>
      </c>
      <c r="B120" s="253" t="s">
        <v>424</v>
      </c>
      <c r="C120" s="253" t="s">
        <v>1366</v>
      </c>
      <c r="D120" s="253" t="s">
        <v>1664</v>
      </c>
      <c r="E120" s="253" t="s">
        <v>1665</v>
      </c>
      <c r="F120" s="253" t="s">
        <v>514</v>
      </c>
    </row>
    <row r="121" spans="1:6">
      <c r="A121" s="253" t="s">
        <v>1620</v>
      </c>
      <c r="B121" s="253" t="s">
        <v>425</v>
      </c>
      <c r="C121" s="253" t="s">
        <v>1366</v>
      </c>
      <c r="D121" s="253" t="s">
        <v>1666</v>
      </c>
      <c r="E121" s="253" t="s">
        <v>1667</v>
      </c>
      <c r="F121" s="253" t="s">
        <v>515</v>
      </c>
    </row>
    <row r="122" spans="1:6">
      <c r="A122" s="253" t="s">
        <v>1620</v>
      </c>
      <c r="B122" s="253" t="s">
        <v>426</v>
      </c>
      <c r="C122" s="253" t="s">
        <v>1366</v>
      </c>
      <c r="D122" s="253" t="s">
        <v>1668</v>
      </c>
      <c r="E122" s="253" t="s">
        <v>473</v>
      </c>
      <c r="F122" s="253" t="s">
        <v>516</v>
      </c>
    </row>
    <row r="123" spans="1:6">
      <c r="A123" s="253" t="s">
        <v>1620</v>
      </c>
      <c r="B123" s="253" t="s">
        <v>427</v>
      </c>
      <c r="C123" s="253" t="s">
        <v>1366</v>
      </c>
      <c r="D123" s="253" t="s">
        <v>1669</v>
      </c>
      <c r="E123" s="253" t="s">
        <v>474</v>
      </c>
      <c r="F123" s="253" t="s">
        <v>517</v>
      </c>
    </row>
    <row r="124" spans="1:6">
      <c r="A124" s="253" t="s">
        <v>1620</v>
      </c>
      <c r="B124" s="253" t="s">
        <v>428</v>
      </c>
      <c r="C124" s="253" t="s">
        <v>1366</v>
      </c>
      <c r="D124" s="253" t="s">
        <v>1670</v>
      </c>
      <c r="E124" s="253" t="s">
        <v>475</v>
      </c>
      <c r="F124" s="253" t="s">
        <v>518</v>
      </c>
    </row>
    <row r="125" spans="1:6">
      <c r="A125" s="253" t="s">
        <v>1620</v>
      </c>
      <c r="B125" s="253" t="s">
        <v>429</v>
      </c>
      <c r="C125" s="253" t="s">
        <v>1366</v>
      </c>
      <c r="D125" s="253" t="s">
        <v>1671</v>
      </c>
      <c r="E125" s="253" t="s">
        <v>476</v>
      </c>
      <c r="F125" s="253" t="s">
        <v>519</v>
      </c>
    </row>
    <row r="126" spans="1:6">
      <c r="A126" s="253" t="s">
        <v>1620</v>
      </c>
      <c r="B126" s="253" t="s">
        <v>430</v>
      </c>
      <c r="C126" s="253" t="s">
        <v>1366</v>
      </c>
      <c r="D126" s="253" t="s">
        <v>1672</v>
      </c>
      <c r="E126" s="253" t="s">
        <v>477</v>
      </c>
      <c r="F126" s="253" t="s">
        <v>520</v>
      </c>
    </row>
    <row r="127" spans="1:6">
      <c r="A127" s="253" t="s">
        <v>1620</v>
      </c>
      <c r="B127" s="253" t="s">
        <v>431</v>
      </c>
      <c r="C127" s="253" t="s">
        <v>1366</v>
      </c>
      <c r="D127" s="253" t="s">
        <v>1673</v>
      </c>
      <c r="E127" s="253" t="s">
        <v>1674</v>
      </c>
      <c r="F127" s="253" t="s">
        <v>1675</v>
      </c>
    </row>
    <row r="128" spans="1:6">
      <c r="A128" s="253" t="s">
        <v>1620</v>
      </c>
      <c r="B128" s="253" t="s">
        <v>1676</v>
      </c>
      <c r="C128" s="253" t="s">
        <v>1366</v>
      </c>
      <c r="D128" s="253" t="s">
        <v>1677</v>
      </c>
      <c r="E128" s="253" t="s">
        <v>1678</v>
      </c>
      <c r="F128" s="253" t="s">
        <v>1361</v>
      </c>
    </row>
    <row r="129" spans="1:6">
      <c r="A129" s="253" t="s">
        <v>1620</v>
      </c>
      <c r="B129" s="253" t="s">
        <v>432</v>
      </c>
      <c r="C129" s="253" t="s">
        <v>1366</v>
      </c>
      <c r="D129" s="253" t="s">
        <v>1679</v>
      </c>
      <c r="E129" s="253" t="s">
        <v>478</v>
      </c>
      <c r="F129" s="253" t="s">
        <v>522</v>
      </c>
    </row>
    <row r="130" spans="1:6">
      <c r="A130" s="253" t="s">
        <v>1620</v>
      </c>
      <c r="B130" s="253" t="s">
        <v>433</v>
      </c>
      <c r="C130" s="253" t="s">
        <v>1366</v>
      </c>
      <c r="D130" s="253" t="s">
        <v>1680</v>
      </c>
      <c r="E130" s="253" t="s">
        <v>479</v>
      </c>
      <c r="F130" s="253" t="s">
        <v>523</v>
      </c>
    </row>
    <row r="131" spans="1:6">
      <c r="A131" s="253" t="s">
        <v>1620</v>
      </c>
      <c r="B131" s="253" t="s">
        <v>434</v>
      </c>
      <c r="C131" s="253" t="s">
        <v>1366</v>
      </c>
      <c r="D131" s="253" t="s">
        <v>1681</v>
      </c>
      <c r="E131" s="253" t="s">
        <v>480</v>
      </c>
      <c r="F131" s="253" t="s">
        <v>524</v>
      </c>
    </row>
    <row r="132" spans="1:6">
      <c r="A132" s="253" t="s">
        <v>1620</v>
      </c>
      <c r="B132" s="253" t="s">
        <v>435</v>
      </c>
      <c r="C132" s="253" t="s">
        <v>1366</v>
      </c>
      <c r="D132" s="253" t="s">
        <v>1682</v>
      </c>
      <c r="E132" s="253" t="s">
        <v>481</v>
      </c>
      <c r="F132" s="253" t="s">
        <v>525</v>
      </c>
    </row>
    <row r="133" spans="1:6">
      <c r="A133" s="253" t="s">
        <v>1620</v>
      </c>
      <c r="B133" s="253" t="s">
        <v>436</v>
      </c>
      <c r="C133" s="253" t="s">
        <v>1366</v>
      </c>
      <c r="D133" s="253" t="s">
        <v>1683</v>
      </c>
      <c r="E133" s="253" t="s">
        <v>482</v>
      </c>
      <c r="F133" s="253" t="s">
        <v>526</v>
      </c>
    </row>
    <row r="134" spans="1:6">
      <c r="A134" s="253" t="s">
        <v>1620</v>
      </c>
      <c r="B134" s="253" t="s">
        <v>437</v>
      </c>
      <c r="C134" s="253" t="s">
        <v>1366</v>
      </c>
      <c r="D134" s="253" t="s">
        <v>1684</v>
      </c>
      <c r="E134" s="253" t="s">
        <v>483</v>
      </c>
      <c r="F134" s="253" t="s">
        <v>527</v>
      </c>
    </row>
    <row r="135" spans="1:6">
      <c r="A135" s="253" t="s">
        <v>1620</v>
      </c>
      <c r="B135" s="253" t="s">
        <v>438</v>
      </c>
      <c r="C135" s="253" t="s">
        <v>1366</v>
      </c>
      <c r="D135" s="253" t="s">
        <v>1685</v>
      </c>
      <c r="E135" s="253" t="s">
        <v>484</v>
      </c>
      <c r="F135" s="253" t="s">
        <v>528</v>
      </c>
    </row>
    <row r="136" spans="1:6">
      <c r="A136" s="253"/>
      <c r="B136" s="253"/>
      <c r="C136" s="253"/>
      <c r="D136" s="253"/>
      <c r="E136" s="253"/>
      <c r="F136" s="253"/>
    </row>
    <row r="137" spans="1:6">
      <c r="A137" s="253" t="s">
        <v>1551</v>
      </c>
      <c r="B137" s="253" t="s">
        <v>71</v>
      </c>
      <c r="C137" s="253" t="s">
        <v>1366</v>
      </c>
      <c r="D137" s="253" t="s">
        <v>1552</v>
      </c>
      <c r="E137" s="253" t="s">
        <v>303</v>
      </c>
      <c r="F137" s="253" t="s">
        <v>72</v>
      </c>
    </row>
    <row r="138" spans="1:6">
      <c r="A138" s="253" t="s">
        <v>1551</v>
      </c>
      <c r="B138" s="253" t="s">
        <v>73</v>
      </c>
      <c r="C138" s="253" t="s">
        <v>1366</v>
      </c>
      <c r="D138" s="253" t="s">
        <v>1553</v>
      </c>
      <c r="E138" s="253" t="s">
        <v>304</v>
      </c>
      <c r="F138" s="253" t="s">
        <v>74</v>
      </c>
    </row>
    <row r="139" spans="1:6">
      <c r="A139" s="253" t="s">
        <v>1551</v>
      </c>
      <c r="B139" s="253" t="s">
        <v>75</v>
      </c>
      <c r="C139" s="253" t="s">
        <v>1366</v>
      </c>
      <c r="D139" s="253" t="s">
        <v>1554</v>
      </c>
      <c r="E139" s="253" t="s">
        <v>305</v>
      </c>
      <c r="F139" s="253" t="s">
        <v>76</v>
      </c>
    </row>
    <row r="140" spans="1:6">
      <c r="A140" s="253" t="s">
        <v>1551</v>
      </c>
      <c r="B140" s="253" t="s">
        <v>77</v>
      </c>
      <c r="C140" s="253" t="s">
        <v>1366</v>
      </c>
      <c r="D140" s="253" t="s">
        <v>1555</v>
      </c>
      <c r="E140" s="253" t="s">
        <v>306</v>
      </c>
      <c r="F140" s="253" t="s">
        <v>78</v>
      </c>
    </row>
    <row r="141" spans="1:6">
      <c r="A141" s="253" t="s">
        <v>1551</v>
      </c>
      <c r="B141" s="253" t="s">
        <v>79</v>
      </c>
      <c r="C141" s="253" t="s">
        <v>1366</v>
      </c>
      <c r="D141" s="253" t="s">
        <v>1556</v>
      </c>
      <c r="E141" s="253" t="s">
        <v>307</v>
      </c>
      <c r="F141" s="253" t="s">
        <v>145</v>
      </c>
    </row>
    <row r="142" spans="1:6">
      <c r="A142" s="253" t="s">
        <v>1551</v>
      </c>
      <c r="B142" s="253" t="s">
        <v>80</v>
      </c>
      <c r="C142" s="253" t="s">
        <v>1366</v>
      </c>
      <c r="D142" s="253" t="s">
        <v>1557</v>
      </c>
      <c r="E142" s="253" t="s">
        <v>308</v>
      </c>
      <c r="F142" s="253" t="s">
        <v>81</v>
      </c>
    </row>
    <row r="143" spans="1:6">
      <c r="A143" s="253" t="s">
        <v>1551</v>
      </c>
      <c r="B143" s="253" t="s">
        <v>82</v>
      </c>
      <c r="C143" s="253" t="s">
        <v>1366</v>
      </c>
      <c r="D143" s="253" t="s">
        <v>1558</v>
      </c>
      <c r="E143" s="253" t="s">
        <v>309</v>
      </c>
      <c r="F143" s="253" t="s">
        <v>22</v>
      </c>
    </row>
    <row r="144" spans="1:6">
      <c r="A144" s="253" t="s">
        <v>1551</v>
      </c>
      <c r="B144" s="253" t="s">
        <v>83</v>
      </c>
      <c r="C144" s="253" t="s">
        <v>1366</v>
      </c>
      <c r="D144" s="253" t="s">
        <v>1559</v>
      </c>
      <c r="E144" s="253" t="s">
        <v>310</v>
      </c>
      <c r="F144" s="253" t="s">
        <v>84</v>
      </c>
    </row>
    <row r="145" spans="1:6">
      <c r="A145" s="253" t="s">
        <v>1551</v>
      </c>
      <c r="B145" s="253" t="s">
        <v>85</v>
      </c>
      <c r="C145" s="253" t="s">
        <v>1366</v>
      </c>
      <c r="D145" s="253" t="s">
        <v>1560</v>
      </c>
      <c r="E145" s="253" t="s">
        <v>311</v>
      </c>
      <c r="F145" s="253" t="s">
        <v>146</v>
      </c>
    </row>
    <row r="146" spans="1:6">
      <c r="A146" s="253" t="s">
        <v>1551</v>
      </c>
      <c r="B146" s="253" t="s">
        <v>86</v>
      </c>
      <c r="C146" s="253" t="s">
        <v>1366</v>
      </c>
      <c r="D146" s="253" t="s">
        <v>1561</v>
      </c>
      <c r="E146" s="253" t="s">
        <v>312</v>
      </c>
      <c r="F146" s="253" t="s">
        <v>21</v>
      </c>
    </row>
    <row r="147" spans="1:6">
      <c r="A147" s="253" t="s">
        <v>1551</v>
      </c>
      <c r="B147" s="253" t="s">
        <v>87</v>
      </c>
      <c r="C147" s="253" t="s">
        <v>1366</v>
      </c>
      <c r="D147" s="253" t="s">
        <v>1562</v>
      </c>
      <c r="E147" s="253" t="s">
        <v>313</v>
      </c>
      <c r="F147" s="253" t="s">
        <v>147</v>
      </c>
    </row>
    <row r="148" spans="1:6">
      <c r="A148" s="253" t="s">
        <v>1551</v>
      </c>
      <c r="B148" s="253" t="s">
        <v>88</v>
      </c>
      <c r="C148" s="253" t="s">
        <v>1366</v>
      </c>
      <c r="D148" s="253" t="s">
        <v>1563</v>
      </c>
      <c r="E148" s="253" t="s">
        <v>314</v>
      </c>
      <c r="F148" s="253" t="s">
        <v>148</v>
      </c>
    </row>
    <row r="149" spans="1:6">
      <c r="A149" s="253" t="s">
        <v>1551</v>
      </c>
      <c r="B149" s="253" t="s">
        <v>89</v>
      </c>
      <c r="C149" s="253" t="s">
        <v>1366</v>
      </c>
      <c r="D149" s="253" t="s">
        <v>1564</v>
      </c>
      <c r="E149" s="253" t="s">
        <v>315</v>
      </c>
      <c r="F149" s="253" t="s">
        <v>149</v>
      </c>
    </row>
    <row r="150" spans="1:6">
      <c r="A150" s="253" t="s">
        <v>1551</v>
      </c>
      <c r="B150" s="253" t="s">
        <v>90</v>
      </c>
      <c r="C150" s="253" t="s">
        <v>1366</v>
      </c>
      <c r="D150" s="253" t="s">
        <v>1565</v>
      </c>
      <c r="E150" s="253" t="s">
        <v>316</v>
      </c>
      <c r="F150" s="253" t="s">
        <v>91</v>
      </c>
    </row>
    <row r="151" spans="1:6">
      <c r="A151" s="253" t="s">
        <v>1551</v>
      </c>
      <c r="B151" s="253" t="s">
        <v>183</v>
      </c>
      <c r="C151" s="253" t="s">
        <v>1366</v>
      </c>
      <c r="D151" s="253" t="s">
        <v>1566</v>
      </c>
      <c r="E151" s="253" t="s">
        <v>317</v>
      </c>
      <c r="F151" s="253" t="s">
        <v>184</v>
      </c>
    </row>
    <row r="152" spans="1:6">
      <c r="A152" s="253" t="s">
        <v>1551</v>
      </c>
      <c r="B152" s="253" t="s">
        <v>92</v>
      </c>
      <c r="C152" s="253" t="s">
        <v>1366</v>
      </c>
      <c r="D152" s="253" t="s">
        <v>1567</v>
      </c>
      <c r="E152" s="253" t="s">
        <v>318</v>
      </c>
      <c r="F152" s="253" t="s">
        <v>93</v>
      </c>
    </row>
    <row r="153" spans="1:6">
      <c r="A153" s="253" t="s">
        <v>1551</v>
      </c>
      <c r="B153" s="253" t="s">
        <v>94</v>
      </c>
      <c r="C153" s="253" t="s">
        <v>1366</v>
      </c>
      <c r="D153" s="253" t="s">
        <v>1568</v>
      </c>
      <c r="E153" s="253" t="s">
        <v>319</v>
      </c>
      <c r="F153" s="253" t="s">
        <v>95</v>
      </c>
    </row>
    <row r="154" spans="1:6">
      <c r="A154" s="253" t="s">
        <v>1551</v>
      </c>
      <c r="B154" s="253" t="s">
        <v>96</v>
      </c>
      <c r="C154" s="253" t="s">
        <v>1366</v>
      </c>
      <c r="D154" s="253" t="s">
        <v>1569</v>
      </c>
      <c r="E154" s="253" t="s">
        <v>1570</v>
      </c>
      <c r="F154" s="253" t="s">
        <v>150</v>
      </c>
    </row>
    <row r="155" spans="1:6">
      <c r="A155" s="253" t="s">
        <v>1551</v>
      </c>
      <c r="B155" s="253" t="s">
        <v>151</v>
      </c>
      <c r="C155" s="253" t="s">
        <v>1366</v>
      </c>
      <c r="D155" s="253" t="s">
        <v>1571</v>
      </c>
      <c r="E155" s="253" t="s">
        <v>320</v>
      </c>
      <c r="F155" s="253" t="s">
        <v>152</v>
      </c>
    </row>
    <row r="156" spans="1:6">
      <c r="A156" s="253" t="s">
        <v>1551</v>
      </c>
      <c r="B156" s="253" t="s">
        <v>97</v>
      </c>
      <c r="C156" s="253" t="s">
        <v>1366</v>
      </c>
      <c r="D156" s="253" t="s">
        <v>1572</v>
      </c>
      <c r="E156" s="253" t="s">
        <v>1573</v>
      </c>
      <c r="F156" s="253" t="s">
        <v>153</v>
      </c>
    </row>
    <row r="157" spans="1:6">
      <c r="A157" s="253" t="s">
        <v>1551</v>
      </c>
      <c r="B157" s="253" t="s">
        <v>154</v>
      </c>
      <c r="C157" s="253" t="s">
        <v>1366</v>
      </c>
      <c r="D157" s="253" t="s">
        <v>1387</v>
      </c>
      <c r="E157" s="253" t="s">
        <v>321</v>
      </c>
      <c r="F157" s="253" t="s">
        <v>155</v>
      </c>
    </row>
    <row r="158" spans="1:6">
      <c r="A158" s="253" t="s">
        <v>1551</v>
      </c>
      <c r="B158" s="253" t="s">
        <v>98</v>
      </c>
      <c r="C158" s="253" t="s">
        <v>1366</v>
      </c>
      <c r="D158" s="253" t="s">
        <v>1574</v>
      </c>
      <c r="E158" s="253" t="s">
        <v>322</v>
      </c>
      <c r="F158" s="253" t="s">
        <v>99</v>
      </c>
    </row>
    <row r="159" spans="1:6">
      <c r="A159" s="253" t="s">
        <v>1551</v>
      </c>
      <c r="B159" s="253" t="s">
        <v>156</v>
      </c>
      <c r="C159" s="253" t="s">
        <v>1366</v>
      </c>
      <c r="D159" s="253" t="s">
        <v>1575</v>
      </c>
      <c r="E159" s="253" t="s">
        <v>323</v>
      </c>
      <c r="F159" s="253" t="s">
        <v>1576</v>
      </c>
    </row>
    <row r="160" spans="1:6">
      <c r="A160" s="253" t="s">
        <v>1551</v>
      </c>
      <c r="B160" s="253" t="s">
        <v>100</v>
      </c>
      <c r="C160" s="253" t="s">
        <v>1366</v>
      </c>
      <c r="D160" s="253" t="s">
        <v>1577</v>
      </c>
      <c r="E160" s="253" t="s">
        <v>324</v>
      </c>
      <c r="F160" s="253" t="s">
        <v>158</v>
      </c>
    </row>
    <row r="161" spans="1:6">
      <c r="A161" s="253" t="s">
        <v>1551</v>
      </c>
      <c r="B161" s="253" t="s">
        <v>101</v>
      </c>
      <c r="C161" s="253" t="s">
        <v>1366</v>
      </c>
      <c r="D161" s="253" t="s">
        <v>1578</v>
      </c>
      <c r="E161" s="253" t="s">
        <v>325</v>
      </c>
      <c r="F161" s="253" t="s">
        <v>185</v>
      </c>
    </row>
    <row r="162" spans="1:6">
      <c r="A162" s="253" t="s">
        <v>1551</v>
      </c>
      <c r="B162" s="253" t="s">
        <v>102</v>
      </c>
      <c r="C162" s="253" t="s">
        <v>1366</v>
      </c>
      <c r="D162" s="253" t="s">
        <v>1579</v>
      </c>
      <c r="E162" s="253" t="s">
        <v>326</v>
      </c>
      <c r="F162" s="253" t="s">
        <v>1580</v>
      </c>
    </row>
    <row r="163" spans="1:6">
      <c r="A163" s="253" t="s">
        <v>1551</v>
      </c>
      <c r="B163" s="253" t="s">
        <v>104</v>
      </c>
      <c r="C163" s="253" t="s">
        <v>1366</v>
      </c>
      <c r="D163" s="253" t="s">
        <v>1581</v>
      </c>
      <c r="E163" s="253" t="s">
        <v>327</v>
      </c>
      <c r="F163" s="253" t="s">
        <v>105</v>
      </c>
    </row>
    <row r="164" spans="1:6">
      <c r="A164" s="253" t="s">
        <v>1551</v>
      </c>
      <c r="B164" s="253" t="s">
        <v>106</v>
      </c>
      <c r="C164" s="253" t="s">
        <v>1366</v>
      </c>
      <c r="D164" s="253" t="s">
        <v>1582</v>
      </c>
      <c r="E164" s="253" t="s">
        <v>328</v>
      </c>
      <c r="F164" s="253" t="s">
        <v>107</v>
      </c>
    </row>
    <row r="165" spans="1:6">
      <c r="A165" s="253" t="s">
        <v>1551</v>
      </c>
      <c r="B165" s="253" t="s">
        <v>186</v>
      </c>
      <c r="C165" s="253" t="s">
        <v>1366</v>
      </c>
      <c r="D165" s="253" t="s">
        <v>1583</v>
      </c>
      <c r="E165" s="253" t="s">
        <v>329</v>
      </c>
      <c r="F165" s="253" t="s">
        <v>181</v>
      </c>
    </row>
    <row r="166" spans="1:6">
      <c r="A166" s="253" t="s">
        <v>1551</v>
      </c>
      <c r="B166" s="253" t="s">
        <v>108</v>
      </c>
      <c r="C166" s="253" t="s">
        <v>1366</v>
      </c>
      <c r="D166" s="253" t="s">
        <v>1584</v>
      </c>
      <c r="E166" s="253" t="s">
        <v>330</v>
      </c>
      <c r="F166" s="253" t="s">
        <v>569</v>
      </c>
    </row>
    <row r="167" spans="1:6">
      <c r="A167" s="253" t="s">
        <v>1551</v>
      </c>
      <c r="B167" s="253" t="s">
        <v>159</v>
      </c>
      <c r="C167" s="253" t="s">
        <v>1366</v>
      </c>
      <c r="D167" s="253" t="s">
        <v>1585</v>
      </c>
      <c r="E167" s="253" t="s">
        <v>331</v>
      </c>
      <c r="F167" s="253" t="s">
        <v>160</v>
      </c>
    </row>
    <row r="168" spans="1:6">
      <c r="A168" s="253" t="s">
        <v>1551</v>
      </c>
      <c r="B168" s="253" t="s">
        <v>161</v>
      </c>
      <c r="C168" s="253" t="s">
        <v>1366</v>
      </c>
      <c r="D168" s="253" t="s">
        <v>1586</v>
      </c>
      <c r="E168" s="253" t="s">
        <v>332</v>
      </c>
      <c r="F168" s="253" t="s">
        <v>162</v>
      </c>
    </row>
    <row r="169" spans="1:6">
      <c r="A169" s="253" t="s">
        <v>1551</v>
      </c>
      <c r="B169" s="253" t="s">
        <v>163</v>
      </c>
      <c r="C169" s="253" t="s">
        <v>1366</v>
      </c>
      <c r="D169" s="253" t="s">
        <v>1587</v>
      </c>
      <c r="E169" s="253" t="s">
        <v>333</v>
      </c>
      <c r="F169" s="253" t="s">
        <v>164</v>
      </c>
    </row>
    <row r="170" spans="1:6">
      <c r="A170" s="253" t="s">
        <v>1551</v>
      </c>
      <c r="B170" s="253" t="s">
        <v>165</v>
      </c>
      <c r="C170" s="253" t="s">
        <v>1366</v>
      </c>
      <c r="D170" s="253" t="s">
        <v>1588</v>
      </c>
      <c r="E170" s="253" t="s">
        <v>334</v>
      </c>
      <c r="F170" s="253" t="s">
        <v>166</v>
      </c>
    </row>
    <row r="171" spans="1:6">
      <c r="A171" s="253" t="s">
        <v>1551</v>
      </c>
      <c r="B171" s="253" t="s">
        <v>187</v>
      </c>
      <c r="C171" s="253" t="s">
        <v>1366</v>
      </c>
      <c r="D171" s="253" t="s">
        <v>1589</v>
      </c>
      <c r="E171" s="253" t="s">
        <v>335</v>
      </c>
      <c r="F171" s="253" t="s">
        <v>1590</v>
      </c>
    </row>
    <row r="172" spans="1:6">
      <c r="A172" s="253" t="s">
        <v>1551</v>
      </c>
      <c r="B172" s="253" t="s">
        <v>109</v>
      </c>
      <c r="C172" s="253" t="s">
        <v>1366</v>
      </c>
      <c r="D172" s="253" t="s">
        <v>1591</v>
      </c>
      <c r="E172" s="253" t="s">
        <v>336</v>
      </c>
      <c r="F172" s="253" t="s">
        <v>167</v>
      </c>
    </row>
    <row r="173" spans="1:6">
      <c r="A173" s="253" t="s">
        <v>1551</v>
      </c>
      <c r="B173" s="253" t="s">
        <v>110</v>
      </c>
      <c r="C173" s="253" t="s">
        <v>1366</v>
      </c>
      <c r="D173" s="253" t="s">
        <v>1592</v>
      </c>
      <c r="E173" s="253" t="s">
        <v>337</v>
      </c>
      <c r="F173" s="253" t="s">
        <v>168</v>
      </c>
    </row>
    <row r="174" spans="1:6">
      <c r="A174" s="253" t="s">
        <v>1551</v>
      </c>
      <c r="B174" s="253" t="s">
        <v>111</v>
      </c>
      <c r="C174" s="253" t="s">
        <v>1366</v>
      </c>
      <c r="D174" s="253" t="s">
        <v>1593</v>
      </c>
      <c r="E174" s="253" t="s">
        <v>338</v>
      </c>
      <c r="F174" s="253" t="s">
        <v>112</v>
      </c>
    </row>
    <row r="175" spans="1:6">
      <c r="A175" s="253" t="s">
        <v>1551</v>
      </c>
      <c r="B175" s="253" t="s">
        <v>113</v>
      </c>
      <c r="C175" s="253" t="s">
        <v>1366</v>
      </c>
      <c r="D175" s="253" t="s">
        <v>1594</v>
      </c>
      <c r="E175" s="253" t="s">
        <v>339</v>
      </c>
      <c r="F175" s="253" t="s">
        <v>114</v>
      </c>
    </row>
    <row r="176" spans="1:6">
      <c r="A176" s="253" t="s">
        <v>1551</v>
      </c>
      <c r="B176" s="253" t="s">
        <v>115</v>
      </c>
      <c r="C176" s="253" t="s">
        <v>1366</v>
      </c>
      <c r="D176" s="253" t="s">
        <v>1595</v>
      </c>
      <c r="E176" s="253" t="s">
        <v>340</v>
      </c>
      <c r="F176" s="253" t="s">
        <v>116</v>
      </c>
    </row>
    <row r="177" spans="1:6">
      <c r="A177" s="253" t="s">
        <v>1551</v>
      </c>
      <c r="B177" s="253" t="s">
        <v>117</v>
      </c>
      <c r="C177" s="253" t="s">
        <v>1366</v>
      </c>
      <c r="D177" s="253" t="s">
        <v>1596</v>
      </c>
      <c r="E177" s="253" t="s">
        <v>341</v>
      </c>
      <c r="F177" s="253" t="s">
        <v>118</v>
      </c>
    </row>
    <row r="178" spans="1:6">
      <c r="A178" s="253" t="s">
        <v>1551</v>
      </c>
      <c r="B178" s="253" t="s">
        <v>169</v>
      </c>
      <c r="C178" s="253" t="s">
        <v>1366</v>
      </c>
      <c r="D178" s="253" t="s">
        <v>1597</v>
      </c>
      <c r="E178" s="253" t="s">
        <v>342</v>
      </c>
      <c r="F178" s="253" t="s">
        <v>170</v>
      </c>
    </row>
    <row r="179" spans="1:6">
      <c r="A179" s="253" t="s">
        <v>1551</v>
      </c>
      <c r="B179" s="253" t="s">
        <v>119</v>
      </c>
      <c r="C179" s="253" t="s">
        <v>1366</v>
      </c>
      <c r="D179" s="253" t="s">
        <v>1598</v>
      </c>
      <c r="E179" s="253" t="s">
        <v>343</v>
      </c>
      <c r="F179" s="253" t="s">
        <v>120</v>
      </c>
    </row>
    <row r="180" spans="1:6">
      <c r="A180" s="253" t="s">
        <v>1551</v>
      </c>
      <c r="B180" s="253" t="s">
        <v>171</v>
      </c>
      <c r="C180" s="253" t="s">
        <v>1366</v>
      </c>
      <c r="D180" s="253" t="s">
        <v>1599</v>
      </c>
      <c r="E180" s="253" t="s">
        <v>344</v>
      </c>
      <c r="F180" s="253" t="s">
        <v>172</v>
      </c>
    </row>
    <row r="181" spans="1:6">
      <c r="A181" s="253" t="s">
        <v>1551</v>
      </c>
      <c r="B181" s="253" t="s">
        <v>121</v>
      </c>
      <c r="C181" s="253" t="s">
        <v>1366</v>
      </c>
      <c r="D181" s="253" t="s">
        <v>1600</v>
      </c>
      <c r="E181" s="253" t="s">
        <v>345</v>
      </c>
      <c r="F181" s="253" t="s">
        <v>173</v>
      </c>
    </row>
    <row r="182" spans="1:6">
      <c r="A182" s="253" t="s">
        <v>1551</v>
      </c>
      <c r="B182" s="253" t="s">
        <v>122</v>
      </c>
      <c r="C182" s="253" t="s">
        <v>1366</v>
      </c>
      <c r="D182" s="253" t="s">
        <v>1601</v>
      </c>
      <c r="E182" s="253" t="s">
        <v>346</v>
      </c>
      <c r="F182" s="253" t="s">
        <v>174</v>
      </c>
    </row>
    <row r="183" spans="1:6">
      <c r="A183" s="253" t="s">
        <v>1551</v>
      </c>
      <c r="B183" s="253" t="s">
        <v>123</v>
      </c>
      <c r="C183" s="253" t="s">
        <v>1366</v>
      </c>
      <c r="D183" s="253" t="s">
        <v>1602</v>
      </c>
      <c r="E183" s="253" t="s">
        <v>347</v>
      </c>
      <c r="F183" s="253" t="s">
        <v>124</v>
      </c>
    </row>
    <row r="184" spans="1:6">
      <c r="A184" s="253" t="s">
        <v>1551</v>
      </c>
      <c r="B184" s="253" t="s">
        <v>125</v>
      </c>
      <c r="C184" s="253" t="s">
        <v>1366</v>
      </c>
      <c r="D184" s="253" t="s">
        <v>1603</v>
      </c>
      <c r="E184" s="253" t="s">
        <v>348</v>
      </c>
      <c r="F184" s="253" t="s">
        <v>126</v>
      </c>
    </row>
    <row r="185" spans="1:6">
      <c r="A185" s="253" t="s">
        <v>1551</v>
      </c>
      <c r="B185" s="253" t="s">
        <v>127</v>
      </c>
      <c r="C185" s="253" t="s">
        <v>1366</v>
      </c>
      <c r="D185" s="253" t="s">
        <v>1604</v>
      </c>
      <c r="E185" s="253" t="s">
        <v>349</v>
      </c>
      <c r="F185" s="253" t="s">
        <v>128</v>
      </c>
    </row>
    <row r="186" spans="1:6">
      <c r="A186" s="253" t="s">
        <v>1551</v>
      </c>
      <c r="B186" s="253" t="s">
        <v>129</v>
      </c>
      <c r="C186" s="253" t="s">
        <v>1366</v>
      </c>
      <c r="D186" s="253" t="s">
        <v>1605</v>
      </c>
      <c r="E186" s="253" t="s">
        <v>1606</v>
      </c>
      <c r="F186" s="253" t="s">
        <v>175</v>
      </c>
    </row>
    <row r="187" spans="1:6">
      <c r="A187" s="253" t="s">
        <v>1551</v>
      </c>
      <c r="B187" s="253" t="s">
        <v>130</v>
      </c>
      <c r="C187" s="253" t="s">
        <v>1366</v>
      </c>
      <c r="D187" s="253" t="s">
        <v>1607</v>
      </c>
      <c r="E187" s="253" t="s">
        <v>350</v>
      </c>
      <c r="F187" s="253" t="s">
        <v>176</v>
      </c>
    </row>
    <row r="188" spans="1:6">
      <c r="A188" s="253" t="s">
        <v>1551</v>
      </c>
      <c r="B188" s="253" t="s">
        <v>131</v>
      </c>
      <c r="C188" s="253" t="s">
        <v>1366</v>
      </c>
      <c r="D188" s="253" t="s">
        <v>1608</v>
      </c>
      <c r="E188" s="253" t="s">
        <v>351</v>
      </c>
      <c r="F188" s="253" t="s">
        <v>132</v>
      </c>
    </row>
    <row r="189" spans="1:6">
      <c r="A189" s="253" t="s">
        <v>1551</v>
      </c>
      <c r="B189" s="253" t="s">
        <v>133</v>
      </c>
      <c r="C189" s="253" t="s">
        <v>1366</v>
      </c>
      <c r="D189" s="253" t="s">
        <v>1609</v>
      </c>
      <c r="E189" s="253" t="s">
        <v>1610</v>
      </c>
      <c r="F189" s="253" t="s">
        <v>134</v>
      </c>
    </row>
    <row r="190" spans="1:6">
      <c r="A190" s="253" t="s">
        <v>1551</v>
      </c>
      <c r="B190" s="253" t="s">
        <v>135</v>
      </c>
      <c r="C190" s="253" t="s">
        <v>1366</v>
      </c>
      <c r="D190" s="253" t="s">
        <v>1611</v>
      </c>
      <c r="E190" s="253" t="s">
        <v>352</v>
      </c>
      <c r="F190" s="253" t="s">
        <v>136</v>
      </c>
    </row>
    <row r="191" spans="1:6">
      <c r="A191" s="253" t="s">
        <v>1551</v>
      </c>
      <c r="B191" s="253" t="s">
        <v>177</v>
      </c>
      <c r="C191" s="253" t="s">
        <v>1366</v>
      </c>
      <c r="D191" s="253" t="s">
        <v>1612</v>
      </c>
      <c r="E191" s="253" t="s">
        <v>1613</v>
      </c>
      <c r="F191" s="253" t="s">
        <v>178</v>
      </c>
    </row>
    <row r="192" spans="1:6">
      <c r="A192" s="253" t="s">
        <v>1551</v>
      </c>
      <c r="B192" s="253" t="s">
        <v>137</v>
      </c>
      <c r="C192" s="253" t="s">
        <v>1366</v>
      </c>
      <c r="D192" s="253" t="s">
        <v>1614</v>
      </c>
      <c r="E192" s="253" t="s">
        <v>353</v>
      </c>
      <c r="F192" s="253" t="s">
        <v>138</v>
      </c>
    </row>
    <row r="193" spans="1:6">
      <c r="A193" s="253" t="s">
        <v>1551</v>
      </c>
      <c r="B193" s="253" t="s">
        <v>139</v>
      </c>
      <c r="C193" s="253" t="s">
        <v>1366</v>
      </c>
      <c r="D193" s="253" t="s">
        <v>1615</v>
      </c>
      <c r="E193" s="253" t="s">
        <v>354</v>
      </c>
      <c r="F193" s="253" t="s">
        <v>1616</v>
      </c>
    </row>
    <row r="194" spans="1:6">
      <c r="A194" s="253" t="s">
        <v>1551</v>
      </c>
      <c r="B194" s="253" t="s">
        <v>141</v>
      </c>
      <c r="C194" s="253" t="s">
        <v>1366</v>
      </c>
      <c r="D194" s="253" t="s">
        <v>1617</v>
      </c>
      <c r="E194" s="253" t="s">
        <v>355</v>
      </c>
      <c r="F194" s="253" t="s">
        <v>142</v>
      </c>
    </row>
    <row r="195" spans="1:6">
      <c r="A195" s="253" t="s">
        <v>1551</v>
      </c>
      <c r="B195" s="253" t="s">
        <v>179</v>
      </c>
      <c r="C195" s="253" t="s">
        <v>1366</v>
      </c>
      <c r="D195" s="253" t="s">
        <v>1618</v>
      </c>
      <c r="E195" s="253" t="s">
        <v>356</v>
      </c>
      <c r="F195" s="253" t="s">
        <v>180</v>
      </c>
    </row>
    <row r="196" spans="1:6">
      <c r="A196" s="253" t="s">
        <v>1551</v>
      </c>
      <c r="B196" s="253" t="s">
        <v>188</v>
      </c>
      <c r="C196" s="253" t="s">
        <v>1366</v>
      </c>
      <c r="D196" s="253" t="s">
        <v>1619</v>
      </c>
      <c r="E196" s="253" t="s">
        <v>357</v>
      </c>
      <c r="F196" s="253" t="s">
        <v>182</v>
      </c>
    </row>
    <row r="197" spans="1:6">
      <c r="A197" s="253" t="s">
        <v>1551</v>
      </c>
      <c r="B197" s="253" t="s">
        <v>143</v>
      </c>
      <c r="C197" s="253" t="s">
        <v>1366</v>
      </c>
      <c r="D197" s="253" t="s">
        <v>1422</v>
      </c>
      <c r="E197" s="253" t="s">
        <v>302</v>
      </c>
      <c r="F197" s="253" t="s">
        <v>144</v>
      </c>
    </row>
    <row r="199" spans="1:6">
      <c r="A199" s="253" t="s">
        <v>1365</v>
      </c>
      <c r="B199" s="253" t="s">
        <v>561</v>
      </c>
      <c r="C199" s="253" t="s">
        <v>1366</v>
      </c>
      <c r="D199" s="253" t="s">
        <v>1367</v>
      </c>
      <c r="E199" s="253" t="s">
        <v>562</v>
      </c>
      <c r="F199" s="253" t="s">
        <v>563</v>
      </c>
    </row>
    <row r="200" spans="1:6">
      <c r="A200" s="253" t="s">
        <v>1365</v>
      </c>
      <c r="B200" s="253" t="s">
        <v>564</v>
      </c>
      <c r="C200" s="253" t="s">
        <v>1366</v>
      </c>
      <c r="D200" s="253" t="s">
        <v>1368</v>
      </c>
      <c r="E200" s="253" t="s">
        <v>1396</v>
      </c>
      <c r="F200" s="253" t="s">
        <v>565</v>
      </c>
    </row>
    <row r="201" spans="1:6">
      <c r="A201" s="253" t="s">
        <v>1365</v>
      </c>
      <c r="B201" s="253" t="s">
        <v>566</v>
      </c>
      <c r="C201" s="253" t="s">
        <v>1366</v>
      </c>
      <c r="D201" s="253" t="s">
        <v>1369</v>
      </c>
      <c r="E201" s="253" t="s">
        <v>1397</v>
      </c>
      <c r="F201" s="253" t="s">
        <v>567</v>
      </c>
    </row>
    <row r="202" spans="1:6">
      <c r="A202" s="253" t="s">
        <v>1365</v>
      </c>
      <c r="B202" s="253" t="s">
        <v>1370</v>
      </c>
      <c r="C202" s="253" t="s">
        <v>1366</v>
      </c>
      <c r="D202" s="253" t="s">
        <v>1371</v>
      </c>
      <c r="E202" s="253" t="s">
        <v>1398</v>
      </c>
      <c r="F202" s="253" t="s">
        <v>1324</v>
      </c>
    </row>
    <row r="203" spans="1:6">
      <c r="A203" s="253" t="s">
        <v>1365</v>
      </c>
      <c r="B203" s="253" t="s">
        <v>568</v>
      </c>
      <c r="C203" s="253" t="s">
        <v>1366</v>
      </c>
      <c r="D203" s="253" t="s">
        <v>1372</v>
      </c>
      <c r="E203" s="253" t="s">
        <v>1399</v>
      </c>
      <c r="F203" s="253" t="s">
        <v>569</v>
      </c>
    </row>
    <row r="204" spans="1:6">
      <c r="A204" s="253" t="s">
        <v>1365</v>
      </c>
      <c r="B204" s="253" t="s">
        <v>570</v>
      </c>
      <c r="C204" s="253" t="s">
        <v>1366</v>
      </c>
      <c r="D204" s="253" t="s">
        <v>1373</v>
      </c>
      <c r="E204" s="253" t="s">
        <v>1400</v>
      </c>
      <c r="F204" s="253" t="s">
        <v>571</v>
      </c>
    </row>
    <row r="205" spans="1:6">
      <c r="A205" s="253" t="s">
        <v>1365</v>
      </c>
      <c r="B205" s="253" t="s">
        <v>1374</v>
      </c>
      <c r="C205" s="253" t="s">
        <v>1366</v>
      </c>
      <c r="D205" s="253" t="s">
        <v>1375</v>
      </c>
      <c r="E205" s="253" t="s">
        <v>1401</v>
      </c>
      <c r="F205" s="253" t="s">
        <v>1376</v>
      </c>
    </row>
    <row r="206" spans="1:6">
      <c r="A206" s="253" t="s">
        <v>1365</v>
      </c>
      <c r="B206" s="253" t="s">
        <v>572</v>
      </c>
      <c r="C206" s="253" t="s">
        <v>1366</v>
      </c>
      <c r="D206" s="253" t="s">
        <v>1377</v>
      </c>
      <c r="E206" s="253" t="s">
        <v>573</v>
      </c>
      <c r="F206" s="253" t="s">
        <v>574</v>
      </c>
    </row>
    <row r="207" spans="1:6">
      <c r="A207" s="253" t="s">
        <v>1365</v>
      </c>
      <c r="B207" s="253" t="s">
        <v>575</v>
      </c>
      <c r="C207" s="253" t="s">
        <v>1366</v>
      </c>
      <c r="D207" s="253" t="s">
        <v>1378</v>
      </c>
      <c r="E207" s="253" t="s">
        <v>576</v>
      </c>
      <c r="F207" s="253" t="s">
        <v>577</v>
      </c>
    </row>
    <row r="208" spans="1:6">
      <c r="A208" s="253" t="s">
        <v>1365</v>
      </c>
      <c r="B208" s="253" t="s">
        <v>578</v>
      </c>
      <c r="C208" s="253" t="s">
        <v>1366</v>
      </c>
      <c r="D208" s="253" t="s">
        <v>1379</v>
      </c>
      <c r="E208" s="253" t="s">
        <v>579</v>
      </c>
      <c r="F208" s="253" t="s">
        <v>580</v>
      </c>
    </row>
    <row r="209" spans="1:6">
      <c r="A209" s="253" t="s">
        <v>1365</v>
      </c>
      <c r="B209" s="253" t="s">
        <v>581</v>
      </c>
      <c r="C209" s="253" t="s">
        <v>1366</v>
      </c>
      <c r="D209" s="253" t="s">
        <v>1380</v>
      </c>
      <c r="E209" s="253" t="s">
        <v>582</v>
      </c>
      <c r="F209" s="253" t="s">
        <v>583</v>
      </c>
    </row>
    <row r="210" spans="1:6">
      <c r="A210" s="253" t="s">
        <v>1365</v>
      </c>
      <c r="B210" s="253" t="s">
        <v>584</v>
      </c>
      <c r="C210" s="253" t="s">
        <v>1366</v>
      </c>
      <c r="D210" s="253" t="s">
        <v>1381</v>
      </c>
      <c r="E210" s="253" t="s">
        <v>585</v>
      </c>
      <c r="F210" s="253" t="s">
        <v>586</v>
      </c>
    </row>
    <row r="211" spans="1:6">
      <c r="A211" s="253" t="s">
        <v>1365</v>
      </c>
      <c r="B211" s="253" t="s">
        <v>587</v>
      </c>
      <c r="C211" s="253" t="s">
        <v>1366</v>
      </c>
      <c r="D211" s="253" t="s">
        <v>1382</v>
      </c>
      <c r="E211" s="253" t="s">
        <v>588</v>
      </c>
      <c r="F211" s="253" t="s">
        <v>589</v>
      </c>
    </row>
    <row r="212" spans="1:6">
      <c r="A212" s="253" t="s">
        <v>1365</v>
      </c>
      <c r="B212" s="253" t="s">
        <v>590</v>
      </c>
      <c r="C212" s="253" t="s">
        <v>1366</v>
      </c>
      <c r="D212" s="253" t="s">
        <v>1383</v>
      </c>
      <c r="E212" s="253" t="s">
        <v>591</v>
      </c>
      <c r="F212" s="253" t="s">
        <v>592</v>
      </c>
    </row>
    <row r="213" spans="1:6">
      <c r="A213" s="253" t="s">
        <v>1365</v>
      </c>
      <c r="B213" s="253" t="s">
        <v>593</v>
      </c>
      <c r="C213" s="253" t="s">
        <v>1366</v>
      </c>
      <c r="D213" s="253" t="s">
        <v>1384</v>
      </c>
      <c r="E213" s="253" t="s">
        <v>594</v>
      </c>
      <c r="F213" s="253" t="s">
        <v>595</v>
      </c>
    </row>
    <row r="214" spans="1:6">
      <c r="A214" s="253" t="s">
        <v>1365</v>
      </c>
      <c r="B214" s="253" t="s">
        <v>596</v>
      </c>
      <c r="C214" s="253" t="s">
        <v>1366</v>
      </c>
      <c r="D214" s="253" t="s">
        <v>1385</v>
      </c>
      <c r="E214" s="253" t="s">
        <v>597</v>
      </c>
      <c r="F214" s="253" t="s">
        <v>598</v>
      </c>
    </row>
    <row r="215" spans="1:6">
      <c r="A215" s="253" t="s">
        <v>1365</v>
      </c>
      <c r="B215" s="253" t="s">
        <v>599</v>
      </c>
      <c r="C215" s="253" t="s">
        <v>1366</v>
      </c>
      <c r="D215" s="253" t="s">
        <v>1386</v>
      </c>
      <c r="E215" s="253" t="s">
        <v>600</v>
      </c>
      <c r="F215" s="253" t="s">
        <v>601</v>
      </c>
    </row>
    <row r="216" spans="1:6">
      <c r="A216" s="253" t="s">
        <v>1365</v>
      </c>
      <c r="B216" s="253" t="s">
        <v>602</v>
      </c>
      <c r="C216" s="253" t="s">
        <v>1366</v>
      </c>
      <c r="D216" s="253" t="s">
        <v>1387</v>
      </c>
      <c r="E216" s="253" t="s">
        <v>603</v>
      </c>
      <c r="F216" s="253" t="s">
        <v>604</v>
      </c>
    </row>
    <row r="217" spans="1:6">
      <c r="A217" s="253" t="s">
        <v>1365</v>
      </c>
      <c r="B217" s="253" t="s">
        <v>605</v>
      </c>
      <c r="C217" s="253" t="s">
        <v>1366</v>
      </c>
      <c r="D217" s="253" t="s">
        <v>1388</v>
      </c>
      <c r="E217" s="253" t="s">
        <v>606</v>
      </c>
      <c r="F217" s="253" t="s">
        <v>607</v>
      </c>
    </row>
    <row r="218" spans="1:6">
      <c r="A218" s="253" t="s">
        <v>1365</v>
      </c>
      <c r="B218" s="253" t="s">
        <v>608</v>
      </c>
      <c r="C218" s="253" t="s">
        <v>1366</v>
      </c>
      <c r="D218" s="253" t="s">
        <v>1389</v>
      </c>
      <c r="E218" s="253" t="s">
        <v>609</v>
      </c>
      <c r="F218" s="253" t="s">
        <v>610</v>
      </c>
    </row>
    <row r="219" spans="1:6">
      <c r="A219" s="253" t="s">
        <v>1365</v>
      </c>
      <c r="B219" s="253" t="s">
        <v>611</v>
      </c>
      <c r="C219" s="253" t="s">
        <v>1366</v>
      </c>
      <c r="D219" s="253" t="s">
        <v>1390</v>
      </c>
      <c r="E219" s="253" t="s">
        <v>612</v>
      </c>
      <c r="F219" s="253" t="s">
        <v>613</v>
      </c>
    </row>
    <row r="220" spans="1:6">
      <c r="A220" s="253" t="s">
        <v>1365</v>
      </c>
      <c r="B220" s="253" t="s">
        <v>614</v>
      </c>
      <c r="C220" s="253" t="s">
        <v>1366</v>
      </c>
      <c r="D220" s="253" t="s">
        <v>1391</v>
      </c>
      <c r="E220" s="253" t="s">
        <v>615</v>
      </c>
      <c r="F220" s="253" t="s">
        <v>616</v>
      </c>
    </row>
    <row r="221" spans="1:6">
      <c r="A221" s="253" t="s">
        <v>1365</v>
      </c>
      <c r="B221" s="253" t="s">
        <v>617</v>
      </c>
      <c r="C221" s="253" t="s">
        <v>1366</v>
      </c>
      <c r="D221" s="253" t="s">
        <v>1392</v>
      </c>
      <c r="E221" s="253" t="s">
        <v>1402</v>
      </c>
      <c r="F221" s="253" t="s">
        <v>618</v>
      </c>
    </row>
    <row r="222" spans="1:6">
      <c r="A222" s="253" t="s">
        <v>1365</v>
      </c>
      <c r="B222" s="253" t="s">
        <v>619</v>
      </c>
      <c r="C222" s="253" t="s">
        <v>1366</v>
      </c>
      <c r="D222" s="253" t="s">
        <v>1393</v>
      </c>
      <c r="E222" s="253" t="s">
        <v>620</v>
      </c>
      <c r="F222" s="253" t="s">
        <v>621</v>
      </c>
    </row>
    <row r="223" spans="1:6">
      <c r="A223" s="253" t="s">
        <v>1365</v>
      </c>
      <c r="B223" s="253" t="s">
        <v>622</v>
      </c>
      <c r="C223" s="253" t="s">
        <v>1366</v>
      </c>
      <c r="D223" s="253" t="s">
        <v>1394</v>
      </c>
      <c r="E223" s="253" t="s">
        <v>1395</v>
      </c>
      <c r="F223" s="253" t="s">
        <v>623</v>
      </c>
    </row>
    <row r="224" spans="1:6">
      <c r="A224" s="253"/>
      <c r="B224" s="253"/>
      <c r="C224" s="253"/>
      <c r="D224" s="253"/>
      <c r="E224" s="253"/>
      <c r="F224" s="253"/>
    </row>
    <row r="225" spans="1:6">
      <c r="A225" s="253" t="s">
        <v>1712</v>
      </c>
      <c r="B225" s="253" t="s">
        <v>206</v>
      </c>
      <c r="C225" s="253" t="s">
        <v>1366</v>
      </c>
      <c r="D225" s="253" t="s">
        <v>1713</v>
      </c>
      <c r="E225" s="253" t="s">
        <v>1714</v>
      </c>
      <c r="F225" s="253" t="s">
        <v>207</v>
      </c>
    </row>
    <row r="226" spans="1:6">
      <c r="A226" s="253" t="s">
        <v>1712</v>
      </c>
      <c r="B226" s="253" t="s">
        <v>208</v>
      </c>
      <c r="C226" s="253" t="s">
        <v>1366</v>
      </c>
      <c r="D226" s="253" t="s">
        <v>1715</v>
      </c>
      <c r="E226" s="253" t="s">
        <v>1716</v>
      </c>
      <c r="F226" s="253" t="s">
        <v>209</v>
      </c>
    </row>
    <row r="227" spans="1:6">
      <c r="A227" s="253" t="s">
        <v>1712</v>
      </c>
      <c r="B227" s="253" t="s">
        <v>210</v>
      </c>
      <c r="C227" s="253" t="s">
        <v>1366</v>
      </c>
      <c r="D227" s="253" t="s">
        <v>1717</v>
      </c>
      <c r="E227" s="253" t="s">
        <v>1718</v>
      </c>
      <c r="F227" s="253" t="s">
        <v>211</v>
      </c>
    </row>
    <row r="228" spans="1:6">
      <c r="A228" s="253" t="s">
        <v>1712</v>
      </c>
      <c r="B228" s="253" t="s">
        <v>212</v>
      </c>
      <c r="C228" s="253" t="s">
        <v>1366</v>
      </c>
      <c r="D228" s="253" t="s">
        <v>1719</v>
      </c>
      <c r="E228" s="253" t="s">
        <v>1720</v>
      </c>
      <c r="F228" s="253" t="s">
        <v>213</v>
      </c>
    </row>
    <row r="229" spans="1:6">
      <c r="A229" s="253" t="s">
        <v>1712</v>
      </c>
      <c r="B229" s="253" t="s">
        <v>214</v>
      </c>
      <c r="C229" s="253" t="s">
        <v>1366</v>
      </c>
      <c r="D229" s="253" t="s">
        <v>1515</v>
      </c>
      <c r="E229" s="253" t="s">
        <v>921</v>
      </c>
      <c r="F229" s="253" t="s">
        <v>215</v>
      </c>
    </row>
    <row r="230" spans="1:6">
      <c r="A230" s="253" t="s">
        <v>1712</v>
      </c>
      <c r="B230" s="253" t="s">
        <v>216</v>
      </c>
      <c r="C230" s="253" t="s">
        <v>1366</v>
      </c>
      <c r="D230" s="253" t="s">
        <v>1721</v>
      </c>
      <c r="E230" s="253" t="s">
        <v>1722</v>
      </c>
      <c r="F230" s="253" t="s">
        <v>217</v>
      </c>
    </row>
    <row r="231" spans="1:6">
      <c r="A231" s="253" t="s">
        <v>1712</v>
      </c>
      <c r="B231" s="253" t="s">
        <v>218</v>
      </c>
      <c r="C231" s="253" t="s">
        <v>1366</v>
      </c>
      <c r="D231" s="253" t="s">
        <v>1723</v>
      </c>
      <c r="E231" s="253" t="s">
        <v>1724</v>
      </c>
      <c r="F231" s="253" t="s">
        <v>219</v>
      </c>
    </row>
    <row r="232" spans="1:6">
      <c r="A232" s="253" t="s">
        <v>1712</v>
      </c>
      <c r="B232" s="253" t="s">
        <v>220</v>
      </c>
      <c r="C232" s="253" t="s">
        <v>1366</v>
      </c>
      <c r="D232" s="253" t="s">
        <v>1725</v>
      </c>
      <c r="E232" s="253" t="s">
        <v>1726</v>
      </c>
      <c r="F232" s="253" t="s">
        <v>221</v>
      </c>
    </row>
    <row r="233" spans="1:6">
      <c r="A233" s="253" t="s">
        <v>1712</v>
      </c>
      <c r="B233" s="253" t="s">
        <v>222</v>
      </c>
      <c r="C233" s="253" t="s">
        <v>1366</v>
      </c>
      <c r="D233" s="253" t="s">
        <v>1727</v>
      </c>
      <c r="E233" s="253" t="s">
        <v>1728</v>
      </c>
      <c r="F233" s="253" t="s">
        <v>223</v>
      </c>
    </row>
    <row r="234" spans="1:6">
      <c r="A234" s="253" t="s">
        <v>1712</v>
      </c>
      <c r="B234" s="253" t="s">
        <v>224</v>
      </c>
      <c r="C234" s="253" t="s">
        <v>1366</v>
      </c>
      <c r="D234" s="253" t="s">
        <v>1729</v>
      </c>
      <c r="E234" s="253" t="s">
        <v>1730</v>
      </c>
      <c r="F234" s="253" t="s">
        <v>225</v>
      </c>
    </row>
    <row r="235" spans="1:6">
      <c r="A235" s="253" t="s">
        <v>1712</v>
      </c>
      <c r="B235" s="253" t="s">
        <v>226</v>
      </c>
      <c r="C235" s="253" t="s">
        <v>1366</v>
      </c>
      <c r="D235" s="253" t="s">
        <v>1731</v>
      </c>
      <c r="E235" s="253" t="s">
        <v>1732</v>
      </c>
      <c r="F235" s="253" t="s">
        <v>227</v>
      </c>
    </row>
    <row r="236" spans="1:6">
      <c r="A236" s="253" t="s">
        <v>1712</v>
      </c>
      <c r="B236" s="253" t="s">
        <v>228</v>
      </c>
      <c r="C236" s="253" t="s">
        <v>1366</v>
      </c>
      <c r="D236" s="253" t="s">
        <v>1733</v>
      </c>
      <c r="E236" s="253" t="s">
        <v>1734</v>
      </c>
      <c r="F236" s="253" t="s">
        <v>229</v>
      </c>
    </row>
    <row r="237" spans="1:6">
      <c r="A237" s="253" t="s">
        <v>1712</v>
      </c>
      <c r="B237" s="253" t="s">
        <v>230</v>
      </c>
      <c r="C237" s="253" t="s">
        <v>1366</v>
      </c>
      <c r="D237" s="253" t="s">
        <v>1735</v>
      </c>
      <c r="E237" s="253" t="s">
        <v>1736</v>
      </c>
      <c r="F237" s="253" t="s">
        <v>231</v>
      </c>
    </row>
    <row r="238" spans="1:6">
      <c r="A238" s="253" t="s">
        <v>1712</v>
      </c>
      <c r="B238" s="253" t="s">
        <v>232</v>
      </c>
      <c r="C238" s="253" t="s">
        <v>1366</v>
      </c>
      <c r="D238" s="253" t="s">
        <v>1737</v>
      </c>
      <c r="E238" s="253" t="s">
        <v>1738</v>
      </c>
      <c r="F238" s="253" t="s">
        <v>233</v>
      </c>
    </row>
    <row r="239" spans="1:6">
      <c r="A239" s="253" t="s">
        <v>1712</v>
      </c>
      <c r="B239" s="253" t="s">
        <v>234</v>
      </c>
      <c r="C239" s="253" t="s">
        <v>1366</v>
      </c>
      <c r="D239" s="253" t="s">
        <v>1739</v>
      </c>
      <c r="E239" s="253" t="s">
        <v>1740</v>
      </c>
      <c r="F239" s="253" t="s">
        <v>235</v>
      </c>
    </row>
    <row r="240" spans="1:6">
      <c r="A240" s="253" t="s">
        <v>1712</v>
      </c>
      <c r="B240" s="253" t="s">
        <v>236</v>
      </c>
      <c r="C240" s="253" t="s">
        <v>1366</v>
      </c>
      <c r="D240" s="253" t="s">
        <v>1741</v>
      </c>
      <c r="E240" s="253" t="s">
        <v>1742</v>
      </c>
      <c r="F240" s="253" t="s">
        <v>237</v>
      </c>
    </row>
    <row r="241" spans="1:6">
      <c r="A241" s="253" t="s">
        <v>1712</v>
      </c>
      <c r="B241" s="253" t="s">
        <v>238</v>
      </c>
      <c r="C241" s="253" t="s">
        <v>1366</v>
      </c>
      <c r="D241" s="253" t="s">
        <v>1743</v>
      </c>
      <c r="E241" s="253" t="s">
        <v>1744</v>
      </c>
      <c r="F241" s="253" t="s">
        <v>239</v>
      </c>
    </row>
    <row r="242" spans="1:6">
      <c r="A242" s="253" t="s">
        <v>1712</v>
      </c>
      <c r="B242" s="253" t="s">
        <v>240</v>
      </c>
      <c r="C242" s="253" t="s">
        <v>1366</v>
      </c>
      <c r="D242" s="253" t="s">
        <v>1745</v>
      </c>
      <c r="E242" s="253" t="s">
        <v>1746</v>
      </c>
      <c r="F242" s="253" t="s">
        <v>241</v>
      </c>
    </row>
    <row r="243" spans="1:6">
      <c r="A243" s="253" t="s">
        <v>1712</v>
      </c>
      <c r="B243" s="253" t="s">
        <v>242</v>
      </c>
      <c r="C243" s="253" t="s">
        <v>1366</v>
      </c>
      <c r="D243" s="253" t="s">
        <v>1422</v>
      </c>
      <c r="E243" s="253" t="s">
        <v>302</v>
      </c>
      <c r="F243" s="253" t="s">
        <v>144</v>
      </c>
    </row>
    <row r="244" spans="1:6">
      <c r="A244" s="253" t="s">
        <v>1712</v>
      </c>
      <c r="B244" s="253" t="s">
        <v>243</v>
      </c>
      <c r="C244" s="253" t="s">
        <v>1366</v>
      </c>
      <c r="D244" s="253" t="s">
        <v>1747</v>
      </c>
      <c r="E244" s="253" t="s">
        <v>1748</v>
      </c>
      <c r="F244" s="253" t="s">
        <v>244</v>
      </c>
    </row>
    <row r="245" spans="1:6">
      <c r="A245" s="253" t="s">
        <v>1712</v>
      </c>
      <c r="B245" s="253" t="s">
        <v>245</v>
      </c>
      <c r="C245" s="253" t="s">
        <v>1366</v>
      </c>
      <c r="D245" s="253" t="s">
        <v>1749</v>
      </c>
      <c r="E245" s="253" t="s">
        <v>1750</v>
      </c>
      <c r="F245" s="253" t="s">
        <v>246</v>
      </c>
    </row>
    <row r="246" spans="1:6">
      <c r="A246" s="253" t="s">
        <v>1712</v>
      </c>
      <c r="B246" s="253" t="s">
        <v>247</v>
      </c>
      <c r="C246" s="253" t="s">
        <v>1366</v>
      </c>
      <c r="D246" s="253" t="s">
        <v>1751</v>
      </c>
      <c r="E246" s="253" t="s">
        <v>1752</v>
      </c>
      <c r="F246" s="253" t="s">
        <v>248</v>
      </c>
    </row>
    <row r="247" spans="1:6">
      <c r="A247" s="253" t="s">
        <v>1712</v>
      </c>
      <c r="B247" s="253" t="s">
        <v>249</v>
      </c>
      <c r="C247" s="253" t="s">
        <v>1366</v>
      </c>
      <c r="D247" s="253" t="s">
        <v>1535</v>
      </c>
      <c r="E247" s="253" t="s">
        <v>1753</v>
      </c>
      <c r="F247" s="253" t="s">
        <v>250</v>
      </c>
    </row>
    <row r="248" spans="1:6">
      <c r="A248" s="253" t="s">
        <v>1712</v>
      </c>
      <c r="B248" s="253" t="s">
        <v>1343</v>
      </c>
      <c r="C248" s="253" t="s">
        <v>1366</v>
      </c>
      <c r="D248" s="253" t="s">
        <v>1754</v>
      </c>
      <c r="E248" s="253" t="s">
        <v>1755</v>
      </c>
      <c r="F248" s="253" t="s">
        <v>1345</v>
      </c>
    </row>
    <row r="249" spans="1:6">
      <c r="A249" s="253" t="s">
        <v>1712</v>
      </c>
      <c r="B249" s="253" t="s">
        <v>251</v>
      </c>
      <c r="C249" s="253" t="s">
        <v>1366</v>
      </c>
      <c r="D249" s="253" t="s">
        <v>1756</v>
      </c>
      <c r="E249" s="253" t="s">
        <v>1757</v>
      </c>
      <c r="F249" s="253" t="s">
        <v>252</v>
      </c>
    </row>
    <row r="250" spans="1:6">
      <c r="A250" s="253" t="s">
        <v>1712</v>
      </c>
      <c r="B250" s="253" t="s">
        <v>253</v>
      </c>
      <c r="C250" s="253" t="s">
        <v>1366</v>
      </c>
      <c r="D250" s="253" t="s">
        <v>1758</v>
      </c>
      <c r="E250" s="253" t="s">
        <v>1759</v>
      </c>
      <c r="F250" s="253" t="s">
        <v>254</v>
      </c>
    </row>
    <row r="251" spans="1:6">
      <c r="A251" s="253" t="s">
        <v>1712</v>
      </c>
      <c r="B251" s="253" t="s">
        <v>255</v>
      </c>
      <c r="C251" s="253" t="s">
        <v>1366</v>
      </c>
      <c r="D251" s="253" t="s">
        <v>1541</v>
      </c>
      <c r="E251" s="253" t="s">
        <v>960</v>
      </c>
      <c r="F251" s="253" t="s">
        <v>256</v>
      </c>
    </row>
    <row r="252" spans="1:6">
      <c r="A252" s="253" t="s">
        <v>1712</v>
      </c>
      <c r="B252" s="253" t="s">
        <v>257</v>
      </c>
      <c r="C252" s="253" t="s">
        <v>1366</v>
      </c>
      <c r="D252" s="253" t="s">
        <v>1760</v>
      </c>
      <c r="E252" s="253" t="s">
        <v>1761</v>
      </c>
      <c r="F252" s="253" t="s">
        <v>258</v>
      </c>
    </row>
    <row r="253" spans="1:6">
      <c r="A253" s="253" t="s">
        <v>1712</v>
      </c>
      <c r="B253" s="253" t="s">
        <v>259</v>
      </c>
      <c r="C253" s="253" t="s">
        <v>1366</v>
      </c>
      <c r="D253" s="253" t="s">
        <v>1762</v>
      </c>
      <c r="E253" s="253" t="s">
        <v>1763</v>
      </c>
      <c r="F253" s="253" t="s">
        <v>260</v>
      </c>
    </row>
    <row r="254" spans="1:6">
      <c r="A254" s="253" t="s">
        <v>1712</v>
      </c>
      <c r="B254" s="253" t="s">
        <v>261</v>
      </c>
      <c r="C254" s="253" t="s">
        <v>1366</v>
      </c>
      <c r="D254" s="253" t="s">
        <v>1764</v>
      </c>
      <c r="E254" s="253" t="s">
        <v>1765</v>
      </c>
      <c r="F254" s="253" t="s">
        <v>262</v>
      </c>
    </row>
    <row r="255" spans="1:6">
      <c r="A255" s="253" t="s">
        <v>1712</v>
      </c>
      <c r="B255" s="253" t="s">
        <v>263</v>
      </c>
      <c r="C255" s="253" t="s">
        <v>1366</v>
      </c>
      <c r="D255" s="253" t="s">
        <v>1766</v>
      </c>
      <c r="E255" s="253" t="s">
        <v>1767</v>
      </c>
      <c r="F255" s="253" t="s">
        <v>264</v>
      </c>
    </row>
    <row r="256" spans="1:6">
      <c r="A256" s="253" t="s">
        <v>1712</v>
      </c>
      <c r="B256" s="253" t="s">
        <v>265</v>
      </c>
      <c r="C256" s="253" t="s">
        <v>1366</v>
      </c>
      <c r="D256" s="253" t="s">
        <v>1768</v>
      </c>
      <c r="E256" s="253" t="s">
        <v>1769</v>
      </c>
      <c r="F256" s="253" t="s">
        <v>266</v>
      </c>
    </row>
    <row r="257" spans="1:6">
      <c r="A257" s="253" t="s">
        <v>1712</v>
      </c>
      <c r="B257" s="253" t="s">
        <v>267</v>
      </c>
      <c r="C257" s="253" t="s">
        <v>1366</v>
      </c>
      <c r="D257" s="253" t="s">
        <v>1770</v>
      </c>
      <c r="E257" s="253" t="s">
        <v>1771</v>
      </c>
      <c r="F257" s="253" t="s">
        <v>268</v>
      </c>
    </row>
    <row r="258" spans="1:6">
      <c r="A258" s="253" t="s">
        <v>1712</v>
      </c>
      <c r="B258" s="253" t="s">
        <v>269</v>
      </c>
      <c r="C258" s="253" t="s">
        <v>1366</v>
      </c>
      <c r="D258" s="253" t="s">
        <v>1772</v>
      </c>
      <c r="E258" s="253" t="s">
        <v>1773</v>
      </c>
      <c r="F258" s="253" t="s">
        <v>270</v>
      </c>
    </row>
    <row r="259" spans="1:6">
      <c r="A259" s="253" t="s">
        <v>1712</v>
      </c>
      <c r="B259" s="253" t="s">
        <v>271</v>
      </c>
      <c r="C259" s="253" t="s">
        <v>1366</v>
      </c>
      <c r="D259" s="253" t="s">
        <v>1774</v>
      </c>
      <c r="E259" s="253" t="s">
        <v>1775</v>
      </c>
      <c r="F259" s="253" t="s">
        <v>272</v>
      </c>
    </row>
    <row r="260" spans="1:6">
      <c r="A260" s="253" t="s">
        <v>1712</v>
      </c>
      <c r="B260" s="253" t="s">
        <v>273</v>
      </c>
      <c r="C260" s="253" t="s">
        <v>1366</v>
      </c>
      <c r="D260" s="253" t="s">
        <v>1776</v>
      </c>
      <c r="E260" s="253" t="s">
        <v>1777</v>
      </c>
      <c r="F260" s="253" t="s">
        <v>274</v>
      </c>
    </row>
    <row r="261" spans="1:6">
      <c r="A261" s="253" t="s">
        <v>1712</v>
      </c>
      <c r="B261" s="253" t="s">
        <v>275</v>
      </c>
      <c r="C261" s="253" t="s">
        <v>1366</v>
      </c>
      <c r="D261" s="253" t="s">
        <v>1778</v>
      </c>
      <c r="E261" s="253" t="s">
        <v>1779</v>
      </c>
      <c r="F261" s="253" t="s">
        <v>276</v>
      </c>
    </row>
    <row r="262" spans="1:6">
      <c r="A262" s="253" t="s">
        <v>1712</v>
      </c>
      <c r="B262" s="253" t="s">
        <v>277</v>
      </c>
      <c r="C262" s="253" t="s">
        <v>1366</v>
      </c>
      <c r="D262" s="253" t="s">
        <v>1780</v>
      </c>
      <c r="E262" s="253" t="s">
        <v>1781</v>
      </c>
      <c r="F262" s="253" t="s">
        <v>278</v>
      </c>
    </row>
    <row r="263" spans="1:6">
      <c r="A263" s="253" t="s">
        <v>1712</v>
      </c>
      <c r="B263" s="253" t="s">
        <v>279</v>
      </c>
      <c r="C263" s="253" t="s">
        <v>1366</v>
      </c>
      <c r="D263" s="253" t="s">
        <v>1782</v>
      </c>
      <c r="E263" s="253" t="s">
        <v>1783</v>
      </c>
      <c r="F263" s="253" t="s">
        <v>280</v>
      </c>
    </row>
    <row r="264" spans="1:6">
      <c r="A264" s="253" t="s">
        <v>1712</v>
      </c>
      <c r="B264" s="253" t="s">
        <v>281</v>
      </c>
      <c r="C264" s="253" t="s">
        <v>1366</v>
      </c>
      <c r="D264" s="253" t="s">
        <v>1784</v>
      </c>
      <c r="E264" s="253" t="s">
        <v>1785</v>
      </c>
      <c r="F264" s="253" t="s">
        <v>282</v>
      </c>
    </row>
    <row r="265" spans="1:6">
      <c r="A265" s="253" t="s">
        <v>1712</v>
      </c>
      <c r="B265" s="253" t="s">
        <v>283</v>
      </c>
      <c r="C265" s="253" t="s">
        <v>1366</v>
      </c>
      <c r="D265" s="253" t="s">
        <v>1786</v>
      </c>
      <c r="E265" s="253" t="s">
        <v>1787</v>
      </c>
      <c r="F265" s="253" t="s">
        <v>284</v>
      </c>
    </row>
    <row r="266" spans="1:6">
      <c r="A266" s="253" t="s">
        <v>1712</v>
      </c>
      <c r="B266" s="253" t="s">
        <v>285</v>
      </c>
      <c r="C266" s="253" t="s">
        <v>1366</v>
      </c>
      <c r="D266" s="253" t="s">
        <v>1788</v>
      </c>
      <c r="E266" s="253" t="s">
        <v>1789</v>
      </c>
      <c r="F266" s="253" t="s">
        <v>286</v>
      </c>
    </row>
    <row r="267" spans="1:6">
      <c r="A267" s="253"/>
      <c r="B267" s="253"/>
      <c r="C267" s="253"/>
      <c r="D267" s="253"/>
      <c r="E267" s="253"/>
      <c r="F267" s="253"/>
    </row>
    <row r="268" spans="1:6">
      <c r="A268" s="253" t="s">
        <v>1686</v>
      </c>
      <c r="B268" s="253" t="s">
        <v>1039</v>
      </c>
      <c r="C268" s="253" t="s">
        <v>1366</v>
      </c>
      <c r="D268" s="253" t="s">
        <v>1687</v>
      </c>
      <c r="E268" s="253" t="s">
        <v>1688</v>
      </c>
      <c r="F268" s="253" t="s">
        <v>842</v>
      </c>
    </row>
    <row r="269" spans="1:6">
      <c r="A269" s="253" t="s">
        <v>1686</v>
      </c>
      <c r="B269" s="253" t="s">
        <v>1040</v>
      </c>
      <c r="C269" s="253" t="s">
        <v>1366</v>
      </c>
      <c r="D269" s="253" t="s">
        <v>1689</v>
      </c>
      <c r="E269" s="253" t="s">
        <v>1690</v>
      </c>
      <c r="F269" s="253" t="s">
        <v>854</v>
      </c>
    </row>
    <row r="270" spans="1:6">
      <c r="A270" s="253" t="s">
        <v>1686</v>
      </c>
      <c r="B270" s="253" t="s">
        <v>1041</v>
      </c>
      <c r="C270" s="253" t="s">
        <v>1366</v>
      </c>
      <c r="D270" s="253" t="s">
        <v>1691</v>
      </c>
      <c r="E270" s="253" t="s">
        <v>1692</v>
      </c>
      <c r="F270" s="253" t="s">
        <v>849</v>
      </c>
    </row>
    <row r="271" spans="1:6">
      <c r="A271" s="253" t="s">
        <v>1686</v>
      </c>
      <c r="B271" s="253" t="s">
        <v>1042</v>
      </c>
      <c r="C271" s="253" t="s">
        <v>1366</v>
      </c>
      <c r="D271" s="253" t="s">
        <v>1693</v>
      </c>
      <c r="E271" s="253" t="s">
        <v>1694</v>
      </c>
      <c r="F271" s="253" t="s">
        <v>843</v>
      </c>
    </row>
    <row r="272" spans="1:6">
      <c r="A272" s="253" t="s">
        <v>1686</v>
      </c>
      <c r="B272" s="253" t="s">
        <v>1043</v>
      </c>
      <c r="C272" s="253" t="s">
        <v>1366</v>
      </c>
      <c r="D272" s="253" t="s">
        <v>1695</v>
      </c>
      <c r="E272" s="253" t="s">
        <v>1696</v>
      </c>
      <c r="F272" s="253" t="s">
        <v>1697</v>
      </c>
    </row>
    <row r="273" spans="1:6">
      <c r="A273" s="253" t="s">
        <v>1686</v>
      </c>
      <c r="B273" s="253" t="s">
        <v>875</v>
      </c>
      <c r="C273" s="253" t="s">
        <v>1366</v>
      </c>
      <c r="D273" s="253" t="s">
        <v>1698</v>
      </c>
      <c r="E273" s="253" t="s">
        <v>1699</v>
      </c>
      <c r="F273" s="253" t="s">
        <v>851</v>
      </c>
    </row>
    <row r="274" spans="1:6">
      <c r="A274" s="253" t="s">
        <v>1686</v>
      </c>
      <c r="B274" s="253" t="s">
        <v>876</v>
      </c>
      <c r="C274" s="253" t="s">
        <v>1366</v>
      </c>
      <c r="D274" s="253" t="s">
        <v>853</v>
      </c>
      <c r="E274" s="253" t="s">
        <v>1700</v>
      </c>
      <c r="F274" s="253" t="s">
        <v>852</v>
      </c>
    </row>
    <row r="275" spans="1:6">
      <c r="A275" s="253" t="s">
        <v>1686</v>
      </c>
      <c r="B275" s="253" t="s">
        <v>1044</v>
      </c>
      <c r="C275" s="253" t="s">
        <v>1366</v>
      </c>
      <c r="D275" s="253" t="s">
        <v>1701</v>
      </c>
      <c r="E275" s="253" t="s">
        <v>1702</v>
      </c>
      <c r="F275" s="253" t="s">
        <v>1703</v>
      </c>
    </row>
    <row r="276" spans="1:6">
      <c r="A276" s="253" t="s">
        <v>1686</v>
      </c>
      <c r="B276" s="253" t="s">
        <v>1045</v>
      </c>
      <c r="C276" s="253" t="s">
        <v>1366</v>
      </c>
      <c r="D276" s="253" t="s">
        <v>1704</v>
      </c>
      <c r="E276" s="253" t="s">
        <v>1705</v>
      </c>
      <c r="F276" s="253" t="s">
        <v>845</v>
      </c>
    </row>
    <row r="277" spans="1:6">
      <c r="A277" s="253" t="s">
        <v>1686</v>
      </c>
      <c r="B277" s="253" t="s">
        <v>1046</v>
      </c>
      <c r="C277" s="253" t="s">
        <v>1366</v>
      </c>
      <c r="D277" s="253" t="s">
        <v>1706</v>
      </c>
      <c r="E277" s="253" t="s">
        <v>1707</v>
      </c>
      <c r="F277" s="253" t="s">
        <v>846</v>
      </c>
    </row>
    <row r="278" spans="1:6">
      <c r="A278" s="253" t="s">
        <v>1686</v>
      </c>
      <c r="B278" s="253" t="s">
        <v>1047</v>
      </c>
      <c r="C278" s="253" t="s">
        <v>1366</v>
      </c>
      <c r="D278" s="253" t="s">
        <v>1708</v>
      </c>
      <c r="E278" s="253" t="s">
        <v>1709</v>
      </c>
      <c r="F278" s="253" t="s">
        <v>847</v>
      </c>
    </row>
    <row r="279" spans="1:6">
      <c r="A279" s="253" t="s">
        <v>1686</v>
      </c>
      <c r="B279" s="253" t="s">
        <v>1048</v>
      </c>
      <c r="C279" s="253" t="s">
        <v>1366</v>
      </c>
      <c r="D279" s="253" t="s">
        <v>1710</v>
      </c>
      <c r="E279" s="253" t="s">
        <v>1711</v>
      </c>
      <c r="F279" s="253" t="s">
        <v>848</v>
      </c>
    </row>
    <row r="281" spans="1:6">
      <c r="A281" s="254" t="s">
        <v>1464</v>
      </c>
      <c r="B281" s="254" t="s">
        <v>1017</v>
      </c>
      <c r="C281" s="254" t="s">
        <v>1366</v>
      </c>
      <c r="D281" s="254" t="s">
        <v>1465</v>
      </c>
      <c r="E281" s="254" t="s">
        <v>1466</v>
      </c>
      <c r="F281" s="254" t="s">
        <v>794</v>
      </c>
    </row>
    <row r="282" spans="1:6">
      <c r="A282" s="254" t="s">
        <v>1464</v>
      </c>
      <c r="B282" s="254" t="s">
        <v>1018</v>
      </c>
      <c r="C282" s="254" t="s">
        <v>1366</v>
      </c>
      <c r="D282" s="254" t="s">
        <v>1467</v>
      </c>
      <c r="E282" s="254" t="s">
        <v>1468</v>
      </c>
      <c r="F282" s="254" t="s">
        <v>796</v>
      </c>
    </row>
    <row r="283" spans="1:6">
      <c r="A283" s="254" t="s">
        <v>1464</v>
      </c>
      <c r="B283" s="254" t="s">
        <v>1019</v>
      </c>
      <c r="C283" s="254" t="s">
        <v>1366</v>
      </c>
      <c r="D283" s="254" t="s">
        <v>1469</v>
      </c>
      <c r="E283" s="254" t="s">
        <v>1470</v>
      </c>
      <c r="F283" s="254" t="s">
        <v>798</v>
      </c>
    </row>
    <row r="284" spans="1:6">
      <c r="A284" s="254" t="s">
        <v>1464</v>
      </c>
      <c r="B284" s="254" t="s">
        <v>1020</v>
      </c>
      <c r="C284" s="254" t="s">
        <v>1366</v>
      </c>
      <c r="D284" s="254" t="s">
        <v>1471</v>
      </c>
      <c r="E284" s="254" t="s">
        <v>1472</v>
      </c>
      <c r="F284" s="254" t="s">
        <v>800</v>
      </c>
    </row>
    <row r="285" spans="1:6">
      <c r="A285" s="254" t="s">
        <v>1464</v>
      </c>
      <c r="B285" s="254" t="s">
        <v>1021</v>
      </c>
      <c r="C285" s="254" t="s">
        <v>1366</v>
      </c>
      <c r="D285" s="254" t="s">
        <v>1473</v>
      </c>
      <c r="E285" s="254" t="s">
        <v>1474</v>
      </c>
      <c r="F285" s="254" t="s">
        <v>802</v>
      </c>
    </row>
    <row r="286" spans="1:6">
      <c r="A286" s="254" t="s">
        <v>1464</v>
      </c>
      <c r="B286" s="254" t="s">
        <v>1022</v>
      </c>
      <c r="C286" s="254" t="s">
        <v>1366</v>
      </c>
      <c r="D286" s="254" t="s">
        <v>1475</v>
      </c>
      <c r="E286" s="254" t="s">
        <v>1476</v>
      </c>
      <c r="F286" s="254" t="s">
        <v>804</v>
      </c>
    </row>
    <row r="287" spans="1:6">
      <c r="A287" s="254" t="s">
        <v>1464</v>
      </c>
      <c r="B287" s="254" t="s">
        <v>1023</v>
      </c>
      <c r="C287" s="254" t="s">
        <v>1366</v>
      </c>
      <c r="D287" s="254" t="s">
        <v>1477</v>
      </c>
      <c r="E287" s="254" t="s">
        <v>1478</v>
      </c>
      <c r="F287" s="254" t="s">
        <v>806</v>
      </c>
    </row>
    <row r="288" spans="1:6">
      <c r="A288" s="254" t="s">
        <v>1464</v>
      </c>
      <c r="B288" s="254" t="s">
        <v>1024</v>
      </c>
      <c r="C288" s="254" t="s">
        <v>1366</v>
      </c>
      <c r="D288" s="254" t="s">
        <v>1479</v>
      </c>
      <c r="E288" s="254" t="s">
        <v>1480</v>
      </c>
      <c r="F288" s="254" t="s">
        <v>808</v>
      </c>
    </row>
    <row r="289" spans="1:6">
      <c r="A289" s="254" t="s">
        <v>1464</v>
      </c>
      <c r="B289" s="254" t="s">
        <v>1025</v>
      </c>
      <c r="C289" s="254" t="s">
        <v>1366</v>
      </c>
      <c r="D289" s="254" t="s">
        <v>1481</v>
      </c>
      <c r="E289" s="254" t="s">
        <v>1482</v>
      </c>
      <c r="F289" s="254" t="s">
        <v>810</v>
      </c>
    </row>
    <row r="290" spans="1:6">
      <c r="A290" s="254" t="s">
        <v>1464</v>
      </c>
      <c r="B290" s="254" t="s">
        <v>1483</v>
      </c>
      <c r="C290" s="254" t="s">
        <v>1366</v>
      </c>
      <c r="D290" s="254" t="s">
        <v>1484</v>
      </c>
      <c r="E290" s="254" t="s">
        <v>1485</v>
      </c>
      <c r="F290" s="254" t="s">
        <v>1486</v>
      </c>
    </row>
    <row r="291" spans="1:6">
      <c r="A291" s="254" t="s">
        <v>1464</v>
      </c>
      <c r="B291" s="254" t="s">
        <v>1026</v>
      </c>
      <c r="C291" s="254" t="s">
        <v>1366</v>
      </c>
      <c r="D291" s="254" t="s">
        <v>1487</v>
      </c>
      <c r="E291" s="254" t="s">
        <v>1488</v>
      </c>
      <c r="F291" s="254" t="s">
        <v>812</v>
      </c>
    </row>
    <row r="292" spans="1:6">
      <c r="A292" s="254" t="s">
        <v>1464</v>
      </c>
      <c r="B292" s="254" t="s">
        <v>1027</v>
      </c>
      <c r="C292" s="254" t="s">
        <v>1366</v>
      </c>
      <c r="D292" s="254" t="s">
        <v>1489</v>
      </c>
      <c r="E292" s="254" t="s">
        <v>1490</v>
      </c>
      <c r="F292" s="254" t="s">
        <v>814</v>
      </c>
    </row>
    <row r="293" spans="1:6">
      <c r="A293" s="254" t="s">
        <v>1464</v>
      </c>
      <c r="B293" s="254" t="s">
        <v>1038</v>
      </c>
      <c r="C293" s="254" t="s">
        <v>1366</v>
      </c>
      <c r="D293" s="254" t="s">
        <v>1491</v>
      </c>
      <c r="E293" s="254" t="s">
        <v>1492</v>
      </c>
      <c r="F293" s="254" t="s">
        <v>836</v>
      </c>
    </row>
    <row r="294" spans="1:6">
      <c r="A294" s="254" t="s">
        <v>1464</v>
      </c>
      <c r="B294" s="254" t="s">
        <v>1028</v>
      </c>
      <c r="C294" s="254" t="s">
        <v>1366</v>
      </c>
      <c r="D294" s="254" t="s">
        <v>1493</v>
      </c>
      <c r="E294" s="254" t="s">
        <v>1494</v>
      </c>
      <c r="F294" s="254" t="s">
        <v>816</v>
      </c>
    </row>
    <row r="295" spans="1:6">
      <c r="A295" s="254" t="s">
        <v>1464</v>
      </c>
      <c r="B295" s="254" t="s">
        <v>1029</v>
      </c>
      <c r="C295" s="254" t="s">
        <v>1366</v>
      </c>
      <c r="D295" s="254" t="s">
        <v>1495</v>
      </c>
      <c r="E295" s="254" t="s">
        <v>1496</v>
      </c>
      <c r="F295" s="254" t="s">
        <v>818</v>
      </c>
    </row>
    <row r="296" spans="1:6">
      <c r="A296" s="254" t="s">
        <v>1464</v>
      </c>
      <c r="B296" s="254" t="s">
        <v>1030</v>
      </c>
      <c r="C296" s="254" t="s">
        <v>1366</v>
      </c>
      <c r="D296" s="254" t="s">
        <v>1497</v>
      </c>
      <c r="E296" s="254" t="s">
        <v>1498</v>
      </c>
      <c r="F296" s="254" t="s">
        <v>820</v>
      </c>
    </row>
    <row r="297" spans="1:6">
      <c r="A297" s="254" t="s">
        <v>1464</v>
      </c>
      <c r="B297" s="254" t="s">
        <v>1031</v>
      </c>
      <c r="C297" s="254" t="s">
        <v>1366</v>
      </c>
      <c r="D297" s="254" t="s">
        <v>1499</v>
      </c>
      <c r="E297" s="254" t="s">
        <v>1500</v>
      </c>
      <c r="F297" s="254" t="s">
        <v>822</v>
      </c>
    </row>
    <row r="298" spans="1:6">
      <c r="A298" s="254" t="s">
        <v>1464</v>
      </c>
      <c r="B298" s="254" t="s">
        <v>1032</v>
      </c>
      <c r="C298" s="254" t="s">
        <v>1366</v>
      </c>
      <c r="D298" s="254" t="s">
        <v>1501</v>
      </c>
      <c r="E298" s="254" t="s">
        <v>1502</v>
      </c>
      <c r="F298" s="254" t="s">
        <v>824</v>
      </c>
    </row>
    <row r="299" spans="1:6">
      <c r="A299" s="254" t="s">
        <v>1464</v>
      </c>
      <c r="B299" s="254" t="s">
        <v>1033</v>
      </c>
      <c r="C299" s="254" t="s">
        <v>1366</v>
      </c>
      <c r="D299" s="254" t="s">
        <v>1503</v>
      </c>
      <c r="E299" s="254" t="s">
        <v>1504</v>
      </c>
      <c r="F299" s="254" t="s">
        <v>826</v>
      </c>
    </row>
    <row r="300" spans="1:6">
      <c r="A300" s="254" t="s">
        <v>1464</v>
      </c>
      <c r="B300" s="254" t="s">
        <v>1034</v>
      </c>
      <c r="C300" s="254" t="s">
        <v>1366</v>
      </c>
      <c r="D300" s="254" t="s">
        <v>1505</v>
      </c>
      <c r="E300" s="254" t="s">
        <v>1506</v>
      </c>
      <c r="F300" s="254" t="s">
        <v>828</v>
      </c>
    </row>
    <row r="301" spans="1:6">
      <c r="A301" s="254" t="s">
        <v>1464</v>
      </c>
      <c r="B301" s="254" t="s">
        <v>1035</v>
      </c>
      <c r="C301" s="254" t="s">
        <v>1366</v>
      </c>
      <c r="D301" s="254" t="s">
        <v>1507</v>
      </c>
      <c r="E301" s="254" t="s">
        <v>1508</v>
      </c>
      <c r="F301" s="254" t="s">
        <v>1509</v>
      </c>
    </row>
    <row r="302" spans="1:6">
      <c r="A302" s="254" t="s">
        <v>1464</v>
      </c>
      <c r="B302" s="254" t="s">
        <v>1036</v>
      </c>
      <c r="C302" s="254" t="s">
        <v>1366</v>
      </c>
      <c r="D302" s="254" t="s">
        <v>1510</v>
      </c>
      <c r="E302" s="254" t="s">
        <v>1511</v>
      </c>
      <c r="F302" s="254" t="s">
        <v>832</v>
      </c>
    </row>
    <row r="303" spans="1:6">
      <c r="A303" s="254" t="s">
        <v>1464</v>
      </c>
      <c r="B303" s="254" t="s">
        <v>1037</v>
      </c>
      <c r="C303" s="254" t="s">
        <v>1366</v>
      </c>
      <c r="D303" s="254" t="s">
        <v>1512</v>
      </c>
      <c r="E303" s="254" t="s">
        <v>1513</v>
      </c>
      <c r="F303" s="254" t="s">
        <v>1514</v>
      </c>
    </row>
    <row r="305" spans="1:6">
      <c r="A305" s="253" t="s">
        <v>1161</v>
      </c>
      <c r="B305" s="253" t="s">
        <v>1054</v>
      </c>
      <c r="C305" s="253" t="s">
        <v>1790</v>
      </c>
      <c r="D305" s="253" t="s">
        <v>1791</v>
      </c>
      <c r="E305" s="253" t="s">
        <v>1055</v>
      </c>
      <c r="F305" s="253" t="s">
        <v>826</v>
      </c>
    </row>
    <row r="306" spans="1:6">
      <c r="A306" s="253" t="s">
        <v>1161</v>
      </c>
      <c r="B306" s="253" t="s">
        <v>1056</v>
      </c>
      <c r="C306" s="253" t="s">
        <v>1790</v>
      </c>
      <c r="D306" s="253" t="s">
        <v>1792</v>
      </c>
      <c r="E306" s="253" t="s">
        <v>1058</v>
      </c>
      <c r="F306" s="253" t="s">
        <v>1057</v>
      </c>
    </row>
    <row r="307" spans="1:6">
      <c r="A307" s="253" t="s">
        <v>1161</v>
      </c>
      <c r="B307" s="253" t="s">
        <v>1059</v>
      </c>
      <c r="C307" s="253" t="s">
        <v>1790</v>
      </c>
      <c r="D307" s="253" t="s">
        <v>1793</v>
      </c>
      <c r="E307" s="253" t="s">
        <v>1061</v>
      </c>
      <c r="F307" s="253" t="s">
        <v>1060</v>
      </c>
    </row>
    <row r="308" spans="1:6">
      <c r="A308" s="253" t="s">
        <v>1161</v>
      </c>
      <c r="B308" s="253" t="s">
        <v>1062</v>
      </c>
      <c r="C308" s="253" t="s">
        <v>1790</v>
      </c>
      <c r="D308" s="253" t="s">
        <v>1794</v>
      </c>
      <c r="E308" s="253" t="s">
        <v>1064</v>
      </c>
      <c r="F308" s="253" t="s">
        <v>1063</v>
      </c>
    </row>
    <row r="309" spans="1:6">
      <c r="A309" s="253" t="s">
        <v>1161</v>
      </c>
      <c r="B309" s="253" t="s">
        <v>1065</v>
      </c>
      <c r="C309" s="253" t="s">
        <v>1790</v>
      </c>
      <c r="D309" s="253" t="s">
        <v>1795</v>
      </c>
      <c r="E309" s="253" t="s">
        <v>1067</v>
      </c>
      <c r="F309" s="253" t="s">
        <v>1066</v>
      </c>
    </row>
    <row r="310" spans="1:6">
      <c r="A310" s="253" t="s">
        <v>1161</v>
      </c>
      <c r="B310" s="253" t="s">
        <v>1068</v>
      </c>
      <c r="C310" s="253" t="s">
        <v>1790</v>
      </c>
      <c r="D310" s="253" t="s">
        <v>1796</v>
      </c>
      <c r="E310" s="253" t="s">
        <v>1070</v>
      </c>
      <c r="F310" s="253" t="s">
        <v>1069</v>
      </c>
    </row>
    <row r="311" spans="1:6">
      <c r="A311" s="253" t="s">
        <v>1161</v>
      </c>
      <c r="B311" s="253" t="s">
        <v>1071</v>
      </c>
      <c r="C311" s="253" t="s">
        <v>1790</v>
      </c>
      <c r="D311" s="253" t="s">
        <v>1797</v>
      </c>
      <c r="E311" s="253" t="s">
        <v>1073</v>
      </c>
      <c r="F311" s="253" t="s">
        <v>1072</v>
      </c>
    </row>
    <row r="312" spans="1:6">
      <c r="A312" s="253" t="s">
        <v>1161</v>
      </c>
      <c r="B312" s="253" t="s">
        <v>1074</v>
      </c>
      <c r="C312" s="253" t="s">
        <v>1790</v>
      </c>
      <c r="D312" s="253" t="s">
        <v>1798</v>
      </c>
      <c r="E312" s="253" t="s">
        <v>1076</v>
      </c>
      <c r="F312" s="253" t="s">
        <v>1075</v>
      </c>
    </row>
    <row r="313" spans="1:6">
      <c r="A313" s="253" t="s">
        <v>1161</v>
      </c>
      <c r="B313" s="253" t="s">
        <v>1077</v>
      </c>
      <c r="C313" s="253" t="s">
        <v>1790</v>
      </c>
      <c r="D313" s="253" t="s">
        <v>1799</v>
      </c>
      <c r="E313" s="253" t="s">
        <v>1079</v>
      </c>
      <c r="F313" s="253" t="s">
        <v>1078</v>
      </c>
    </row>
    <row r="314" spans="1:6">
      <c r="A314" s="253" t="s">
        <v>1161</v>
      </c>
      <c r="B314" s="253" t="s">
        <v>1080</v>
      </c>
      <c r="C314" s="253" t="s">
        <v>1790</v>
      </c>
      <c r="D314" s="253" t="s">
        <v>1800</v>
      </c>
      <c r="E314" s="253" t="s">
        <v>1082</v>
      </c>
      <c r="F314" s="253" t="s">
        <v>1081</v>
      </c>
    </row>
    <row r="315" spans="1:6">
      <c r="A315" s="253" t="s">
        <v>1161</v>
      </c>
      <c r="B315" s="253" t="s">
        <v>1083</v>
      </c>
      <c r="C315" s="253" t="s">
        <v>1790</v>
      </c>
      <c r="D315" s="253" t="s">
        <v>1801</v>
      </c>
      <c r="E315" s="253" t="s">
        <v>1085</v>
      </c>
      <c r="F315" s="253" t="s">
        <v>1084</v>
      </c>
    </row>
    <row r="316" spans="1:6">
      <c r="A316" s="253" t="s">
        <v>1161</v>
      </c>
      <c r="B316" s="253" t="s">
        <v>1086</v>
      </c>
      <c r="C316" s="253" t="s">
        <v>1790</v>
      </c>
      <c r="D316" s="253" t="s">
        <v>1802</v>
      </c>
      <c r="E316" s="253" t="s">
        <v>1088</v>
      </c>
      <c r="F316" s="253" t="s">
        <v>1087</v>
      </c>
    </row>
    <row r="317" spans="1:6">
      <c r="A317" s="253" t="s">
        <v>1161</v>
      </c>
      <c r="B317" s="253" t="s">
        <v>1089</v>
      </c>
      <c r="C317" s="253" t="s">
        <v>1790</v>
      </c>
      <c r="D317" s="253" t="s">
        <v>1803</v>
      </c>
      <c r="E317" s="253" t="s">
        <v>1091</v>
      </c>
      <c r="F317" s="253" t="s">
        <v>1090</v>
      </c>
    </row>
    <row r="318" spans="1:6">
      <c r="A318" s="253" t="s">
        <v>1161</v>
      </c>
      <c r="B318" s="253" t="s">
        <v>1092</v>
      </c>
      <c r="C318" s="253" t="s">
        <v>1790</v>
      </c>
      <c r="D318" s="253" t="s">
        <v>1804</v>
      </c>
      <c r="E318" s="253" t="s">
        <v>1094</v>
      </c>
      <c r="F318" s="253" t="s">
        <v>1093</v>
      </c>
    </row>
    <row r="319" spans="1:6">
      <c r="A319" s="253" t="s">
        <v>1161</v>
      </c>
      <c r="B319" s="253" t="s">
        <v>1095</v>
      </c>
      <c r="C319" s="253" t="s">
        <v>1790</v>
      </c>
      <c r="D319" s="253" t="s">
        <v>1805</v>
      </c>
      <c r="E319" s="253" t="s">
        <v>1097</v>
      </c>
      <c r="F319" s="253" t="s">
        <v>1096</v>
      </c>
    </row>
    <row r="320" spans="1:6">
      <c r="A320" s="253" t="s">
        <v>1161</v>
      </c>
      <c r="B320" s="253" t="s">
        <v>1098</v>
      </c>
      <c r="C320" s="253" t="s">
        <v>1790</v>
      </c>
      <c r="D320" s="253" t="s">
        <v>1806</v>
      </c>
      <c r="E320" s="253" t="s">
        <v>1100</v>
      </c>
      <c r="F320" s="253" t="s">
        <v>1099</v>
      </c>
    </row>
    <row r="321" spans="1:6">
      <c r="A321" s="253" t="s">
        <v>1161</v>
      </c>
      <c r="B321" s="253" t="s">
        <v>1101</v>
      </c>
      <c r="C321" s="253" t="s">
        <v>1790</v>
      </c>
      <c r="D321" s="253" t="s">
        <v>1807</v>
      </c>
      <c r="E321" s="253" t="s">
        <v>1103</v>
      </c>
      <c r="F321" s="253" t="s">
        <v>1102</v>
      </c>
    </row>
    <row r="322" spans="1:6">
      <c r="A322" s="253" t="s">
        <v>1161</v>
      </c>
      <c r="B322" s="253" t="s">
        <v>1104</v>
      </c>
      <c r="C322" s="253" t="s">
        <v>1790</v>
      </c>
      <c r="D322" s="253" t="s">
        <v>1808</v>
      </c>
      <c r="E322" s="253" t="s">
        <v>1106</v>
      </c>
      <c r="F322" s="253" t="s">
        <v>1105</v>
      </c>
    </row>
    <row r="323" spans="1:6">
      <c r="A323" s="253" t="s">
        <v>1161</v>
      </c>
      <c r="B323" s="253" t="s">
        <v>1107</v>
      </c>
      <c r="C323" s="253" t="s">
        <v>1790</v>
      </c>
      <c r="D323" s="253" t="s">
        <v>1809</v>
      </c>
      <c r="E323" s="253" t="s">
        <v>1109</v>
      </c>
      <c r="F323" s="253" t="s">
        <v>1108</v>
      </c>
    </row>
    <row r="324" spans="1:6">
      <c r="A324" s="253" t="s">
        <v>1161</v>
      </c>
      <c r="B324" s="253" t="s">
        <v>1110</v>
      </c>
      <c r="C324" s="253" t="s">
        <v>1790</v>
      </c>
      <c r="D324" s="253" t="s">
        <v>1810</v>
      </c>
      <c r="E324" s="253" t="s">
        <v>1112</v>
      </c>
      <c r="F324" s="253" t="s">
        <v>1111</v>
      </c>
    </row>
    <row r="325" spans="1:6">
      <c r="A325" s="253" t="s">
        <v>1161</v>
      </c>
      <c r="B325" s="253" t="s">
        <v>1113</v>
      </c>
      <c r="C325" s="253" t="s">
        <v>1790</v>
      </c>
      <c r="D325" s="253" t="s">
        <v>1811</v>
      </c>
      <c r="E325" s="253" t="s">
        <v>1115</v>
      </c>
      <c r="F325" s="253" t="s">
        <v>1114</v>
      </c>
    </row>
    <row r="326" spans="1:6">
      <c r="A326" s="253" t="s">
        <v>1161</v>
      </c>
      <c r="B326" s="253" t="s">
        <v>1116</v>
      </c>
      <c r="C326" s="253" t="s">
        <v>1790</v>
      </c>
      <c r="D326" s="253" t="s">
        <v>1812</v>
      </c>
      <c r="E326" s="253" t="s">
        <v>1118</v>
      </c>
      <c r="F326" s="253" t="s">
        <v>1117</v>
      </c>
    </row>
    <row r="327" spans="1:6">
      <c r="A327" s="253" t="s">
        <v>1161</v>
      </c>
      <c r="B327" s="253" t="s">
        <v>1119</v>
      </c>
      <c r="C327" s="253" t="s">
        <v>1790</v>
      </c>
      <c r="D327" s="253" t="s">
        <v>1813</v>
      </c>
      <c r="E327" s="253" t="s">
        <v>1121</v>
      </c>
      <c r="F327" s="253" t="s">
        <v>1120</v>
      </c>
    </row>
    <row r="328" spans="1:6">
      <c r="A328" s="253" t="s">
        <v>1161</v>
      </c>
      <c r="B328" s="253" t="s">
        <v>1122</v>
      </c>
      <c r="C328" s="253" t="s">
        <v>1790</v>
      </c>
      <c r="D328" s="253" t="s">
        <v>1814</v>
      </c>
      <c r="E328" s="253" t="s">
        <v>1124</v>
      </c>
      <c r="F328" s="253" t="s">
        <v>1123</v>
      </c>
    </row>
    <row r="329" spans="1:6">
      <c r="A329" s="253" t="s">
        <v>1161</v>
      </c>
      <c r="B329" s="253" t="s">
        <v>1125</v>
      </c>
      <c r="C329" s="253" t="s">
        <v>1790</v>
      </c>
      <c r="D329" s="253" t="s">
        <v>1815</v>
      </c>
      <c r="E329" s="253" t="s">
        <v>1127</v>
      </c>
      <c r="F329" s="253" t="s">
        <v>1816</v>
      </c>
    </row>
    <row r="330" spans="1:6">
      <c r="A330" s="253" t="s">
        <v>1161</v>
      </c>
      <c r="B330" s="253" t="s">
        <v>1128</v>
      </c>
      <c r="C330" s="253" t="s">
        <v>1790</v>
      </c>
      <c r="D330" s="253" t="s">
        <v>1817</v>
      </c>
      <c r="E330" s="253" t="s">
        <v>1130</v>
      </c>
      <c r="F330" s="253" t="s">
        <v>1129</v>
      </c>
    </row>
    <row r="331" spans="1:6">
      <c r="A331" s="253" t="s">
        <v>1161</v>
      </c>
      <c r="B331" s="253" t="s">
        <v>1131</v>
      </c>
      <c r="C331" s="253" t="s">
        <v>1790</v>
      </c>
      <c r="D331" s="253" t="s">
        <v>1818</v>
      </c>
      <c r="E331" s="253" t="s">
        <v>1133</v>
      </c>
      <c r="F331" s="253" t="s">
        <v>1819</v>
      </c>
    </row>
    <row r="332" spans="1:6">
      <c r="A332" s="253" t="s">
        <v>1161</v>
      </c>
      <c r="B332" s="253" t="s">
        <v>1134</v>
      </c>
      <c r="C332" s="253" t="s">
        <v>1790</v>
      </c>
      <c r="D332" s="253" t="s">
        <v>1820</v>
      </c>
      <c r="E332" s="253" t="s">
        <v>1136</v>
      </c>
      <c r="F332" s="253" t="s">
        <v>1821</v>
      </c>
    </row>
    <row r="333" spans="1:6">
      <c r="A333" s="253" t="s">
        <v>1161</v>
      </c>
      <c r="B333" s="253" t="s">
        <v>1294</v>
      </c>
      <c r="C333" s="253" t="s">
        <v>1790</v>
      </c>
      <c r="D333" s="253" t="s">
        <v>1822</v>
      </c>
      <c r="E333" s="253" t="s">
        <v>1823</v>
      </c>
      <c r="F333" s="253" t="s">
        <v>1298</v>
      </c>
    </row>
    <row r="334" spans="1:6">
      <c r="A334" s="253" t="s">
        <v>1161</v>
      </c>
      <c r="B334" s="253" t="s">
        <v>1296</v>
      </c>
      <c r="C334" s="253" t="s">
        <v>1790</v>
      </c>
      <c r="D334" s="253" t="s">
        <v>1824</v>
      </c>
      <c r="E334" s="253" t="s">
        <v>1825</v>
      </c>
      <c r="F334" s="253" t="s">
        <v>1300</v>
      </c>
    </row>
    <row r="335" spans="1:6">
      <c r="A335" s="253" t="s">
        <v>1161</v>
      </c>
      <c r="B335" s="253" t="s">
        <v>1137</v>
      </c>
      <c r="C335" s="253" t="s">
        <v>1790</v>
      </c>
      <c r="D335" s="253" t="s">
        <v>1826</v>
      </c>
      <c r="E335" s="253" t="s">
        <v>1139</v>
      </c>
      <c r="F335" s="253" t="s">
        <v>1138</v>
      </c>
    </row>
    <row r="336" spans="1:6">
      <c r="A336" s="253" t="s">
        <v>1161</v>
      </c>
      <c r="B336" s="253" t="s">
        <v>1306</v>
      </c>
      <c r="C336" s="253" t="s">
        <v>1790</v>
      </c>
      <c r="D336" s="253" t="s">
        <v>1827</v>
      </c>
      <c r="E336" s="253" t="s">
        <v>1828</v>
      </c>
      <c r="F336" s="253" t="s">
        <v>1302</v>
      </c>
    </row>
    <row r="337" spans="1:12">
      <c r="A337" s="253" t="s">
        <v>1161</v>
      </c>
      <c r="B337" s="253" t="s">
        <v>1308</v>
      </c>
      <c r="C337" s="253" t="s">
        <v>1790</v>
      </c>
      <c r="D337" s="253" t="s">
        <v>1829</v>
      </c>
      <c r="E337" s="253" t="s">
        <v>1830</v>
      </c>
      <c r="F337" s="253" t="s">
        <v>1304</v>
      </c>
    </row>
    <row r="338" spans="1:12">
      <c r="A338" s="253" t="s">
        <v>1161</v>
      </c>
      <c r="B338" s="253" t="s">
        <v>1140</v>
      </c>
      <c r="C338" s="253" t="s">
        <v>1790</v>
      </c>
      <c r="D338" s="253" t="s">
        <v>1831</v>
      </c>
      <c r="E338" s="253" t="s">
        <v>1142</v>
      </c>
      <c r="F338" s="253" t="s">
        <v>1141</v>
      </c>
    </row>
    <row r="339" spans="1:12">
      <c r="A339" s="253" t="s">
        <v>1161</v>
      </c>
      <c r="B339" s="253" t="s">
        <v>1143</v>
      </c>
      <c r="C339" s="253" t="s">
        <v>1790</v>
      </c>
      <c r="D339" s="253" t="s">
        <v>1832</v>
      </c>
      <c r="E339" s="253" t="s">
        <v>1145</v>
      </c>
      <c r="F339" s="253" t="s">
        <v>1144</v>
      </c>
    </row>
    <row r="341" spans="1:12">
      <c r="A341" s="253" t="s">
        <v>1833</v>
      </c>
      <c r="B341" s="253" t="s">
        <v>1164</v>
      </c>
      <c r="C341" s="253" t="s">
        <v>1833</v>
      </c>
      <c r="D341" s="253" t="s">
        <v>1834</v>
      </c>
      <c r="E341" s="253" t="s">
        <v>1835</v>
      </c>
      <c r="F341" s="253" t="s">
        <v>1836</v>
      </c>
      <c r="L341" s="253" t="s">
        <v>1164</v>
      </c>
    </row>
    <row r="342" spans="1:12">
      <c r="A342" s="253" t="s">
        <v>1833</v>
      </c>
      <c r="B342" s="253" t="s">
        <v>1165</v>
      </c>
      <c r="C342" s="253" t="s">
        <v>1833</v>
      </c>
      <c r="D342" s="253" t="s">
        <v>1837</v>
      </c>
      <c r="E342" s="253" t="s">
        <v>1838</v>
      </c>
      <c r="F342" s="253" t="s">
        <v>1839</v>
      </c>
      <c r="L342" s="253" t="s">
        <v>1165</v>
      </c>
    </row>
    <row r="343" spans="1:12">
      <c r="A343" s="253" t="s">
        <v>1833</v>
      </c>
      <c r="B343" s="253" t="s">
        <v>1313</v>
      </c>
      <c r="C343" s="253" t="s">
        <v>1833</v>
      </c>
      <c r="D343" s="253" t="s">
        <v>1840</v>
      </c>
      <c r="E343" s="253" t="s">
        <v>1841</v>
      </c>
      <c r="F343" s="253" t="s">
        <v>1842</v>
      </c>
      <c r="L343" s="253" t="s">
        <v>1313</v>
      </c>
    </row>
    <row r="344" spans="1:12">
      <c r="A344" s="253" t="s">
        <v>1833</v>
      </c>
      <c r="B344" s="253" t="s">
        <v>1315</v>
      </c>
      <c r="C344" s="253" t="s">
        <v>1833</v>
      </c>
      <c r="D344" s="253" t="s">
        <v>1843</v>
      </c>
      <c r="E344" s="253" t="s">
        <v>1844</v>
      </c>
      <c r="F344" s="253" t="s">
        <v>1845</v>
      </c>
      <c r="L344" s="253" t="s">
        <v>1315</v>
      </c>
    </row>
    <row r="345" spans="1:12">
      <c r="A345" s="253" t="s">
        <v>1833</v>
      </c>
      <c r="B345" s="253" t="s">
        <v>1166</v>
      </c>
      <c r="C345" s="253" t="s">
        <v>1833</v>
      </c>
      <c r="D345" s="253" t="s">
        <v>1846</v>
      </c>
      <c r="E345" s="253" t="s">
        <v>1847</v>
      </c>
      <c r="F345" s="253" t="s">
        <v>1848</v>
      </c>
      <c r="L345" s="253" t="s">
        <v>1166</v>
      </c>
    </row>
    <row r="346" spans="1:12">
      <c r="A346" s="253" t="s">
        <v>1833</v>
      </c>
      <c r="B346" s="253" t="s">
        <v>1168</v>
      </c>
      <c r="C346" s="253" t="s">
        <v>1833</v>
      </c>
      <c r="D346" s="253" t="s">
        <v>1849</v>
      </c>
      <c r="E346" s="253" t="s">
        <v>1850</v>
      </c>
      <c r="F346" s="253" t="s">
        <v>1851</v>
      </c>
      <c r="L346" s="253" t="s">
        <v>1168</v>
      </c>
    </row>
    <row r="347" spans="1:12">
      <c r="A347" s="253" t="s">
        <v>1833</v>
      </c>
      <c r="B347" s="253" t="s">
        <v>1169</v>
      </c>
      <c r="C347" s="253" t="s">
        <v>1833</v>
      </c>
      <c r="D347" s="253" t="s">
        <v>1852</v>
      </c>
      <c r="E347" s="253" t="s">
        <v>1853</v>
      </c>
      <c r="F347" s="253" t="s">
        <v>1854</v>
      </c>
      <c r="L347" s="253" t="s">
        <v>1169</v>
      </c>
    </row>
    <row r="348" spans="1:12">
      <c r="A348" s="253" t="s">
        <v>1833</v>
      </c>
      <c r="B348" s="253" t="s">
        <v>1170</v>
      </c>
      <c r="C348" s="253" t="s">
        <v>1833</v>
      </c>
      <c r="D348" s="253" t="s">
        <v>1855</v>
      </c>
      <c r="E348" s="253" t="s">
        <v>1856</v>
      </c>
      <c r="F348" s="253" t="s">
        <v>1857</v>
      </c>
      <c r="L348" s="253" t="s">
        <v>1170</v>
      </c>
    </row>
    <row r="349" spans="1:12">
      <c r="A349" s="253" t="s">
        <v>1833</v>
      </c>
      <c r="B349" s="253" t="s">
        <v>1171</v>
      </c>
      <c r="C349" s="253" t="s">
        <v>1833</v>
      </c>
      <c r="D349" s="253" t="s">
        <v>1858</v>
      </c>
      <c r="E349" s="253" t="s">
        <v>1859</v>
      </c>
      <c r="F349" s="253" t="s">
        <v>1860</v>
      </c>
      <c r="L349" s="253" t="s">
        <v>1171</v>
      </c>
    </row>
    <row r="350" spans="1:12">
      <c r="A350" s="253" t="s">
        <v>1833</v>
      </c>
      <c r="B350" s="253" t="s">
        <v>1172</v>
      </c>
      <c r="C350" s="253" t="s">
        <v>1833</v>
      </c>
      <c r="D350" s="253" t="s">
        <v>1861</v>
      </c>
      <c r="E350" s="253" t="s">
        <v>1862</v>
      </c>
      <c r="F350" s="253" t="s">
        <v>1863</v>
      </c>
      <c r="L350" s="253" t="s">
        <v>1172</v>
      </c>
    </row>
    <row r="351" spans="1:12">
      <c r="A351" s="253" t="s">
        <v>1833</v>
      </c>
      <c r="B351" s="253" t="s">
        <v>1173</v>
      </c>
      <c r="C351" s="253" t="s">
        <v>1833</v>
      </c>
      <c r="D351" s="253" t="s">
        <v>1864</v>
      </c>
      <c r="E351" s="253" t="s">
        <v>1865</v>
      </c>
      <c r="F351" s="253" t="s">
        <v>1866</v>
      </c>
      <c r="L351" s="253" t="s">
        <v>1173</v>
      </c>
    </row>
    <row r="352" spans="1:12">
      <c r="A352" s="253" t="s">
        <v>1833</v>
      </c>
      <c r="B352" s="253" t="s">
        <v>1174</v>
      </c>
      <c r="C352" s="253" t="s">
        <v>1833</v>
      </c>
      <c r="D352" s="253" t="s">
        <v>1867</v>
      </c>
      <c r="E352" s="253" t="s">
        <v>1868</v>
      </c>
      <c r="F352" s="253" t="s">
        <v>1869</v>
      </c>
      <c r="L352" s="253" t="s">
        <v>1174</v>
      </c>
    </row>
    <row r="353" spans="1:12">
      <c r="A353" s="253" t="s">
        <v>1833</v>
      </c>
      <c r="B353" s="253" t="s">
        <v>1870</v>
      </c>
      <c r="C353" s="253" t="s">
        <v>1833</v>
      </c>
      <c r="D353" s="253" t="s">
        <v>1871</v>
      </c>
      <c r="E353" s="253" t="s">
        <v>1872</v>
      </c>
      <c r="F353" s="253" t="s">
        <v>1873</v>
      </c>
    </row>
    <row r="354" spans="1:12">
      <c r="A354" s="253" t="s">
        <v>1833</v>
      </c>
      <c r="B354" s="253" t="s">
        <v>1175</v>
      </c>
      <c r="C354" s="253" t="s">
        <v>1833</v>
      </c>
      <c r="D354" s="253" t="s">
        <v>1874</v>
      </c>
      <c r="E354" s="253" t="s">
        <v>1875</v>
      </c>
      <c r="F354" s="253" t="s">
        <v>1876</v>
      </c>
      <c r="L354" s="253" t="s">
        <v>1175</v>
      </c>
    </row>
    <row r="355" spans="1:12">
      <c r="A355" s="253" t="s">
        <v>1833</v>
      </c>
      <c r="B355" s="253" t="s">
        <v>1177</v>
      </c>
      <c r="C355" s="253" t="s">
        <v>1833</v>
      </c>
      <c r="D355" s="253" t="s">
        <v>1877</v>
      </c>
      <c r="E355" s="253" t="s">
        <v>1878</v>
      </c>
      <c r="F355" s="253" t="s">
        <v>1879</v>
      </c>
      <c r="L355" s="253" t="s">
        <v>1177</v>
      </c>
    </row>
    <row r="356" spans="1:12">
      <c r="A356" s="253" t="s">
        <v>1833</v>
      </c>
      <c r="B356" s="253" t="s">
        <v>1178</v>
      </c>
      <c r="C356" s="253" t="s">
        <v>1833</v>
      </c>
      <c r="D356" s="253" t="s">
        <v>1880</v>
      </c>
      <c r="E356" s="253" t="s">
        <v>1881</v>
      </c>
      <c r="F356" s="253" t="s">
        <v>1882</v>
      </c>
      <c r="L356" s="253" t="s">
        <v>1178</v>
      </c>
    </row>
    <row r="357" spans="1:12">
      <c r="A357" s="253" t="s">
        <v>1833</v>
      </c>
      <c r="B357" s="253" t="s">
        <v>1179</v>
      </c>
      <c r="C357" s="253" t="s">
        <v>1833</v>
      </c>
      <c r="D357" s="253" t="s">
        <v>1883</v>
      </c>
      <c r="E357" s="253" t="s">
        <v>1884</v>
      </c>
      <c r="F357" s="253" t="s">
        <v>1885</v>
      </c>
      <c r="L357" s="253" t="s">
        <v>1179</v>
      </c>
    </row>
    <row r="358" spans="1:12">
      <c r="A358" s="253" t="s">
        <v>1833</v>
      </c>
      <c r="B358" s="253" t="s">
        <v>1180</v>
      </c>
      <c r="C358" s="253" t="s">
        <v>1833</v>
      </c>
      <c r="D358" s="253" t="s">
        <v>1886</v>
      </c>
      <c r="E358" s="253" t="s">
        <v>1887</v>
      </c>
      <c r="F358" s="253" t="s">
        <v>1888</v>
      </c>
      <c r="L358" s="253" t="s">
        <v>1180</v>
      </c>
    </row>
    <row r="359" spans="1:12">
      <c r="A359" s="253" t="s">
        <v>1833</v>
      </c>
      <c r="B359" s="253" t="s">
        <v>1181</v>
      </c>
      <c r="C359" s="253" t="s">
        <v>1833</v>
      </c>
      <c r="D359" s="253" t="s">
        <v>1889</v>
      </c>
      <c r="E359" s="253" t="s">
        <v>1890</v>
      </c>
      <c r="F359" s="253" t="s">
        <v>1891</v>
      </c>
      <c r="L359" s="253" t="s">
        <v>1181</v>
      </c>
    </row>
    <row r="360" spans="1:12">
      <c r="A360" s="253" t="s">
        <v>1833</v>
      </c>
      <c r="B360" s="253" t="s">
        <v>1184</v>
      </c>
      <c r="C360" s="253" t="s">
        <v>1833</v>
      </c>
      <c r="D360" s="253" t="s">
        <v>1892</v>
      </c>
      <c r="E360" s="253" t="s">
        <v>1893</v>
      </c>
      <c r="F360" s="253" t="s">
        <v>1894</v>
      </c>
      <c r="L360" s="253" t="s">
        <v>1184</v>
      </c>
    </row>
    <row r="361" spans="1:12">
      <c r="A361" s="253" t="s">
        <v>1833</v>
      </c>
      <c r="B361" s="253" t="s">
        <v>1186</v>
      </c>
      <c r="C361" s="253" t="s">
        <v>1833</v>
      </c>
      <c r="D361" s="253" t="s">
        <v>1895</v>
      </c>
      <c r="E361" s="253" t="s">
        <v>1896</v>
      </c>
      <c r="F361" s="253" t="s">
        <v>1897</v>
      </c>
      <c r="L361" s="253" t="s">
        <v>1186</v>
      </c>
    </row>
    <row r="362" spans="1:12">
      <c r="A362" s="253" t="s">
        <v>1833</v>
      </c>
      <c r="B362" s="253" t="s">
        <v>1188</v>
      </c>
      <c r="C362" s="253" t="s">
        <v>1833</v>
      </c>
      <c r="D362" s="253" t="s">
        <v>1898</v>
      </c>
      <c r="E362" s="253" t="s">
        <v>1899</v>
      </c>
      <c r="F362" s="253" t="s">
        <v>1900</v>
      </c>
      <c r="L362" s="253" t="s">
        <v>1188</v>
      </c>
    </row>
    <row r="363" spans="1:12">
      <c r="A363" s="253" t="s">
        <v>1833</v>
      </c>
      <c r="B363" s="253" t="s">
        <v>1190</v>
      </c>
      <c r="C363" s="253" t="s">
        <v>1833</v>
      </c>
      <c r="D363" s="253" t="s">
        <v>1901</v>
      </c>
      <c r="E363" s="253" t="s">
        <v>1902</v>
      </c>
      <c r="F363" s="253" t="s">
        <v>1903</v>
      </c>
      <c r="L363" s="253" t="s">
        <v>1190</v>
      </c>
    </row>
    <row r="364" spans="1:12">
      <c r="A364" s="253" t="s">
        <v>1833</v>
      </c>
      <c r="B364" s="253" t="s">
        <v>1904</v>
      </c>
      <c r="C364" s="253" t="s">
        <v>1833</v>
      </c>
      <c r="D364" s="253" t="s">
        <v>1905</v>
      </c>
      <c r="E364" s="253" t="s">
        <v>1906</v>
      </c>
      <c r="F364" s="253" t="s">
        <v>1907</v>
      </c>
    </row>
    <row r="365" spans="1:12">
      <c r="A365" s="253" t="s">
        <v>1833</v>
      </c>
      <c r="B365" s="253" t="s">
        <v>1192</v>
      </c>
      <c r="C365" s="253" t="s">
        <v>1833</v>
      </c>
      <c r="D365" s="253" t="s">
        <v>1908</v>
      </c>
      <c r="E365" s="253" t="s">
        <v>1909</v>
      </c>
      <c r="F365" s="253" t="s">
        <v>1910</v>
      </c>
      <c r="L365" s="253" t="s">
        <v>1192</v>
      </c>
    </row>
    <row r="366" spans="1:12">
      <c r="A366" s="253" t="s">
        <v>1833</v>
      </c>
      <c r="B366" s="253" t="s">
        <v>1194</v>
      </c>
      <c r="C366" s="253" t="s">
        <v>1833</v>
      </c>
      <c r="D366" s="253" t="s">
        <v>1911</v>
      </c>
      <c r="E366" s="253" t="s">
        <v>1912</v>
      </c>
      <c r="F366" s="253" t="s">
        <v>1913</v>
      </c>
      <c r="L366" s="253" t="s">
        <v>1194</v>
      </c>
    </row>
    <row r="367" spans="1:12">
      <c r="A367" s="253" t="s">
        <v>1833</v>
      </c>
      <c r="B367" s="253" t="s">
        <v>1914</v>
      </c>
      <c r="C367" s="253" t="s">
        <v>1833</v>
      </c>
      <c r="D367" s="253" t="s">
        <v>1915</v>
      </c>
      <c r="E367" s="253" t="s">
        <v>1916</v>
      </c>
      <c r="F367" s="253" t="s">
        <v>1917</v>
      </c>
    </row>
    <row r="368" spans="1:12">
      <c r="A368" s="253" t="s">
        <v>1833</v>
      </c>
      <c r="B368" s="253" t="s">
        <v>1918</v>
      </c>
      <c r="C368" s="253" t="s">
        <v>1833</v>
      </c>
      <c r="D368" s="253" t="s">
        <v>1919</v>
      </c>
      <c r="E368" s="253" t="s">
        <v>1920</v>
      </c>
      <c r="F368" s="253" t="s">
        <v>1921</v>
      </c>
    </row>
    <row r="369" spans="1:12">
      <c r="A369" s="253" t="s">
        <v>1833</v>
      </c>
      <c r="B369" s="253" t="s">
        <v>1196</v>
      </c>
      <c r="C369" s="253" t="s">
        <v>1833</v>
      </c>
      <c r="D369" s="253" t="s">
        <v>1922</v>
      </c>
      <c r="E369" s="253" t="s">
        <v>1923</v>
      </c>
      <c r="F369" s="253" t="s">
        <v>1924</v>
      </c>
      <c r="L369" s="253" t="s">
        <v>1196</v>
      </c>
    </row>
    <row r="370" spans="1:12">
      <c r="A370" s="253" t="s">
        <v>1833</v>
      </c>
      <c r="B370" s="253" t="s">
        <v>1198</v>
      </c>
      <c r="C370" s="253" t="s">
        <v>1833</v>
      </c>
      <c r="D370" s="253" t="s">
        <v>1925</v>
      </c>
      <c r="E370" s="253" t="s">
        <v>1926</v>
      </c>
      <c r="F370" s="253" t="s">
        <v>1927</v>
      </c>
      <c r="L370" s="253" t="s">
        <v>1198</v>
      </c>
    </row>
    <row r="371" spans="1:12">
      <c r="A371" s="253" t="s">
        <v>1833</v>
      </c>
      <c r="B371" s="253" t="s">
        <v>1200</v>
      </c>
      <c r="C371" s="253" t="s">
        <v>1833</v>
      </c>
      <c r="D371" s="253" t="s">
        <v>1928</v>
      </c>
      <c r="E371" s="253" t="s">
        <v>1929</v>
      </c>
      <c r="F371" s="253" t="s">
        <v>1930</v>
      </c>
      <c r="L371" s="253" t="s">
        <v>1200</v>
      </c>
    </row>
    <row r="372" spans="1:12">
      <c r="A372" s="253" t="s">
        <v>1833</v>
      </c>
      <c r="B372" s="253" t="s">
        <v>1202</v>
      </c>
      <c r="C372" s="253" t="s">
        <v>1833</v>
      </c>
      <c r="D372" s="253" t="s">
        <v>1931</v>
      </c>
      <c r="E372" s="253" t="s">
        <v>1932</v>
      </c>
      <c r="F372" s="253" t="s">
        <v>1933</v>
      </c>
      <c r="L372" s="253" t="s">
        <v>1202</v>
      </c>
    </row>
    <row r="373" spans="1:12">
      <c r="A373" s="253" t="s">
        <v>1833</v>
      </c>
      <c r="B373" s="253" t="s">
        <v>1204</v>
      </c>
      <c r="C373" s="253" t="s">
        <v>1833</v>
      </c>
      <c r="D373" s="253" t="s">
        <v>1934</v>
      </c>
      <c r="E373" s="253" t="s">
        <v>1935</v>
      </c>
      <c r="F373" s="253" t="s">
        <v>1936</v>
      </c>
      <c r="L373" s="253" t="s">
        <v>1204</v>
      </c>
    </row>
    <row r="374" spans="1:12">
      <c r="A374" s="253" t="s">
        <v>1833</v>
      </c>
      <c r="B374" s="253" t="s">
        <v>1206</v>
      </c>
      <c r="C374" s="253" t="s">
        <v>1833</v>
      </c>
      <c r="D374" s="253" t="s">
        <v>1937</v>
      </c>
      <c r="E374" s="253" t="s">
        <v>1938</v>
      </c>
      <c r="F374" s="253" t="s">
        <v>1939</v>
      </c>
      <c r="L374" s="253" t="s">
        <v>1206</v>
      </c>
    </row>
    <row r="375" spans="1:12">
      <c r="A375" s="253" t="s">
        <v>1833</v>
      </c>
      <c r="B375" s="253" t="s">
        <v>1208</v>
      </c>
      <c r="C375" s="253" t="s">
        <v>1833</v>
      </c>
      <c r="D375" s="253" t="s">
        <v>1940</v>
      </c>
      <c r="E375" s="253" t="s">
        <v>1941</v>
      </c>
      <c r="F375" s="253" t="s">
        <v>1942</v>
      </c>
      <c r="L375" s="253" t="s">
        <v>1208</v>
      </c>
    </row>
    <row r="376" spans="1:12">
      <c r="A376" s="253" t="s">
        <v>1833</v>
      </c>
      <c r="B376" s="253" t="s">
        <v>1210</v>
      </c>
      <c r="C376" s="253" t="s">
        <v>1833</v>
      </c>
      <c r="D376" s="253" t="s">
        <v>1943</v>
      </c>
      <c r="E376" s="253" t="s">
        <v>1944</v>
      </c>
      <c r="F376" s="253" t="s">
        <v>1945</v>
      </c>
      <c r="L376" s="253" t="s">
        <v>1210</v>
      </c>
    </row>
    <row r="377" spans="1:12">
      <c r="A377" s="253" t="s">
        <v>1833</v>
      </c>
      <c r="B377" s="253" t="s">
        <v>1212</v>
      </c>
      <c r="C377" s="253" t="s">
        <v>1833</v>
      </c>
      <c r="D377" s="253" t="s">
        <v>1946</v>
      </c>
      <c r="E377" s="253" t="s">
        <v>1947</v>
      </c>
      <c r="F377" s="253" t="s">
        <v>1948</v>
      </c>
      <c r="L377" s="253" t="s">
        <v>1212</v>
      </c>
    </row>
    <row r="378" spans="1:12">
      <c r="A378" s="253" t="s">
        <v>1833</v>
      </c>
      <c r="B378" s="253" t="s">
        <v>1214</v>
      </c>
      <c r="C378" s="253" t="s">
        <v>1833</v>
      </c>
      <c r="D378" s="253" t="s">
        <v>1949</v>
      </c>
      <c r="E378" s="253" t="s">
        <v>1950</v>
      </c>
      <c r="F378" s="253" t="s">
        <v>1951</v>
      </c>
      <c r="L378" s="253" t="s">
        <v>1214</v>
      </c>
    </row>
    <row r="379" spans="1:12">
      <c r="A379" s="253" t="s">
        <v>1833</v>
      </c>
      <c r="B379" s="253" t="s">
        <v>1216</v>
      </c>
      <c r="C379" s="253" t="s">
        <v>1833</v>
      </c>
      <c r="D379" s="253" t="s">
        <v>1952</v>
      </c>
      <c r="E379" s="253" t="s">
        <v>1953</v>
      </c>
      <c r="F379" s="253" t="s">
        <v>1954</v>
      </c>
      <c r="L379" s="253" t="s">
        <v>1216</v>
      </c>
    </row>
    <row r="380" spans="1:12">
      <c r="A380" s="253" t="s">
        <v>1833</v>
      </c>
      <c r="B380" s="253" t="s">
        <v>1218</v>
      </c>
      <c r="C380" s="253" t="s">
        <v>1833</v>
      </c>
      <c r="D380" s="253" t="s">
        <v>1955</v>
      </c>
      <c r="E380" s="253" t="s">
        <v>1956</v>
      </c>
      <c r="F380" s="253" t="s">
        <v>1957</v>
      </c>
      <c r="L380" s="253" t="s">
        <v>1218</v>
      </c>
    </row>
    <row r="381" spans="1:12">
      <c r="A381" s="253" t="s">
        <v>1833</v>
      </c>
      <c r="B381" s="253" t="s">
        <v>1220</v>
      </c>
      <c r="C381" s="253" t="s">
        <v>1833</v>
      </c>
      <c r="D381" s="253" t="s">
        <v>1958</v>
      </c>
      <c r="E381" s="253" t="s">
        <v>1959</v>
      </c>
      <c r="F381" s="253" t="s">
        <v>1960</v>
      </c>
      <c r="L381" s="253" t="s">
        <v>1220</v>
      </c>
    </row>
    <row r="382" spans="1:12">
      <c r="A382" s="253" t="s">
        <v>1833</v>
      </c>
      <c r="B382" s="253" t="s">
        <v>1222</v>
      </c>
      <c r="C382" s="253" t="s">
        <v>1833</v>
      </c>
      <c r="D382" s="253" t="s">
        <v>1961</v>
      </c>
      <c r="E382" s="253" t="s">
        <v>1962</v>
      </c>
      <c r="F382" s="253" t="s">
        <v>1963</v>
      </c>
      <c r="L382" s="253" t="s">
        <v>1222</v>
      </c>
    </row>
    <row r="383" spans="1:12">
      <c r="A383" s="253" t="s">
        <v>1833</v>
      </c>
      <c r="B383" s="253" t="s">
        <v>1224</v>
      </c>
      <c r="C383" s="253" t="s">
        <v>1833</v>
      </c>
      <c r="D383" s="253" t="s">
        <v>1964</v>
      </c>
      <c r="E383" s="253" t="s">
        <v>1965</v>
      </c>
      <c r="F383" s="253" t="s">
        <v>1966</v>
      </c>
      <c r="L383" s="253" t="s">
        <v>1224</v>
      </c>
    </row>
    <row r="384" spans="1:12">
      <c r="A384" s="253" t="s">
        <v>1833</v>
      </c>
      <c r="B384" s="253" t="s">
        <v>1967</v>
      </c>
      <c r="C384" s="253" t="s">
        <v>1833</v>
      </c>
      <c r="D384" s="253" t="s">
        <v>1968</v>
      </c>
      <c r="E384" s="253" t="s">
        <v>1969</v>
      </c>
      <c r="F384" s="253" t="s">
        <v>1981</v>
      </c>
      <c r="L384" s="253"/>
    </row>
    <row r="385" spans="1:12">
      <c r="A385" s="253" t="s">
        <v>1833</v>
      </c>
      <c r="B385" s="253" t="s">
        <v>1970</v>
      </c>
      <c r="C385" s="253" t="s">
        <v>1833</v>
      </c>
      <c r="D385" s="253" t="s">
        <v>1971</v>
      </c>
      <c r="E385" s="253" t="s">
        <v>1972</v>
      </c>
      <c r="F385" s="253" t="s">
        <v>1973</v>
      </c>
      <c r="L385" s="253"/>
    </row>
    <row r="408" spans="1:1">
      <c r="A408" s="106"/>
    </row>
    <row r="409" spans="1:1">
      <c r="A409" s="106"/>
    </row>
    <row r="410" spans="1:1">
      <c r="A410" s="106"/>
    </row>
    <row r="411" spans="1:1">
      <c r="A411" s="106"/>
    </row>
    <row r="412" spans="1:1">
      <c r="A412" s="106"/>
    </row>
    <row r="413" spans="1:1">
      <c r="A413" s="106"/>
    </row>
    <row r="414" spans="1:1">
      <c r="A414" s="106"/>
    </row>
    <row r="415" spans="1:1">
      <c r="A415" s="106"/>
    </row>
    <row r="416" spans="1:1">
      <c r="A416" s="106"/>
    </row>
    <row r="417" spans="1:1">
      <c r="A417" s="106"/>
    </row>
    <row r="418" spans="1:1">
      <c r="A418" s="106"/>
    </row>
    <row r="419" spans="1:1">
      <c r="A419" s="106"/>
    </row>
    <row r="420" spans="1:1">
      <c r="A420" s="106"/>
    </row>
    <row r="421" spans="1:1">
      <c r="A421" s="106"/>
    </row>
    <row r="422" spans="1:1">
      <c r="A422" s="106"/>
    </row>
    <row r="423" spans="1:1">
      <c r="A423" s="106"/>
    </row>
    <row r="424" spans="1:1">
      <c r="A424" s="106"/>
    </row>
    <row r="425" spans="1:1">
      <c r="A425" s="106"/>
    </row>
    <row r="426" spans="1:1">
      <c r="A426" s="106"/>
    </row>
    <row r="427" spans="1:1">
      <c r="A427" s="106"/>
    </row>
    <row r="428" spans="1:1">
      <c r="A428" s="106"/>
    </row>
    <row r="429" spans="1:1">
      <c r="A429" s="106"/>
    </row>
    <row r="430" spans="1:1">
      <c r="A430" s="106"/>
    </row>
    <row r="431" spans="1:1">
      <c r="A431" s="106"/>
    </row>
    <row r="432" spans="1:1">
      <c r="A432" s="106"/>
    </row>
  </sheetData>
  <sortState xmlns:xlrd2="http://schemas.microsoft.com/office/spreadsheetml/2017/richdata2" ref="A50:E458">
    <sortCondition ref="B50:B458"/>
  </sortState>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工作表14"/>
  <dimension ref="A1:AJ151"/>
  <sheetViews>
    <sheetView zoomScaleNormal="100" workbookViewId="0">
      <pane ySplit="1" topLeftCell="A2" activePane="bottomLeft" state="frozen"/>
      <selection pane="bottomLeft"/>
    </sheetView>
  </sheetViews>
  <sheetFormatPr defaultColWidth="0" defaultRowHeight="0" customHeight="1" zeroHeight="1"/>
  <cols>
    <col min="1" max="1" width="7.109375" style="6" customWidth="1"/>
    <col min="2" max="2" width="9.109375" style="6" customWidth="1"/>
    <col min="3" max="3" width="25.77734375" style="6" customWidth="1"/>
    <col min="4" max="4" width="10.6640625" style="6" hidden="1" customWidth="1"/>
    <col min="5" max="6" width="7.77734375" style="333" customWidth="1"/>
    <col min="7" max="9" width="7.77734375" style="17" customWidth="1"/>
    <col min="10" max="10" width="7.6640625" style="22" customWidth="1"/>
    <col min="11" max="11" width="7.6640625" style="23" customWidth="1"/>
    <col min="12" max="12" width="4.88671875" style="17" customWidth="1"/>
    <col min="13" max="13" width="4.6640625" style="17" customWidth="1"/>
    <col min="14" max="14" width="9.77734375" style="17" customWidth="1"/>
    <col min="15" max="19" width="2.21875" style="17" customWidth="1"/>
    <col min="20" max="20" width="8.88671875" style="338" customWidth="1"/>
    <col min="21" max="21" width="6.33203125" style="182" customWidth="1"/>
    <col min="22" max="26" width="6.33203125" style="338" customWidth="1"/>
    <col min="27" max="27" width="8.88671875" style="182" customWidth="1"/>
    <col min="28" max="33" width="6.33203125" style="182" customWidth="1"/>
    <col min="34" max="34" width="3.109375" style="179" customWidth="1"/>
    <col min="35" max="35" width="8.109375" style="182" customWidth="1"/>
    <col min="36" max="16384" width="9.109375" style="179" hidden="1"/>
  </cols>
  <sheetData>
    <row r="1" spans="1:35" s="274" customFormat="1" ht="18" customHeight="1">
      <c r="A1" s="80" t="s">
        <v>203</v>
      </c>
      <c r="B1" s="80" t="s">
        <v>298</v>
      </c>
      <c r="C1" s="80" t="s">
        <v>367</v>
      </c>
      <c r="D1" s="80"/>
      <c r="E1" s="342" t="s">
        <v>204</v>
      </c>
      <c r="F1" s="342" t="s">
        <v>368</v>
      </c>
      <c r="G1" s="342" t="s">
        <v>300</v>
      </c>
      <c r="H1" s="342" t="s">
        <v>301</v>
      </c>
      <c r="I1" s="81" t="s">
        <v>205</v>
      </c>
      <c r="J1" s="512" t="s">
        <v>363</v>
      </c>
      <c r="K1" s="512"/>
      <c r="L1" s="81" t="s">
        <v>361</v>
      </c>
      <c r="M1" s="375" t="s">
        <v>376</v>
      </c>
      <c r="N1" s="81" t="s">
        <v>2189</v>
      </c>
      <c r="O1" s="81" t="s">
        <v>369</v>
      </c>
      <c r="P1" s="81" t="s">
        <v>370</v>
      </c>
      <c r="Q1" s="81" t="s">
        <v>371</v>
      </c>
      <c r="R1" s="81" t="s">
        <v>372</v>
      </c>
      <c r="S1" s="81" t="s">
        <v>373</v>
      </c>
      <c r="T1" s="342" t="s">
        <v>2029</v>
      </c>
      <c r="U1" s="342" t="s">
        <v>2027</v>
      </c>
      <c r="V1" s="342" t="s">
        <v>2021</v>
      </c>
      <c r="W1" s="342" t="s">
        <v>2022</v>
      </c>
      <c r="X1" s="342" t="s">
        <v>2023</v>
      </c>
      <c r="Y1" s="342" t="s">
        <v>2024</v>
      </c>
      <c r="Z1" s="342" t="s">
        <v>2025</v>
      </c>
      <c r="AA1" s="342" t="s">
        <v>2038</v>
      </c>
      <c r="AB1" s="342" t="s">
        <v>2027</v>
      </c>
      <c r="AC1" s="342" t="s">
        <v>2021</v>
      </c>
      <c r="AD1" s="342" t="s">
        <v>2022</v>
      </c>
      <c r="AE1" s="342" t="s">
        <v>2023</v>
      </c>
      <c r="AF1" s="342" t="s">
        <v>2024</v>
      </c>
      <c r="AG1" s="342" t="s">
        <v>2025</v>
      </c>
      <c r="AH1" s="80"/>
      <c r="AI1" s="342"/>
    </row>
    <row r="2" spans="1:35" ht="18" customHeight="1">
      <c r="A2" s="5" t="s">
        <v>1164</v>
      </c>
      <c r="B2" s="5" t="s">
        <v>1226</v>
      </c>
      <c r="C2" s="5" t="s">
        <v>1227</v>
      </c>
      <c r="D2" s="5" t="s">
        <v>1834</v>
      </c>
      <c r="E2" s="338" t="s">
        <v>1156</v>
      </c>
      <c r="F2" s="176" t="s">
        <v>792</v>
      </c>
      <c r="G2" s="67">
        <v>16.2</v>
      </c>
      <c r="H2" s="176" t="s">
        <v>792</v>
      </c>
      <c r="I2" s="71">
        <f>計分版!D377</f>
        <v>1.9000000000000001E-9</v>
      </c>
      <c r="J2" s="39">
        <f>I2-G2</f>
        <v>-16.199999998100001</v>
      </c>
      <c r="K2" s="40">
        <f>(I2-G2)/I2</f>
        <v>-8526315788.4736843</v>
      </c>
      <c r="L2" s="124">
        <v>400</v>
      </c>
      <c r="M2" s="380">
        <f>入學要求!S364</f>
        <v>0</v>
      </c>
      <c r="N2" s="369" t="s">
        <v>2226</v>
      </c>
      <c r="O2" s="82">
        <v>3</v>
      </c>
      <c r="P2" s="82">
        <v>3</v>
      </c>
      <c r="Q2" s="82">
        <v>2</v>
      </c>
      <c r="R2" s="82">
        <v>2</v>
      </c>
      <c r="S2" s="82">
        <v>2</v>
      </c>
      <c r="T2" s="501" t="s">
        <v>2030</v>
      </c>
      <c r="U2" s="333">
        <f>IF($T$2="2018年",'Offer Statistics'!FM2,IF($T$2="2019年",'Offer Statistics'!FM48,IF($T$2="2020年",'Offer Statistics'!FM94)))</f>
        <v>490</v>
      </c>
      <c r="V2" s="284">
        <f>IF($T$2="2018年",'Offer Statistics'!FH2,IF($T$2="2019年",'Offer Statistics'!FH48,IF($T$2="2020年",'Offer Statistics'!FH94)))</f>
        <v>490</v>
      </c>
      <c r="W2" s="284">
        <f>IF($T$2="2018年",'Offer Statistics'!FI2,IF($T$2="2019年",'Offer Statistics'!FI48,IF($T$2="2020年",'Offer Statistics'!FI94)))</f>
        <v>0</v>
      </c>
      <c r="X2" s="284">
        <f>IF($T$2="2018年",'Offer Statistics'!FJ2,IF($T$2="2019年",'Offer Statistics'!FJ48,IF($T$2="2020年",'Offer Statistics'!FJ94)))</f>
        <v>0</v>
      </c>
      <c r="Y2" s="284">
        <f>IF($T$2="2018年",'Offer Statistics'!FK2,IF($T$2="2019年",'Offer Statistics'!FK48,IF($T$2="2020年",'Offer Statistics'!FK94)))</f>
        <v>0</v>
      </c>
      <c r="Z2" s="284">
        <f>IF($T$2="2018年",'Offer Statistics'!FL2,IF($T$2="2019年",'Offer Statistics'!FL48,IF($T$2="2020年",'Offer Statistics'!FL94)))</f>
        <v>0</v>
      </c>
      <c r="AA2" s="513" t="str">
        <f>T2</f>
        <v>2020年</v>
      </c>
      <c r="AB2" s="333">
        <f>IF($T$2="2018年",'Offer Statistics'!FE2,IF($T$2="2019年",'Offer Statistics'!FE48,IF($T$2="2020年",'Offer Statistics'!FE94)))</f>
        <v>5812</v>
      </c>
      <c r="AC2" s="284">
        <f>IF($T$2="2018年",'Offer Statistics'!EZ2,IF($T$2="2019年",'Offer Statistics'!EZ48,IF($T$2="2020年",'Offer Statistics'!EZ94)))</f>
        <v>2334</v>
      </c>
      <c r="AD2" s="284">
        <f>IF($T$2="2018年",'Offer Statistics'!FA2,IF($T$2="2019年",'Offer Statistics'!FA48,IF($T$2="2020年",'Offer Statistics'!FA94)))</f>
        <v>1213</v>
      </c>
      <c r="AE2" s="284">
        <f>IF($T$2="2018年",'Offer Statistics'!FB2,IF($T$2="2019年",'Offer Statistics'!FB48,IF($T$2="2020年",'Offer Statistics'!FB94)))</f>
        <v>815</v>
      </c>
      <c r="AF2" s="284">
        <f>IF($T$2="2018年",'Offer Statistics'!FC2,IF($T$2="2019年",'Offer Statistics'!FC48,IF($T$2="2020年",'Offer Statistics'!FC94)))</f>
        <v>656</v>
      </c>
      <c r="AG2" s="284">
        <f>IF($T$2="2018年",'Offer Statistics'!FD2,IF($T$2="2019年",'Offer Statistics'!FD48,IF($T$2="2020年",'Offer Statistics'!FD94)))</f>
        <v>794</v>
      </c>
      <c r="AH2" s="175"/>
      <c r="AI2" s="338" t="str">
        <f>A2</f>
        <v>JSSA01</v>
      </c>
    </row>
    <row r="3" spans="1:35" ht="18" customHeight="1">
      <c r="A3" s="5" t="s">
        <v>1165</v>
      </c>
      <c r="B3" s="5" t="s">
        <v>1226</v>
      </c>
      <c r="C3" s="5" t="s">
        <v>1228</v>
      </c>
      <c r="D3" s="5" t="s">
        <v>1837</v>
      </c>
      <c r="E3" s="338" t="s">
        <v>1156</v>
      </c>
      <c r="F3" s="176" t="s">
        <v>792</v>
      </c>
      <c r="G3" s="67">
        <v>13.8</v>
      </c>
      <c r="H3" s="176" t="s">
        <v>792</v>
      </c>
      <c r="I3" s="71">
        <f>計分版!D378</f>
        <v>1.9000000000000001E-9</v>
      </c>
      <c r="J3" s="39">
        <f>I3-G3</f>
        <v>-13.799999998100001</v>
      </c>
      <c r="K3" s="40">
        <f>(I3-G3)/I3</f>
        <v>-7263157893.7368422</v>
      </c>
      <c r="L3" s="251">
        <v>30</v>
      </c>
      <c r="M3" s="381">
        <f>入學要求!S365</f>
        <v>0</v>
      </c>
      <c r="N3" s="369" t="s">
        <v>2226</v>
      </c>
      <c r="O3" s="82">
        <v>3</v>
      </c>
      <c r="P3" s="82">
        <v>3</v>
      </c>
      <c r="Q3" s="82">
        <v>2</v>
      </c>
      <c r="R3" s="82">
        <v>2</v>
      </c>
      <c r="S3" s="82">
        <v>2</v>
      </c>
      <c r="T3" s="501"/>
      <c r="U3" s="333">
        <f>IF($T$2="2018年",'Offer Statistics'!FM3,IF($T$2="2019年",'Offer Statistics'!FM49,IF($T$2="2020年",'Offer Statistics'!FM95)))</f>
        <v>39</v>
      </c>
      <c r="V3" s="284">
        <f>IF($T$2="2018年",'Offer Statistics'!FH3,IF($T$2="2019年",'Offer Statistics'!FH49,IF($T$2="2020年",'Offer Statistics'!FH95)))</f>
        <v>18</v>
      </c>
      <c r="W3" s="284">
        <f>IF($T$2="2018年",'Offer Statistics'!FI3,IF($T$2="2019年",'Offer Statistics'!FI49,IF($T$2="2020年",'Offer Statistics'!FI95)))</f>
        <v>7</v>
      </c>
      <c r="X3" s="284">
        <f>IF($T$2="2018年",'Offer Statistics'!FJ3,IF($T$2="2019年",'Offer Statistics'!FJ49,IF($T$2="2020年",'Offer Statistics'!FJ95)))</f>
        <v>8</v>
      </c>
      <c r="Y3" s="284">
        <f>IF($T$2="2018年",'Offer Statistics'!FK3,IF($T$2="2019年",'Offer Statistics'!FK49,IF($T$2="2020年",'Offer Statistics'!FK95)))</f>
        <v>2</v>
      </c>
      <c r="Z3" s="284">
        <f>IF($T$2="2018年",'Offer Statistics'!FL3,IF($T$2="2019年",'Offer Statistics'!FL49,IF($T$2="2020年",'Offer Statistics'!FL95)))</f>
        <v>4</v>
      </c>
      <c r="AA3" s="513"/>
      <c r="AB3" s="333">
        <f>IF($T$2="2018年",'Offer Statistics'!FE3,IF($T$2="2019年",'Offer Statistics'!FE49,IF($T$2="2020年",'Offer Statistics'!FE95)))</f>
        <v>1506</v>
      </c>
      <c r="AC3" s="284">
        <f>IF($T$2="2018年",'Offer Statistics'!EZ3,IF($T$2="2019年",'Offer Statistics'!EZ49,IF($T$2="2020年",'Offer Statistics'!EZ95)))</f>
        <v>191</v>
      </c>
      <c r="AD3" s="284">
        <f>IF($T$2="2018年",'Offer Statistics'!FA3,IF($T$2="2019年",'Offer Statistics'!FA49,IF($T$2="2020年",'Offer Statistics'!FA95)))</f>
        <v>231</v>
      </c>
      <c r="AE3" s="284">
        <f>IF($T$2="2018年",'Offer Statistics'!FB3,IF($T$2="2019年",'Offer Statistics'!FB49,IF($T$2="2020年",'Offer Statistics'!FB95)))</f>
        <v>302</v>
      </c>
      <c r="AF3" s="284">
        <f>IF($T$2="2018年",'Offer Statistics'!FC3,IF($T$2="2019年",'Offer Statistics'!FC49,IF($T$2="2020年",'Offer Statistics'!FC95)))</f>
        <v>344</v>
      </c>
      <c r="AG3" s="284">
        <f>IF($T$2="2018年",'Offer Statistics'!FD3,IF($T$2="2019年",'Offer Statistics'!FD49,IF($T$2="2020年",'Offer Statistics'!FD95)))</f>
        <v>438</v>
      </c>
      <c r="AH3" s="175"/>
      <c r="AI3" s="338" t="str">
        <f t="shared" ref="AI3:AI46" si="0">A3</f>
        <v>JSSA02</v>
      </c>
    </row>
    <row r="4" spans="1:35" ht="18" customHeight="1">
      <c r="A4" s="5" t="s">
        <v>1313</v>
      </c>
      <c r="B4" s="5" t="s">
        <v>1255</v>
      </c>
      <c r="C4" s="5" t="s">
        <v>1314</v>
      </c>
      <c r="D4" s="5" t="s">
        <v>1840</v>
      </c>
      <c r="E4" s="377" t="s">
        <v>1155</v>
      </c>
      <c r="F4" s="176" t="s">
        <v>792</v>
      </c>
      <c r="G4" s="176" t="s">
        <v>792</v>
      </c>
      <c r="H4" s="176" t="s">
        <v>792</v>
      </c>
      <c r="I4" s="71">
        <f>計分版!D379</f>
        <v>1.9000000000000001E-9</v>
      </c>
      <c r="J4" s="8" t="s">
        <v>360</v>
      </c>
      <c r="K4" s="9" t="s">
        <v>360</v>
      </c>
      <c r="L4" s="251">
        <v>50</v>
      </c>
      <c r="M4" s="381">
        <f>入學要求!S366</f>
        <v>0</v>
      </c>
      <c r="N4" s="377" t="s">
        <v>2193</v>
      </c>
      <c r="O4" s="82">
        <v>3</v>
      </c>
      <c r="P4" s="426">
        <v>3</v>
      </c>
      <c r="Q4" s="82">
        <v>2</v>
      </c>
      <c r="R4" s="82">
        <v>2</v>
      </c>
      <c r="S4" s="82">
        <v>2</v>
      </c>
      <c r="T4" s="501"/>
      <c r="U4" s="333" t="str">
        <f>IF($T$2="2018年",'Offer Statistics'!FM4,IF($T$2="2019年",'Offer Statistics'!FM50,IF($T$2="2020年",'Offer Statistics'!FM96)))</f>
        <v>/</v>
      </c>
      <c r="V4" s="284" t="str">
        <f>IF($T$2="2018年",'Offer Statistics'!FH4,IF($T$2="2019年",'Offer Statistics'!FH50,IF($T$2="2020年",'Offer Statistics'!FH96)))</f>
        <v>/</v>
      </c>
      <c r="W4" s="284" t="str">
        <f>IF($T$2="2018年",'Offer Statistics'!FI4,IF($T$2="2019年",'Offer Statistics'!FI50,IF($T$2="2020年",'Offer Statistics'!FI96)))</f>
        <v>/</v>
      </c>
      <c r="X4" s="284" t="str">
        <f>IF($T$2="2018年",'Offer Statistics'!FJ4,IF($T$2="2019年",'Offer Statistics'!FJ50,IF($T$2="2020年",'Offer Statistics'!FJ96)))</f>
        <v>/</v>
      </c>
      <c r="Y4" s="284" t="str">
        <f>IF($T$2="2018年",'Offer Statistics'!FK4,IF($T$2="2019年",'Offer Statistics'!FK50,IF($T$2="2020年",'Offer Statistics'!FK96)))</f>
        <v>/</v>
      </c>
      <c r="Z4" s="284" t="str">
        <f>IF($T$2="2018年",'Offer Statistics'!FL4,IF($T$2="2019年",'Offer Statistics'!FL50,IF($T$2="2020年",'Offer Statistics'!FL96)))</f>
        <v>/</v>
      </c>
      <c r="AA4" s="513"/>
      <c r="AB4" s="333" t="str">
        <f>IF($T$2="2018年",'Offer Statistics'!FE4,IF($T$2="2019年",'Offer Statistics'!FE50,IF($T$2="2020年",'Offer Statistics'!FE96)))</f>
        <v>/</v>
      </c>
      <c r="AC4" s="284" t="str">
        <f>IF($T$2="2018年",'Offer Statistics'!EZ4,IF($T$2="2019年",'Offer Statistics'!EZ50,IF($T$2="2020年",'Offer Statistics'!EZ96)))</f>
        <v>/</v>
      </c>
      <c r="AD4" s="284" t="str">
        <f>IF($T$2="2018年",'Offer Statistics'!FA4,IF($T$2="2019年",'Offer Statistics'!FA50,IF($T$2="2020年",'Offer Statistics'!FA96)))</f>
        <v>/</v>
      </c>
      <c r="AE4" s="284" t="str">
        <f>IF($T$2="2018年",'Offer Statistics'!FB4,IF($T$2="2019年",'Offer Statistics'!FB50,IF($T$2="2020年",'Offer Statistics'!FB96)))</f>
        <v>/</v>
      </c>
      <c r="AF4" s="284" t="str">
        <f>IF($T$2="2018年",'Offer Statistics'!FC4,IF($T$2="2019年",'Offer Statistics'!FC50,IF($T$2="2020年",'Offer Statistics'!FC96)))</f>
        <v>/</v>
      </c>
      <c r="AG4" s="284" t="str">
        <f>IF($T$2="2018年",'Offer Statistics'!FD4,IF($T$2="2019年",'Offer Statistics'!FD50,IF($T$2="2020年",'Offer Statistics'!FD96)))</f>
        <v>/</v>
      </c>
      <c r="AH4" s="175"/>
      <c r="AI4" s="338" t="str">
        <f t="shared" si="0"/>
        <v>JSSA03</v>
      </c>
    </row>
    <row r="5" spans="1:35" ht="18" customHeight="1">
      <c r="A5" s="5" t="s">
        <v>1315</v>
      </c>
      <c r="B5" s="5" t="s">
        <v>1255</v>
      </c>
      <c r="C5" s="5" t="s">
        <v>1316</v>
      </c>
      <c r="D5" s="5" t="s">
        <v>1843</v>
      </c>
      <c r="E5" s="377" t="s">
        <v>1155</v>
      </c>
      <c r="F5" s="176" t="s">
        <v>792</v>
      </c>
      <c r="G5" s="176" t="s">
        <v>792</v>
      </c>
      <c r="H5" s="176" t="s">
        <v>792</v>
      </c>
      <c r="I5" s="71">
        <f>計分版!D380</f>
        <v>1.9000000000000001E-9</v>
      </c>
      <c r="J5" s="8" t="s">
        <v>360</v>
      </c>
      <c r="K5" s="9" t="s">
        <v>360</v>
      </c>
      <c r="L5" s="251">
        <v>30</v>
      </c>
      <c r="M5" s="381">
        <f>入學要求!S367</f>
        <v>0</v>
      </c>
      <c r="N5" s="371" t="s">
        <v>2226</v>
      </c>
      <c r="O5" s="82">
        <v>3</v>
      </c>
      <c r="P5" s="82">
        <v>3</v>
      </c>
      <c r="Q5" s="82">
        <v>2</v>
      </c>
      <c r="R5" s="82">
        <v>2</v>
      </c>
      <c r="S5" s="82">
        <v>2</v>
      </c>
      <c r="T5" s="501"/>
      <c r="U5" s="333" t="str">
        <f>IF($T$2="2018年",'Offer Statistics'!FM5,IF($T$2="2019年",'Offer Statistics'!FM51,IF($T$2="2020年",'Offer Statistics'!FM97)))</f>
        <v>/</v>
      </c>
      <c r="V5" s="284" t="str">
        <f>IF($T$2="2018年",'Offer Statistics'!FH5,IF($T$2="2019年",'Offer Statistics'!FH51,IF($T$2="2020年",'Offer Statistics'!FH97)))</f>
        <v>/</v>
      </c>
      <c r="W5" s="284" t="str">
        <f>IF($T$2="2018年",'Offer Statistics'!FI5,IF($T$2="2019年",'Offer Statistics'!FI51,IF($T$2="2020年",'Offer Statistics'!FI97)))</f>
        <v>/</v>
      </c>
      <c r="X5" s="284" t="str">
        <f>IF($T$2="2018年",'Offer Statistics'!FJ5,IF($T$2="2019年",'Offer Statistics'!FJ51,IF($T$2="2020年",'Offer Statistics'!FJ97)))</f>
        <v>/</v>
      </c>
      <c r="Y5" s="284" t="str">
        <f>IF($T$2="2018年",'Offer Statistics'!FK5,IF($T$2="2019年",'Offer Statistics'!FK51,IF($T$2="2020年",'Offer Statistics'!FK97)))</f>
        <v>/</v>
      </c>
      <c r="Z5" s="284" t="str">
        <f>IF($T$2="2018年",'Offer Statistics'!FL5,IF($T$2="2019年",'Offer Statistics'!FL51,IF($T$2="2020年",'Offer Statistics'!FL97)))</f>
        <v>/</v>
      </c>
      <c r="AA5" s="513"/>
      <c r="AB5" s="333" t="str">
        <f>IF($T$2="2018年",'Offer Statistics'!FE5,IF($T$2="2019年",'Offer Statistics'!FE51,IF($T$2="2020年",'Offer Statistics'!FE97)))</f>
        <v>/</v>
      </c>
      <c r="AC5" s="284" t="str">
        <f>IF($T$2="2018年",'Offer Statistics'!EZ5,IF($T$2="2019年",'Offer Statistics'!EZ51,IF($T$2="2020年",'Offer Statistics'!EZ97)))</f>
        <v>/</v>
      </c>
      <c r="AD5" s="284" t="str">
        <f>IF($T$2="2018年",'Offer Statistics'!FA5,IF($T$2="2019年",'Offer Statistics'!FA51,IF($T$2="2020年",'Offer Statistics'!FA97)))</f>
        <v>/</v>
      </c>
      <c r="AE5" s="284" t="str">
        <f>IF($T$2="2018年",'Offer Statistics'!FB5,IF($T$2="2019年",'Offer Statistics'!FB51,IF($T$2="2020年",'Offer Statistics'!FB97)))</f>
        <v>/</v>
      </c>
      <c r="AF5" s="284" t="str">
        <f>IF($T$2="2018年",'Offer Statistics'!FC5,IF($T$2="2019年",'Offer Statistics'!FC51,IF($T$2="2020年",'Offer Statistics'!FC97)))</f>
        <v>/</v>
      </c>
      <c r="AG5" s="284" t="str">
        <f>IF($T$2="2018年",'Offer Statistics'!FD5,IF($T$2="2019年",'Offer Statistics'!FD51,IF($T$2="2020年",'Offer Statistics'!FD97)))</f>
        <v>/</v>
      </c>
      <c r="AH5" s="175"/>
      <c r="AI5" s="338" t="str">
        <f t="shared" si="0"/>
        <v>JSSA04</v>
      </c>
    </row>
    <row r="6" spans="1:35" ht="18" customHeight="1">
      <c r="A6" s="5" t="s">
        <v>1166</v>
      </c>
      <c r="B6" s="5" t="s">
        <v>1167</v>
      </c>
      <c r="C6" s="5" t="s">
        <v>1229</v>
      </c>
      <c r="D6" s="5" t="s">
        <v>1846</v>
      </c>
      <c r="E6" s="338" t="s">
        <v>1155</v>
      </c>
      <c r="F6" s="176">
        <v>18</v>
      </c>
      <c r="G6" s="176" t="s">
        <v>792</v>
      </c>
      <c r="H6" s="176">
        <v>14</v>
      </c>
      <c r="I6" s="71">
        <f>計分版!D381</f>
        <v>1.9500000000000001E-9</v>
      </c>
      <c r="J6" s="39">
        <f>IF(J$1="差距(Median)",I6-F6,IF(J$1="差距(UQ)",I6-F6,IF(J$1="差距(LQ)",I6-H6)))</f>
        <v>-17.999999998050001</v>
      </c>
      <c r="K6" s="40">
        <f>IF(J$1="差距(Median)",(I6-F6)/I6,IF(J$1="差距(UQ)",(I6-F6)/I6,IF(J$1="差距(LQ)",(I6-H6)/I6)))</f>
        <v>-9230769229.7692299</v>
      </c>
      <c r="L6" s="251">
        <v>60</v>
      </c>
      <c r="M6" s="381">
        <f>入學要求!S368</f>
        <v>0</v>
      </c>
      <c r="N6" s="503" t="s">
        <v>2226</v>
      </c>
      <c r="O6" s="82">
        <v>3</v>
      </c>
      <c r="P6" s="82">
        <v>3</v>
      </c>
      <c r="Q6" s="82">
        <v>2</v>
      </c>
      <c r="R6" s="82">
        <v>2</v>
      </c>
      <c r="S6" s="82">
        <v>2</v>
      </c>
      <c r="T6" s="501"/>
      <c r="U6" s="333">
        <f>IF($T$2="2018年",'Offer Statistics'!FM6,IF($T$2="2019年",'Offer Statistics'!FM52,IF($T$2="2020年",'Offer Statistics'!FM98)))</f>
        <v>34</v>
      </c>
      <c r="V6" s="284">
        <f>IF($T$2="2018年",'Offer Statistics'!FH6,IF($T$2="2019年",'Offer Statistics'!FH52,IF($T$2="2020年",'Offer Statistics'!FH98)))</f>
        <v>21</v>
      </c>
      <c r="W6" s="284">
        <f>IF($T$2="2018年",'Offer Statistics'!FI6,IF($T$2="2019年",'Offer Statistics'!FI52,IF($T$2="2020年",'Offer Statistics'!FI98)))</f>
        <v>6</v>
      </c>
      <c r="X6" s="284">
        <f>IF($T$2="2018年",'Offer Statistics'!FJ6,IF($T$2="2019年",'Offer Statistics'!FJ52,IF($T$2="2020年",'Offer Statistics'!FJ98)))</f>
        <v>3</v>
      </c>
      <c r="Y6" s="284">
        <f>IF($T$2="2018年",'Offer Statistics'!FK6,IF($T$2="2019年",'Offer Statistics'!FK52,IF($T$2="2020年",'Offer Statistics'!FK98)))</f>
        <v>3</v>
      </c>
      <c r="Z6" s="284">
        <f>IF($T$2="2018年",'Offer Statistics'!FL6,IF($T$2="2019年",'Offer Statistics'!FL52,IF($T$2="2020年",'Offer Statistics'!FL98)))</f>
        <v>1</v>
      </c>
      <c r="AA6" s="513"/>
      <c r="AB6" s="333">
        <f>IF($T$2="2018年",'Offer Statistics'!FE6,IF($T$2="2019年",'Offer Statistics'!FE52,IF($T$2="2020年",'Offer Statistics'!FE98)))</f>
        <v>1110</v>
      </c>
      <c r="AC6" s="284">
        <f>IF($T$2="2018年",'Offer Statistics'!EZ6,IF($T$2="2019年",'Offer Statistics'!EZ52,IF($T$2="2020年",'Offer Statistics'!EZ98)))</f>
        <v>118</v>
      </c>
      <c r="AD6" s="284">
        <f>IF($T$2="2018年",'Offer Statistics'!FA6,IF($T$2="2019年",'Offer Statistics'!FA52,IF($T$2="2020年",'Offer Statistics'!FA98)))</f>
        <v>148</v>
      </c>
      <c r="AE6" s="284">
        <f>IF($T$2="2018年",'Offer Statistics'!FB6,IF($T$2="2019年",'Offer Statistics'!FB52,IF($T$2="2020年",'Offer Statistics'!FB98)))</f>
        <v>198</v>
      </c>
      <c r="AF6" s="284">
        <f>IF($T$2="2018年",'Offer Statistics'!FC6,IF($T$2="2019年",'Offer Statistics'!FC52,IF($T$2="2020年",'Offer Statistics'!FC98)))</f>
        <v>298</v>
      </c>
      <c r="AG6" s="284">
        <f>IF($T$2="2018年",'Offer Statistics'!FD6,IF($T$2="2019年",'Offer Statistics'!FD52,IF($T$2="2020年",'Offer Statistics'!FD98)))</f>
        <v>348</v>
      </c>
      <c r="AH6" s="175"/>
      <c r="AI6" s="338" t="str">
        <f t="shared" si="0"/>
        <v>JSSC02</v>
      </c>
    </row>
    <row r="7" spans="1:35" ht="18" customHeight="1">
      <c r="A7" s="5" t="s">
        <v>1168</v>
      </c>
      <c r="B7" s="5" t="s">
        <v>1167</v>
      </c>
      <c r="C7" s="5" t="s">
        <v>1230</v>
      </c>
      <c r="D7" s="5" t="s">
        <v>1849</v>
      </c>
      <c r="E7" s="338" t="s">
        <v>1155</v>
      </c>
      <c r="F7" s="176">
        <v>14</v>
      </c>
      <c r="G7" s="176" t="s">
        <v>792</v>
      </c>
      <c r="H7" s="176">
        <v>14</v>
      </c>
      <c r="I7" s="71">
        <f>計分版!D382</f>
        <v>1.9500000000000001E-9</v>
      </c>
      <c r="J7" s="39">
        <f>IF(J$1="差距(Median)",I7-F7,IF(J$1="差距(UQ)",I7-F7,IF(J$1="差距(LQ)",I7-H7)))</f>
        <v>-13.999999998050001</v>
      </c>
      <c r="K7" s="40">
        <f t="shared" ref="K7:K8" si="1">IF(J$1="差距(Median)",(I7-F7)/I7,IF(J$1="差距(UQ)",(I7-F7)/I7,IF(J$1="差距(LQ)",(I7-H7)/I7)))</f>
        <v>-7179487178.4871798</v>
      </c>
      <c r="L7" s="251">
        <v>30</v>
      </c>
      <c r="M7" s="381">
        <f>入學要求!S369</f>
        <v>0</v>
      </c>
      <c r="N7" s="503"/>
      <c r="O7" s="82">
        <v>3</v>
      </c>
      <c r="P7" s="82">
        <v>3</v>
      </c>
      <c r="Q7" s="82">
        <v>2</v>
      </c>
      <c r="R7" s="82">
        <v>2</v>
      </c>
      <c r="S7" s="82">
        <v>2</v>
      </c>
      <c r="T7" s="501"/>
      <c r="U7" s="333">
        <f>IF($T$2="2018年",'Offer Statistics'!FM7,IF($T$2="2019年",'Offer Statistics'!FM53,IF($T$2="2020年",'Offer Statistics'!FM99)))</f>
        <v>17</v>
      </c>
      <c r="V7" s="284">
        <f>IF($T$2="2018年",'Offer Statistics'!FH7,IF($T$2="2019年",'Offer Statistics'!FH53,IF($T$2="2020年",'Offer Statistics'!FH99)))</f>
        <v>5</v>
      </c>
      <c r="W7" s="284">
        <f>IF($T$2="2018年",'Offer Statistics'!FI7,IF($T$2="2019年",'Offer Statistics'!FI53,IF($T$2="2020年",'Offer Statistics'!FI99)))</f>
        <v>7</v>
      </c>
      <c r="X7" s="284">
        <f>IF($T$2="2018年",'Offer Statistics'!FJ7,IF($T$2="2019年",'Offer Statistics'!FJ53,IF($T$2="2020年",'Offer Statistics'!FJ99)))</f>
        <v>1</v>
      </c>
      <c r="Y7" s="284">
        <f>IF($T$2="2018年",'Offer Statistics'!FK7,IF($T$2="2019年",'Offer Statistics'!FK53,IF($T$2="2020年",'Offer Statistics'!FK99)))</f>
        <v>1</v>
      </c>
      <c r="Z7" s="284">
        <f>IF($T$2="2018年",'Offer Statistics'!FL7,IF($T$2="2019年",'Offer Statistics'!FL53,IF($T$2="2020年",'Offer Statistics'!FL99)))</f>
        <v>3</v>
      </c>
      <c r="AA7" s="513"/>
      <c r="AB7" s="333">
        <f>IF($T$2="2018年",'Offer Statistics'!FE7,IF($T$2="2019年",'Offer Statistics'!FE53,IF($T$2="2020年",'Offer Statistics'!FE99)))</f>
        <v>1312</v>
      </c>
      <c r="AC7" s="284">
        <f>IF($T$2="2018年",'Offer Statistics'!EZ7,IF($T$2="2019年",'Offer Statistics'!EZ53,IF($T$2="2020年",'Offer Statistics'!EZ99)))</f>
        <v>111</v>
      </c>
      <c r="AD7" s="284">
        <f>IF($T$2="2018年",'Offer Statistics'!FA7,IF($T$2="2019年",'Offer Statistics'!FA53,IF($T$2="2020年",'Offer Statistics'!FA99)))</f>
        <v>180</v>
      </c>
      <c r="AE7" s="284">
        <f>IF($T$2="2018年",'Offer Statistics'!FB7,IF($T$2="2019年",'Offer Statistics'!FB53,IF($T$2="2020年",'Offer Statistics'!FB99)))</f>
        <v>252</v>
      </c>
      <c r="AF7" s="284">
        <f>IF($T$2="2018年",'Offer Statistics'!FC7,IF($T$2="2019年",'Offer Statistics'!FC53,IF($T$2="2020年",'Offer Statistics'!FC99)))</f>
        <v>371</v>
      </c>
      <c r="AG7" s="284">
        <f>IF($T$2="2018年",'Offer Statistics'!FD7,IF($T$2="2019年",'Offer Statistics'!FD53,IF($T$2="2020年",'Offer Statistics'!FD99)))</f>
        <v>398</v>
      </c>
      <c r="AH7" s="175"/>
      <c r="AI7" s="338" t="str">
        <f t="shared" si="0"/>
        <v>JSSC03</v>
      </c>
    </row>
    <row r="8" spans="1:35" ht="18" customHeight="1">
      <c r="A8" s="5" t="s">
        <v>1169</v>
      </c>
      <c r="B8" s="5" t="s">
        <v>1167</v>
      </c>
      <c r="C8" s="187" t="s">
        <v>1231</v>
      </c>
      <c r="D8" s="187" t="s">
        <v>1852</v>
      </c>
      <c r="E8" s="35" t="s">
        <v>1155</v>
      </c>
      <c r="F8" s="243">
        <v>18</v>
      </c>
      <c r="G8" s="176" t="s">
        <v>792</v>
      </c>
      <c r="H8" s="176">
        <v>13</v>
      </c>
      <c r="I8" s="71">
        <f>計分版!D383</f>
        <v>1.9500000000000001E-9</v>
      </c>
      <c r="J8" s="39">
        <f>IF(J$1="差距(Median)",I8-F8,IF(J$1="差距(UQ)",I8-F8,IF(J$1="差距(LQ)",I8-H8)))</f>
        <v>-17.999999998050001</v>
      </c>
      <c r="K8" s="40">
        <f t="shared" si="1"/>
        <v>-9230769229.7692299</v>
      </c>
      <c r="L8" s="251">
        <v>30</v>
      </c>
      <c r="M8" s="381">
        <f>入學要求!S370</f>
        <v>0</v>
      </c>
      <c r="N8" s="503"/>
      <c r="O8" s="82">
        <v>3</v>
      </c>
      <c r="P8" s="82">
        <v>3</v>
      </c>
      <c r="Q8" s="82">
        <v>2</v>
      </c>
      <c r="R8" s="82">
        <v>2</v>
      </c>
      <c r="S8" s="82">
        <v>2</v>
      </c>
      <c r="T8" s="501"/>
      <c r="U8" s="333">
        <f>IF($T$2="2018年",'Offer Statistics'!FM8,IF($T$2="2019年",'Offer Statistics'!FM54,IF($T$2="2020年",'Offer Statistics'!FM100)))</f>
        <v>50</v>
      </c>
      <c r="V8" s="284">
        <f>IF($T$2="2018年",'Offer Statistics'!FH8,IF($T$2="2019年",'Offer Statistics'!FH54,IF($T$2="2020年",'Offer Statistics'!FH100)))</f>
        <v>32</v>
      </c>
      <c r="W8" s="284">
        <f>IF($T$2="2018年",'Offer Statistics'!FI8,IF($T$2="2019年",'Offer Statistics'!FI54,IF($T$2="2020年",'Offer Statistics'!FI100)))</f>
        <v>17</v>
      </c>
      <c r="X8" s="284">
        <f>IF($T$2="2018年",'Offer Statistics'!FJ8,IF($T$2="2019年",'Offer Statistics'!FJ54,IF($T$2="2020年",'Offer Statistics'!FJ100)))</f>
        <v>1</v>
      </c>
      <c r="Y8" s="284">
        <f>IF($T$2="2018年",'Offer Statistics'!FK8,IF($T$2="2019年",'Offer Statistics'!FK54,IF($T$2="2020年",'Offer Statistics'!FK100)))</f>
        <v>0</v>
      </c>
      <c r="Z8" s="284">
        <f>IF($T$2="2018年",'Offer Statistics'!FL8,IF($T$2="2019年",'Offer Statistics'!FL54,IF($T$2="2020年",'Offer Statistics'!FL100)))</f>
        <v>0</v>
      </c>
      <c r="AA8" s="513"/>
      <c r="AB8" s="333">
        <f>IF($T$2="2018年",'Offer Statistics'!FE8,IF($T$2="2019年",'Offer Statistics'!FE54,IF($T$2="2020年",'Offer Statistics'!FE100)))</f>
        <v>2236</v>
      </c>
      <c r="AC8" s="284">
        <f>IF($T$2="2018年",'Offer Statistics'!EZ8,IF($T$2="2019年",'Offer Statistics'!EZ54,IF($T$2="2020年",'Offer Statistics'!EZ100)))</f>
        <v>240</v>
      </c>
      <c r="AD8" s="284">
        <f>IF($T$2="2018年",'Offer Statistics'!FA8,IF($T$2="2019年",'Offer Statistics'!FA54,IF($T$2="2020年",'Offer Statistics'!FA100)))</f>
        <v>380</v>
      </c>
      <c r="AE8" s="284">
        <f>IF($T$2="2018年",'Offer Statistics'!FB8,IF($T$2="2019年",'Offer Statistics'!FB54,IF($T$2="2020年",'Offer Statistics'!FB100)))</f>
        <v>431</v>
      </c>
      <c r="AF8" s="284">
        <f>IF($T$2="2018年",'Offer Statistics'!FC8,IF($T$2="2019年",'Offer Statistics'!FC54,IF($T$2="2020年",'Offer Statistics'!FC100)))</f>
        <v>490</v>
      </c>
      <c r="AG8" s="284">
        <f>IF($T$2="2018年",'Offer Statistics'!FD8,IF($T$2="2019年",'Offer Statistics'!FD54,IF($T$2="2020年",'Offer Statistics'!FD100)))</f>
        <v>695</v>
      </c>
      <c r="AH8" s="175"/>
      <c r="AI8" s="338" t="str">
        <f t="shared" si="0"/>
        <v>JSSC04</v>
      </c>
    </row>
    <row r="9" spans="1:35" ht="18" customHeight="1">
      <c r="A9" s="5" t="s">
        <v>1170</v>
      </c>
      <c r="B9" s="5" t="s">
        <v>1232</v>
      </c>
      <c r="C9" s="187" t="s">
        <v>1233</v>
      </c>
      <c r="D9" s="187" t="s">
        <v>1855</v>
      </c>
      <c r="E9" s="443" t="s">
        <v>59</v>
      </c>
      <c r="F9" s="243" t="s">
        <v>792</v>
      </c>
      <c r="G9" s="67">
        <v>17.02</v>
      </c>
      <c r="H9" s="176" t="s">
        <v>792</v>
      </c>
      <c r="I9" s="71">
        <f>計分版!D384</f>
        <v>2.9000000000000003E-9</v>
      </c>
      <c r="J9" s="39">
        <f>I9-G9</f>
        <v>-17.019999997100001</v>
      </c>
      <c r="K9" s="40">
        <f>(I9-G9)/I9</f>
        <v>-5868965516.2413788</v>
      </c>
      <c r="L9" s="251">
        <v>105</v>
      </c>
      <c r="M9" s="381">
        <f>入學要求!S371</f>
        <v>0</v>
      </c>
      <c r="N9" s="371" t="s">
        <v>2226</v>
      </c>
      <c r="O9" s="82">
        <v>3</v>
      </c>
      <c r="P9" s="82">
        <v>3</v>
      </c>
      <c r="Q9" s="82">
        <v>2</v>
      </c>
      <c r="R9" s="82">
        <v>2</v>
      </c>
      <c r="S9" s="82">
        <v>2</v>
      </c>
      <c r="T9" s="501"/>
      <c r="U9" s="333">
        <f>IF($T$2="2018年",'Offer Statistics'!FM9,IF($T$2="2019年",'Offer Statistics'!FM55,IF($T$2="2020年",'Offer Statistics'!FM101)))</f>
        <v>189</v>
      </c>
      <c r="V9" s="284">
        <f>IF($T$2="2018年",'Offer Statistics'!FH9,IF($T$2="2019年",'Offer Statistics'!FH55,IF($T$2="2020年",'Offer Statistics'!FH101)))</f>
        <v>189</v>
      </c>
      <c r="W9" s="284">
        <f>IF($T$2="2018年",'Offer Statistics'!FI9,IF($T$2="2019年",'Offer Statistics'!FI55,IF($T$2="2020年",'Offer Statistics'!FI101)))</f>
        <v>0</v>
      </c>
      <c r="X9" s="284">
        <f>IF($T$2="2018年",'Offer Statistics'!FJ9,IF($T$2="2019年",'Offer Statistics'!FJ55,IF($T$2="2020年",'Offer Statistics'!FJ101)))</f>
        <v>0</v>
      </c>
      <c r="Y9" s="284">
        <f>IF($T$2="2018年",'Offer Statistics'!FK9,IF($T$2="2019年",'Offer Statistics'!FK55,IF($T$2="2020年",'Offer Statistics'!FK101)))</f>
        <v>0</v>
      </c>
      <c r="Z9" s="284">
        <f>IF($T$2="2018年",'Offer Statistics'!FL9,IF($T$2="2019年",'Offer Statistics'!FL55,IF($T$2="2020年",'Offer Statistics'!FL101)))</f>
        <v>0</v>
      </c>
      <c r="AA9" s="513"/>
      <c r="AB9" s="333">
        <f>IF($T$2="2018年",'Offer Statistics'!FE9,IF($T$2="2019年",'Offer Statistics'!FE55,IF($T$2="2020年",'Offer Statistics'!FE101)))</f>
        <v>3688</v>
      </c>
      <c r="AC9" s="284">
        <f>IF($T$2="2018年",'Offer Statistics'!EZ9,IF($T$2="2019年",'Offer Statistics'!EZ55,IF($T$2="2020年",'Offer Statistics'!EZ101)))</f>
        <v>844</v>
      </c>
      <c r="AD9" s="284">
        <f>IF($T$2="2018年",'Offer Statistics'!FA9,IF($T$2="2019年",'Offer Statistics'!FA55,IF($T$2="2020年",'Offer Statistics'!FA101)))</f>
        <v>750</v>
      </c>
      <c r="AE9" s="284">
        <f>IF($T$2="2018年",'Offer Statistics'!FB9,IF($T$2="2019年",'Offer Statistics'!FB55,IF($T$2="2020年",'Offer Statistics'!FB101)))</f>
        <v>620</v>
      </c>
      <c r="AF9" s="284">
        <f>IF($T$2="2018年",'Offer Statistics'!FC9,IF($T$2="2019年",'Offer Statistics'!FC55,IF($T$2="2020年",'Offer Statistics'!FC101)))</f>
        <v>632</v>
      </c>
      <c r="AG9" s="284">
        <f>IF($T$2="2018年",'Offer Statistics'!FD9,IF($T$2="2019年",'Offer Statistics'!FD55,IF($T$2="2020年",'Offer Statistics'!FD101)))</f>
        <v>842</v>
      </c>
      <c r="AH9" s="175"/>
      <c r="AI9" s="338" t="str">
        <f t="shared" si="0"/>
        <v>JSSH01</v>
      </c>
    </row>
    <row r="10" spans="1:35" ht="18" customHeight="1">
      <c r="A10" s="5" t="s">
        <v>1171</v>
      </c>
      <c r="B10" s="5" t="s">
        <v>1232</v>
      </c>
      <c r="C10" s="187" t="s">
        <v>1234</v>
      </c>
      <c r="D10" s="187" t="s">
        <v>1858</v>
      </c>
      <c r="E10" s="443" t="s">
        <v>59</v>
      </c>
      <c r="F10" s="243" t="s">
        <v>792</v>
      </c>
      <c r="G10" s="67">
        <v>16.77</v>
      </c>
      <c r="H10" s="176" t="s">
        <v>792</v>
      </c>
      <c r="I10" s="71">
        <f>計分版!D385</f>
        <v>3.3999999999999998E-9</v>
      </c>
      <c r="J10" s="39">
        <f t="shared" ref="J10:J19" si="2">I10-G10</f>
        <v>-16.769999996599999</v>
      </c>
      <c r="K10" s="40">
        <f>(I10-G10)/I10</f>
        <v>-4932352940.1764708</v>
      </c>
      <c r="L10" s="251">
        <v>35</v>
      </c>
      <c r="M10" s="381">
        <f>入學要求!S372</f>
        <v>0</v>
      </c>
      <c r="N10" s="371" t="s">
        <v>2226</v>
      </c>
      <c r="O10" s="82">
        <v>3</v>
      </c>
      <c r="P10" s="82">
        <v>3</v>
      </c>
      <c r="Q10" s="82">
        <v>2</v>
      </c>
      <c r="R10" s="82">
        <v>2</v>
      </c>
      <c r="S10" s="82">
        <v>2</v>
      </c>
      <c r="T10" s="501"/>
      <c r="U10" s="333">
        <f>IF($T$2="2018年",'Offer Statistics'!FM10,IF($T$2="2019年",'Offer Statistics'!FM56,IF($T$2="2020年",'Offer Statistics'!FM102)))</f>
        <v>63</v>
      </c>
      <c r="V10" s="284">
        <f>IF($T$2="2018年",'Offer Statistics'!FH10,IF($T$2="2019年",'Offer Statistics'!FH56,IF($T$2="2020年",'Offer Statistics'!FH102)))</f>
        <v>39</v>
      </c>
      <c r="W10" s="284">
        <f>IF($T$2="2018年",'Offer Statistics'!FI10,IF($T$2="2019年",'Offer Statistics'!FI56,IF($T$2="2020年",'Offer Statistics'!FI102)))</f>
        <v>24</v>
      </c>
      <c r="X10" s="284">
        <f>IF($T$2="2018年",'Offer Statistics'!FJ10,IF($T$2="2019年",'Offer Statistics'!FJ56,IF($T$2="2020年",'Offer Statistics'!FJ102)))</f>
        <v>0</v>
      </c>
      <c r="Y10" s="284">
        <f>IF($T$2="2018年",'Offer Statistics'!FK10,IF($T$2="2019年",'Offer Statistics'!FK56,IF($T$2="2020年",'Offer Statistics'!FK102)))</f>
        <v>0</v>
      </c>
      <c r="Z10" s="284">
        <f>IF($T$2="2018年",'Offer Statistics'!FL10,IF($T$2="2019年",'Offer Statistics'!FL56,IF($T$2="2020年",'Offer Statistics'!FL102)))</f>
        <v>0</v>
      </c>
      <c r="AA10" s="513"/>
      <c r="AB10" s="333">
        <f>IF($T$2="2018年",'Offer Statistics'!FE10,IF($T$2="2019年",'Offer Statistics'!FE56,IF($T$2="2020年",'Offer Statistics'!FE102)))</f>
        <v>1527</v>
      </c>
      <c r="AC10" s="284">
        <f>IF($T$2="2018年",'Offer Statistics'!EZ10,IF($T$2="2019年",'Offer Statistics'!EZ56,IF($T$2="2020年",'Offer Statistics'!EZ102)))</f>
        <v>194</v>
      </c>
      <c r="AD10" s="284">
        <f>IF($T$2="2018年",'Offer Statistics'!FA10,IF($T$2="2019年",'Offer Statistics'!FA56,IF($T$2="2020年",'Offer Statistics'!FA102)))</f>
        <v>291</v>
      </c>
      <c r="AE10" s="284">
        <f>IF($T$2="2018年",'Offer Statistics'!FB10,IF($T$2="2019年",'Offer Statistics'!FB56,IF($T$2="2020年",'Offer Statistics'!FB102)))</f>
        <v>272</v>
      </c>
      <c r="AF10" s="284">
        <f>IF($T$2="2018年",'Offer Statistics'!FC10,IF($T$2="2019年",'Offer Statistics'!FC56,IF($T$2="2020年",'Offer Statistics'!FC102)))</f>
        <v>352</v>
      </c>
      <c r="AG10" s="284">
        <f>IF($T$2="2018年",'Offer Statistics'!FD10,IF($T$2="2019年",'Offer Statistics'!FD56,IF($T$2="2020年",'Offer Statistics'!FD102)))</f>
        <v>418</v>
      </c>
      <c r="AH10" s="175"/>
      <c r="AI10" s="338" t="str">
        <f t="shared" si="0"/>
        <v>JSSH02</v>
      </c>
    </row>
    <row r="11" spans="1:35" ht="18" customHeight="1">
      <c r="A11" s="5" t="s">
        <v>1172</v>
      </c>
      <c r="B11" s="5" t="s">
        <v>1232</v>
      </c>
      <c r="C11" s="187" t="s">
        <v>1235</v>
      </c>
      <c r="D11" s="187" t="s">
        <v>1861</v>
      </c>
      <c r="E11" s="443" t="s">
        <v>59</v>
      </c>
      <c r="F11" s="243" t="s">
        <v>792</v>
      </c>
      <c r="G11" s="67">
        <v>15.97</v>
      </c>
      <c r="H11" s="176" t="s">
        <v>792</v>
      </c>
      <c r="I11" s="71">
        <f>計分版!D386</f>
        <v>3.3999999999999998E-9</v>
      </c>
      <c r="J11" s="39">
        <f t="shared" si="2"/>
        <v>-15.9699999966</v>
      </c>
      <c r="K11" s="40">
        <f t="shared" ref="K11:K19" si="3">(I11-G11)/I11</f>
        <v>-4697058822.5294123</v>
      </c>
      <c r="L11" s="251">
        <v>60</v>
      </c>
      <c r="M11" s="381">
        <f>入學要求!S373</f>
        <v>0</v>
      </c>
      <c r="N11" s="371" t="s">
        <v>2226</v>
      </c>
      <c r="O11" s="82">
        <v>3</v>
      </c>
      <c r="P11" s="82">
        <v>3</v>
      </c>
      <c r="Q11" s="82">
        <v>2</v>
      </c>
      <c r="R11" s="82">
        <v>2</v>
      </c>
      <c r="S11" s="82">
        <v>2</v>
      </c>
      <c r="T11" s="501"/>
      <c r="U11" s="333">
        <f>IF($T$2="2018年",'Offer Statistics'!FM11,IF($T$2="2019年",'Offer Statistics'!FM57,IF($T$2="2020年",'Offer Statistics'!FM103)))</f>
        <v>69</v>
      </c>
      <c r="V11" s="284">
        <f>IF($T$2="2018年",'Offer Statistics'!FH11,IF($T$2="2019年",'Offer Statistics'!FH57,IF($T$2="2020年",'Offer Statistics'!FH103)))</f>
        <v>49</v>
      </c>
      <c r="W11" s="284">
        <f>IF($T$2="2018年",'Offer Statistics'!FI11,IF($T$2="2019年",'Offer Statistics'!FI57,IF($T$2="2020年",'Offer Statistics'!FI103)))</f>
        <v>14</v>
      </c>
      <c r="X11" s="284">
        <f>IF($T$2="2018年",'Offer Statistics'!FJ11,IF($T$2="2019年",'Offer Statistics'!FJ57,IF($T$2="2020年",'Offer Statistics'!FJ103)))</f>
        <v>4</v>
      </c>
      <c r="Y11" s="284">
        <f>IF($T$2="2018年",'Offer Statistics'!FK11,IF($T$2="2019年",'Offer Statistics'!FK57,IF($T$2="2020年",'Offer Statistics'!FK103)))</f>
        <v>2</v>
      </c>
      <c r="Z11" s="284">
        <f>IF($T$2="2018年",'Offer Statistics'!FL11,IF($T$2="2019年",'Offer Statistics'!FL57,IF($T$2="2020年",'Offer Statistics'!FL103)))</f>
        <v>0</v>
      </c>
      <c r="AA11" s="513"/>
      <c r="AB11" s="333">
        <f>IF($T$2="2018年",'Offer Statistics'!FE11,IF($T$2="2019年",'Offer Statistics'!FE57,IF($T$2="2020年",'Offer Statistics'!FE103)))</f>
        <v>1136</v>
      </c>
      <c r="AC11" s="284">
        <f>IF($T$2="2018年",'Offer Statistics'!EZ11,IF($T$2="2019年",'Offer Statistics'!EZ57,IF($T$2="2020年",'Offer Statistics'!EZ103)))</f>
        <v>181</v>
      </c>
      <c r="AD11" s="284">
        <f>IF($T$2="2018年",'Offer Statistics'!FA11,IF($T$2="2019年",'Offer Statistics'!FA57,IF($T$2="2020年",'Offer Statistics'!FA103)))</f>
        <v>225</v>
      </c>
      <c r="AE11" s="284">
        <f>IF($T$2="2018年",'Offer Statistics'!FB11,IF($T$2="2019年",'Offer Statistics'!FB57,IF($T$2="2020年",'Offer Statistics'!FB103)))</f>
        <v>200</v>
      </c>
      <c r="AF11" s="284">
        <f>IF($T$2="2018年",'Offer Statistics'!FC11,IF($T$2="2019年",'Offer Statistics'!FC57,IF($T$2="2020年",'Offer Statistics'!FC103)))</f>
        <v>232</v>
      </c>
      <c r="AG11" s="284">
        <f>IF($T$2="2018年",'Offer Statistics'!FD11,IF($T$2="2019年",'Offer Statistics'!FD57,IF($T$2="2020年",'Offer Statistics'!FD103)))</f>
        <v>298</v>
      </c>
      <c r="AH11" s="175"/>
      <c r="AI11" s="338" t="str">
        <f t="shared" si="0"/>
        <v>JSSH03</v>
      </c>
    </row>
    <row r="12" spans="1:35" ht="18" customHeight="1">
      <c r="A12" s="5" t="s">
        <v>1173</v>
      </c>
      <c r="B12" s="5" t="s">
        <v>1232</v>
      </c>
      <c r="C12" s="187" t="s">
        <v>1236</v>
      </c>
      <c r="D12" s="187" t="s">
        <v>1864</v>
      </c>
      <c r="E12" s="365" t="s">
        <v>59</v>
      </c>
      <c r="F12" s="243" t="s">
        <v>792</v>
      </c>
      <c r="G12" s="67">
        <v>16.34</v>
      </c>
      <c r="H12" s="176" t="s">
        <v>792</v>
      </c>
      <c r="I12" s="71">
        <f>計分版!D387</f>
        <v>3.3000000000000002E-9</v>
      </c>
      <c r="J12" s="39">
        <f t="shared" si="2"/>
        <v>-16.339999996700001</v>
      </c>
      <c r="K12" s="40">
        <f t="shared" si="3"/>
        <v>-4951515150.515152</v>
      </c>
      <c r="L12" s="251">
        <v>70</v>
      </c>
      <c r="M12" s="381">
        <f>入學要求!S374</f>
        <v>0</v>
      </c>
      <c r="N12" s="371" t="s">
        <v>2226</v>
      </c>
      <c r="O12" s="82">
        <v>3</v>
      </c>
      <c r="P12" s="82">
        <v>3</v>
      </c>
      <c r="Q12" s="82">
        <v>2</v>
      </c>
      <c r="R12" s="82">
        <v>2</v>
      </c>
      <c r="S12" s="82">
        <v>2</v>
      </c>
      <c r="T12" s="501"/>
      <c r="U12" s="333">
        <f>IF($T$2="2018年",'Offer Statistics'!FM12,IF($T$2="2019年",'Offer Statistics'!FM58,IF($T$2="2020年",'Offer Statistics'!FM104)))</f>
        <v>126</v>
      </c>
      <c r="V12" s="284">
        <f>IF($T$2="2018年",'Offer Statistics'!FH12,IF($T$2="2019年",'Offer Statistics'!FH58,IF($T$2="2020年",'Offer Statistics'!FH104)))</f>
        <v>104</v>
      </c>
      <c r="W12" s="284">
        <f>IF($T$2="2018年",'Offer Statistics'!FI12,IF($T$2="2019年",'Offer Statistics'!FI58,IF($T$2="2020年",'Offer Statistics'!FI104)))</f>
        <v>22</v>
      </c>
      <c r="X12" s="284">
        <f>IF($T$2="2018年",'Offer Statistics'!FJ12,IF($T$2="2019年",'Offer Statistics'!FJ58,IF($T$2="2020年",'Offer Statistics'!FJ104)))</f>
        <v>0</v>
      </c>
      <c r="Y12" s="284">
        <f>IF($T$2="2018年",'Offer Statistics'!FK12,IF($T$2="2019年",'Offer Statistics'!FK58,IF($T$2="2020年",'Offer Statistics'!FK104)))</f>
        <v>0</v>
      </c>
      <c r="Z12" s="284">
        <f>IF($T$2="2018年",'Offer Statistics'!FL12,IF($T$2="2019年",'Offer Statistics'!FL58,IF($T$2="2020年",'Offer Statistics'!FL104)))</f>
        <v>0</v>
      </c>
      <c r="AA12" s="513"/>
      <c r="AB12" s="333">
        <f>IF($T$2="2018年",'Offer Statistics'!FE12,IF($T$2="2019年",'Offer Statistics'!FE58,IF($T$2="2020年",'Offer Statistics'!FE104)))</f>
        <v>2146</v>
      </c>
      <c r="AC12" s="284">
        <f>IF($T$2="2018年",'Offer Statistics'!EZ12,IF($T$2="2019年",'Offer Statistics'!EZ58,IF($T$2="2020年",'Offer Statistics'!EZ104)))</f>
        <v>404</v>
      </c>
      <c r="AD12" s="284">
        <f>IF($T$2="2018年",'Offer Statistics'!FA12,IF($T$2="2019年",'Offer Statistics'!FA58,IF($T$2="2020年",'Offer Statistics'!FA104)))</f>
        <v>408</v>
      </c>
      <c r="AE12" s="284">
        <f>IF($T$2="2018年",'Offer Statistics'!FB12,IF($T$2="2019年",'Offer Statistics'!FB58,IF($T$2="2020年",'Offer Statistics'!FB104)))</f>
        <v>407</v>
      </c>
      <c r="AF12" s="284">
        <f>IF($T$2="2018年",'Offer Statistics'!FC12,IF($T$2="2019年",'Offer Statistics'!FC58,IF($T$2="2020年",'Offer Statistics'!FC104)))</f>
        <v>364</v>
      </c>
      <c r="AG12" s="284">
        <f>IF($T$2="2018年",'Offer Statistics'!FD12,IF($T$2="2019年",'Offer Statistics'!FD58,IF($T$2="2020年",'Offer Statistics'!FD104)))</f>
        <v>563</v>
      </c>
      <c r="AH12" s="175"/>
      <c r="AI12" s="338" t="str">
        <f t="shared" si="0"/>
        <v>JSSH04</v>
      </c>
    </row>
    <row r="13" spans="1:35" ht="18" customHeight="1">
      <c r="A13" s="5" t="s">
        <v>1174</v>
      </c>
      <c r="B13" s="5" t="s">
        <v>1232</v>
      </c>
      <c r="C13" s="187" t="s">
        <v>1237</v>
      </c>
      <c r="D13" s="187" t="s">
        <v>1867</v>
      </c>
      <c r="E13" s="443" t="s">
        <v>59</v>
      </c>
      <c r="F13" s="243" t="s">
        <v>792</v>
      </c>
      <c r="G13" s="67">
        <v>16.13</v>
      </c>
      <c r="H13" s="176" t="s">
        <v>792</v>
      </c>
      <c r="I13" s="71">
        <f>計分版!D388</f>
        <v>3.3999999999999998E-9</v>
      </c>
      <c r="J13" s="39">
        <f t="shared" si="2"/>
        <v>-16.129999996599999</v>
      </c>
      <c r="K13" s="40">
        <f t="shared" si="3"/>
        <v>-4744117646.0588236</v>
      </c>
      <c r="L13" s="251">
        <v>65</v>
      </c>
      <c r="M13" s="381">
        <f>入學要求!S375</f>
        <v>0</v>
      </c>
      <c r="N13" s="371" t="s">
        <v>2226</v>
      </c>
      <c r="O13" s="82">
        <v>3</v>
      </c>
      <c r="P13" s="82">
        <v>3</v>
      </c>
      <c r="Q13" s="82">
        <v>2</v>
      </c>
      <c r="R13" s="82">
        <v>2</v>
      </c>
      <c r="S13" s="82">
        <v>2</v>
      </c>
      <c r="T13" s="501"/>
      <c r="U13" s="333">
        <f>IF($T$2="2018年",'Offer Statistics'!FM13,IF($T$2="2019年",'Offer Statistics'!FM59,IF($T$2="2020年",'Offer Statistics'!FM105)))</f>
        <v>117</v>
      </c>
      <c r="V13" s="284">
        <f>IF($T$2="2018年",'Offer Statistics'!FH13,IF($T$2="2019年",'Offer Statistics'!FH59,IF($T$2="2020年",'Offer Statistics'!FH105)))</f>
        <v>101</v>
      </c>
      <c r="W13" s="284">
        <f>IF($T$2="2018年",'Offer Statistics'!FI13,IF($T$2="2019年",'Offer Statistics'!FI59,IF($T$2="2020年",'Offer Statistics'!FI105)))</f>
        <v>16</v>
      </c>
      <c r="X13" s="284">
        <f>IF($T$2="2018年",'Offer Statistics'!FJ13,IF($T$2="2019年",'Offer Statistics'!FJ59,IF($T$2="2020年",'Offer Statistics'!FJ105)))</f>
        <v>0</v>
      </c>
      <c r="Y13" s="284">
        <f>IF($T$2="2018年",'Offer Statistics'!FK13,IF($T$2="2019年",'Offer Statistics'!FK59,IF($T$2="2020年",'Offer Statistics'!FK105)))</f>
        <v>0</v>
      </c>
      <c r="Z13" s="284">
        <f>IF($T$2="2018年",'Offer Statistics'!FL13,IF($T$2="2019年",'Offer Statistics'!FL59,IF($T$2="2020年",'Offer Statistics'!FL105)))</f>
        <v>0</v>
      </c>
      <c r="AA13" s="513"/>
      <c r="AB13" s="333">
        <f>IF($T$2="2018年",'Offer Statistics'!FE13,IF($T$2="2019年",'Offer Statistics'!FE59,IF($T$2="2020年",'Offer Statistics'!FE105)))</f>
        <v>2440</v>
      </c>
      <c r="AC13" s="284">
        <f>IF($T$2="2018年",'Offer Statistics'!EZ13,IF($T$2="2019年",'Offer Statistics'!EZ59,IF($T$2="2020年",'Offer Statistics'!EZ105)))</f>
        <v>428</v>
      </c>
      <c r="AD13" s="284">
        <f>IF($T$2="2018年",'Offer Statistics'!FA13,IF($T$2="2019年",'Offer Statistics'!FA59,IF($T$2="2020年",'Offer Statistics'!FA105)))</f>
        <v>513</v>
      </c>
      <c r="AE13" s="284">
        <f>IF($T$2="2018年",'Offer Statistics'!FB13,IF($T$2="2019年",'Offer Statistics'!FB59,IF($T$2="2020年",'Offer Statistics'!FB105)))</f>
        <v>466</v>
      </c>
      <c r="AF13" s="284">
        <f>IF($T$2="2018年",'Offer Statistics'!FC13,IF($T$2="2019年",'Offer Statistics'!FC59,IF($T$2="2020年",'Offer Statistics'!FC105)))</f>
        <v>458</v>
      </c>
      <c r="AG13" s="284">
        <f>IF($T$2="2018年",'Offer Statistics'!FD13,IF($T$2="2019年",'Offer Statistics'!FD59,IF($T$2="2020年",'Offer Statistics'!FD105)))</f>
        <v>575</v>
      </c>
      <c r="AH13" s="175"/>
      <c r="AI13" s="338" t="str">
        <f t="shared" si="0"/>
        <v>JSSH05</v>
      </c>
    </row>
    <row r="14" spans="1:35" ht="18" customHeight="1">
      <c r="A14" s="175" t="s">
        <v>1870</v>
      </c>
      <c r="B14" s="175" t="s">
        <v>1232</v>
      </c>
      <c r="C14" s="187" t="s">
        <v>1974</v>
      </c>
      <c r="D14" s="187" t="s">
        <v>1871</v>
      </c>
      <c r="E14" s="444" t="s">
        <v>1156</v>
      </c>
      <c r="F14" s="243" t="s">
        <v>792</v>
      </c>
      <c r="G14" s="176" t="s">
        <v>360</v>
      </c>
      <c r="H14" s="176" t="s">
        <v>792</v>
      </c>
      <c r="I14" s="193">
        <f>計分版!D389</f>
        <v>1.9000000000000001E-9</v>
      </c>
      <c r="J14" s="177" t="s">
        <v>360</v>
      </c>
      <c r="K14" s="178" t="s">
        <v>360</v>
      </c>
      <c r="L14" s="251">
        <v>40</v>
      </c>
      <c r="M14" s="381">
        <f>入學要求!S376</f>
        <v>0</v>
      </c>
      <c r="N14" s="371" t="s">
        <v>2226</v>
      </c>
      <c r="O14" s="181">
        <v>3</v>
      </c>
      <c r="P14" s="181">
        <v>3</v>
      </c>
      <c r="Q14" s="181">
        <v>2</v>
      </c>
      <c r="R14" s="181">
        <v>2</v>
      </c>
      <c r="S14" s="181">
        <v>2</v>
      </c>
      <c r="T14" s="501"/>
      <c r="U14" s="333" t="str">
        <f>IF($T$2="2018年",'Offer Statistics'!FM14,IF($T$2="2019年",'Offer Statistics'!FM60,IF($T$2="2020年",'Offer Statistics'!FM106)))</f>
        <v>/</v>
      </c>
      <c r="V14" s="284" t="str">
        <f>IF($T$2="2018年",'Offer Statistics'!FH14,IF($T$2="2019年",'Offer Statistics'!FH60,IF($T$2="2020年",'Offer Statistics'!FH106)))</f>
        <v>/</v>
      </c>
      <c r="W14" s="284" t="str">
        <f>IF($T$2="2018年",'Offer Statistics'!FI14,IF($T$2="2019年",'Offer Statistics'!FI60,IF($T$2="2020年",'Offer Statistics'!FI106)))</f>
        <v>/</v>
      </c>
      <c r="X14" s="284" t="str">
        <f>IF($T$2="2018年",'Offer Statistics'!FJ14,IF($T$2="2019年",'Offer Statistics'!FJ60,IF($T$2="2020年",'Offer Statistics'!FJ106)))</f>
        <v>/</v>
      </c>
      <c r="Y14" s="284" t="str">
        <f>IF($T$2="2018年",'Offer Statistics'!FK14,IF($T$2="2019年",'Offer Statistics'!FK60,IF($T$2="2020年",'Offer Statistics'!FK106)))</f>
        <v>/</v>
      </c>
      <c r="Z14" s="284" t="str">
        <f>IF($T$2="2018年",'Offer Statistics'!FL14,IF($T$2="2019年",'Offer Statistics'!FL60,IF($T$2="2020年",'Offer Statistics'!FL106)))</f>
        <v>/</v>
      </c>
      <c r="AA14" s="513"/>
      <c r="AB14" s="333" t="str">
        <f>IF($T$2="2018年",'Offer Statistics'!FE14,IF($T$2="2019年",'Offer Statistics'!FE60,IF($T$2="2020年",'Offer Statistics'!FE106)))</f>
        <v>/</v>
      </c>
      <c r="AC14" s="284" t="str">
        <f>IF($T$2="2018年",'Offer Statistics'!EZ14,IF($T$2="2019年",'Offer Statistics'!EZ60,IF($T$2="2020年",'Offer Statistics'!EZ106)))</f>
        <v>/</v>
      </c>
      <c r="AD14" s="284" t="str">
        <f>IF($T$2="2018年",'Offer Statistics'!FA14,IF($T$2="2019年",'Offer Statistics'!FA60,IF($T$2="2020年",'Offer Statistics'!FA106)))</f>
        <v>/</v>
      </c>
      <c r="AE14" s="284" t="str">
        <f>IF($T$2="2018年",'Offer Statistics'!FB14,IF($T$2="2019年",'Offer Statistics'!FB60,IF($T$2="2020年",'Offer Statistics'!FB106)))</f>
        <v>/</v>
      </c>
      <c r="AF14" s="284" t="str">
        <f>IF($T$2="2018年",'Offer Statistics'!FC14,IF($T$2="2019年",'Offer Statistics'!FC60,IF($T$2="2020年",'Offer Statistics'!FC106)))</f>
        <v>/</v>
      </c>
      <c r="AG14" s="284" t="str">
        <f>IF($T$2="2018年",'Offer Statistics'!FD14,IF($T$2="2019年",'Offer Statistics'!FD60,IF($T$2="2020年",'Offer Statistics'!FD106)))</f>
        <v>/</v>
      </c>
      <c r="AH14" s="175"/>
      <c r="AI14" s="338" t="str">
        <f t="shared" si="0"/>
        <v>JSSH06</v>
      </c>
    </row>
    <row r="15" spans="1:35" ht="18" customHeight="1">
      <c r="A15" s="5" t="s">
        <v>1175</v>
      </c>
      <c r="B15" s="5" t="s">
        <v>1176</v>
      </c>
      <c r="C15" s="5" t="s">
        <v>1238</v>
      </c>
      <c r="D15" s="5" t="s">
        <v>1874</v>
      </c>
      <c r="E15" s="371" t="s">
        <v>59</v>
      </c>
      <c r="F15" s="243" t="s">
        <v>792</v>
      </c>
      <c r="G15" s="67">
        <v>17.8</v>
      </c>
      <c r="H15" s="176" t="s">
        <v>792</v>
      </c>
      <c r="I15" s="71">
        <f>計分版!D390</f>
        <v>3.3999999999999998E-9</v>
      </c>
      <c r="J15" s="39">
        <f t="shared" si="2"/>
        <v>-17.7999999966</v>
      </c>
      <c r="K15" s="40">
        <f t="shared" si="3"/>
        <v>-5235294116.6470594</v>
      </c>
      <c r="L15" s="251">
        <v>350</v>
      </c>
      <c r="M15" s="381">
        <f>入學要求!S377</f>
        <v>0</v>
      </c>
      <c r="N15" s="371" t="s">
        <v>2226</v>
      </c>
      <c r="O15" s="181">
        <v>3</v>
      </c>
      <c r="P15" s="181">
        <v>3</v>
      </c>
      <c r="Q15" s="181">
        <v>2</v>
      </c>
      <c r="R15" s="181">
        <v>2</v>
      </c>
      <c r="S15" s="181">
        <v>2</v>
      </c>
      <c r="T15" s="501"/>
      <c r="U15" s="333">
        <f>IF($T$2="2018年",'Offer Statistics'!FM15,IF($T$2="2019年",'Offer Statistics'!FM61,IF($T$2="2020年",'Offer Statistics'!FM107)))</f>
        <v>550</v>
      </c>
      <c r="V15" s="284">
        <f>IF($T$2="2018年",'Offer Statistics'!FH15,IF($T$2="2019年",'Offer Statistics'!FH61,IF($T$2="2020年",'Offer Statistics'!FH107)))</f>
        <v>439</v>
      </c>
      <c r="W15" s="284">
        <f>IF($T$2="2018年",'Offer Statistics'!FI15,IF($T$2="2019年",'Offer Statistics'!FI61,IF($T$2="2020年",'Offer Statistics'!FI107)))</f>
        <v>111</v>
      </c>
      <c r="X15" s="284">
        <f>IF($T$2="2018年",'Offer Statistics'!FJ15,IF($T$2="2019年",'Offer Statistics'!FJ61,IF($T$2="2020年",'Offer Statistics'!FJ107)))</f>
        <v>0</v>
      </c>
      <c r="Y15" s="284">
        <f>IF($T$2="2018年",'Offer Statistics'!FK15,IF($T$2="2019年",'Offer Statistics'!FK61,IF($T$2="2020年",'Offer Statistics'!FK107)))</f>
        <v>0</v>
      </c>
      <c r="Z15" s="284">
        <f>IF($T$2="2018年",'Offer Statistics'!FL15,IF($T$2="2019年",'Offer Statistics'!FL61,IF($T$2="2020年",'Offer Statistics'!FL107)))</f>
        <v>0</v>
      </c>
      <c r="AA15" s="513"/>
      <c r="AB15" s="333">
        <f>IF($T$2="2018年",'Offer Statistics'!FE15,IF($T$2="2019年",'Offer Statistics'!FE61,IF($T$2="2020年",'Offer Statistics'!FE107)))</f>
        <v>5917</v>
      </c>
      <c r="AC15" s="284">
        <f>IF($T$2="2018年",'Offer Statistics'!EZ15,IF($T$2="2019年",'Offer Statistics'!EZ61,IF($T$2="2020年",'Offer Statistics'!EZ107)))</f>
        <v>1930</v>
      </c>
      <c r="AD15" s="284">
        <f>IF($T$2="2018年",'Offer Statistics'!FA15,IF($T$2="2019年",'Offer Statistics'!FA61,IF($T$2="2020年",'Offer Statistics'!FA107)))</f>
        <v>1434</v>
      </c>
      <c r="AE15" s="284">
        <f>IF($T$2="2018年",'Offer Statistics'!FB15,IF($T$2="2019年",'Offer Statistics'!FB61,IF($T$2="2020年",'Offer Statistics'!FB107)))</f>
        <v>995</v>
      </c>
      <c r="AF15" s="284">
        <f>IF($T$2="2018年",'Offer Statistics'!FC15,IF($T$2="2019年",'Offer Statistics'!FC61,IF($T$2="2020年",'Offer Statistics'!FC107)))</f>
        <v>701</v>
      </c>
      <c r="AG15" s="284">
        <f>IF($T$2="2018年",'Offer Statistics'!FD15,IF($T$2="2019年",'Offer Statistics'!FD61,IF($T$2="2020年",'Offer Statistics'!FD107)))</f>
        <v>857</v>
      </c>
      <c r="AH15" s="175"/>
      <c r="AI15" s="338" t="str">
        <f t="shared" si="0"/>
        <v>JSST01</v>
      </c>
    </row>
    <row r="16" spans="1:35" ht="18" customHeight="1">
      <c r="A16" s="5" t="s">
        <v>1177</v>
      </c>
      <c r="B16" s="5" t="s">
        <v>1176</v>
      </c>
      <c r="C16" s="5" t="s">
        <v>1239</v>
      </c>
      <c r="D16" s="5" t="s">
        <v>1877</v>
      </c>
      <c r="E16" s="379" t="s">
        <v>59</v>
      </c>
      <c r="F16" s="243" t="s">
        <v>792</v>
      </c>
      <c r="G16" s="67">
        <v>21.5</v>
      </c>
      <c r="H16" s="176" t="s">
        <v>792</v>
      </c>
      <c r="I16" s="71">
        <f>計分版!D391</f>
        <v>3.3999999999999998E-9</v>
      </c>
      <c r="J16" s="39">
        <f t="shared" si="2"/>
        <v>-21.4999999966</v>
      </c>
      <c r="K16" s="40">
        <f t="shared" si="3"/>
        <v>-6323529410.7647057</v>
      </c>
      <c r="L16" s="251">
        <v>45</v>
      </c>
      <c r="M16" s="381">
        <f>入學要求!S378</f>
        <v>0</v>
      </c>
      <c r="N16" s="379" t="s">
        <v>2226</v>
      </c>
      <c r="O16" s="181">
        <v>3</v>
      </c>
      <c r="P16" s="371">
        <v>3</v>
      </c>
      <c r="Q16" s="181">
        <v>2</v>
      </c>
      <c r="R16" s="181">
        <v>2</v>
      </c>
      <c r="S16" s="181">
        <v>2</v>
      </c>
      <c r="T16" s="501"/>
      <c r="U16" s="333">
        <f>IF($T$2="2018年",'Offer Statistics'!FM16,IF($T$2="2019年",'Offer Statistics'!FM62,IF($T$2="2020年",'Offer Statistics'!FM108)))</f>
        <v>50</v>
      </c>
      <c r="V16" s="284">
        <f>IF($T$2="2018年",'Offer Statistics'!FH16,IF($T$2="2019年",'Offer Statistics'!FH62,IF($T$2="2020年",'Offer Statistics'!FH108)))</f>
        <v>47</v>
      </c>
      <c r="W16" s="284">
        <f>IF($T$2="2018年",'Offer Statistics'!FI16,IF($T$2="2019年",'Offer Statistics'!FI62,IF($T$2="2020年",'Offer Statistics'!FI108)))</f>
        <v>3</v>
      </c>
      <c r="X16" s="284">
        <f>IF($T$2="2018年",'Offer Statistics'!FJ16,IF($T$2="2019年",'Offer Statistics'!FJ62,IF($T$2="2020年",'Offer Statistics'!FJ108)))</f>
        <v>0</v>
      </c>
      <c r="Y16" s="284">
        <f>IF($T$2="2018年",'Offer Statistics'!FK16,IF($T$2="2019年",'Offer Statistics'!FK62,IF($T$2="2020年",'Offer Statistics'!FK108)))</f>
        <v>0</v>
      </c>
      <c r="Z16" s="284">
        <f>IF($T$2="2018年",'Offer Statistics'!FL16,IF($T$2="2019年",'Offer Statistics'!FL62,IF($T$2="2020年",'Offer Statistics'!FL108)))</f>
        <v>0</v>
      </c>
      <c r="AA16" s="513"/>
      <c r="AB16" s="333">
        <f>IF($T$2="2018年",'Offer Statistics'!FE16,IF($T$2="2019年",'Offer Statistics'!FE62,IF($T$2="2020年",'Offer Statistics'!FE108)))</f>
        <v>2578</v>
      </c>
      <c r="AC16" s="284">
        <f>IF($T$2="2018年",'Offer Statistics'!EZ16,IF($T$2="2019年",'Offer Statistics'!EZ62,IF($T$2="2020年",'Offer Statistics'!EZ108)))</f>
        <v>294</v>
      </c>
      <c r="AD16" s="284">
        <f>IF($T$2="2018年",'Offer Statistics'!FA16,IF($T$2="2019年",'Offer Statistics'!FA62,IF($T$2="2020年",'Offer Statistics'!FA108)))</f>
        <v>477</v>
      </c>
      <c r="AE16" s="284">
        <f>IF($T$2="2018年",'Offer Statistics'!FB16,IF($T$2="2019年",'Offer Statistics'!FB62,IF($T$2="2020年",'Offer Statistics'!FB108)))</f>
        <v>592</v>
      </c>
      <c r="AF16" s="284">
        <f>IF($T$2="2018年",'Offer Statistics'!FC16,IF($T$2="2019年",'Offer Statistics'!FC62,IF($T$2="2020年",'Offer Statistics'!FC108)))</f>
        <v>534</v>
      </c>
      <c r="AG16" s="284">
        <f>IF($T$2="2018年",'Offer Statistics'!FD16,IF($T$2="2019年",'Offer Statistics'!FD62,IF($T$2="2020年",'Offer Statistics'!FD108)))</f>
        <v>681</v>
      </c>
      <c r="AH16" s="175"/>
      <c r="AI16" s="338" t="str">
        <f t="shared" si="0"/>
        <v>JSST02</v>
      </c>
    </row>
    <row r="17" spans="1:35" ht="18" customHeight="1">
      <c r="A17" s="5" t="s">
        <v>2229</v>
      </c>
      <c r="B17" s="5" t="s">
        <v>1176</v>
      </c>
      <c r="C17" s="5" t="s">
        <v>1240</v>
      </c>
      <c r="D17" s="5" t="s">
        <v>1880</v>
      </c>
      <c r="E17" s="338" t="s">
        <v>59</v>
      </c>
      <c r="F17" s="243" t="s">
        <v>792</v>
      </c>
      <c r="G17" s="67">
        <v>22.8</v>
      </c>
      <c r="H17" s="176" t="s">
        <v>792</v>
      </c>
      <c r="I17" s="71">
        <f>計分版!D392</f>
        <v>3.3999999999999998E-9</v>
      </c>
      <c r="J17" s="39">
        <f t="shared" si="2"/>
        <v>-22.7999999966</v>
      </c>
      <c r="K17" s="40">
        <f t="shared" si="3"/>
        <v>-6705882351.9411774</v>
      </c>
      <c r="L17" s="251">
        <v>15</v>
      </c>
      <c r="M17" s="381">
        <f>入學要求!S379</f>
        <v>0</v>
      </c>
      <c r="N17" s="379" t="s">
        <v>2226</v>
      </c>
      <c r="O17" s="181">
        <v>3</v>
      </c>
      <c r="P17" s="371">
        <v>3</v>
      </c>
      <c r="Q17" s="181">
        <v>2</v>
      </c>
      <c r="R17" s="181">
        <v>2</v>
      </c>
      <c r="S17" s="181">
        <v>3</v>
      </c>
      <c r="T17" s="501"/>
      <c r="U17" s="333">
        <f>IF($T$2="2018年",'Offer Statistics'!FM17,IF($T$2="2019年",'Offer Statistics'!FM63,IF($T$2="2020年",'Offer Statistics'!FM109)))</f>
        <v>15</v>
      </c>
      <c r="V17" s="284">
        <f>IF($T$2="2018年",'Offer Statistics'!FH17,IF($T$2="2019年",'Offer Statistics'!FH63,IF($T$2="2020年",'Offer Statistics'!FH109)))</f>
        <v>15</v>
      </c>
      <c r="W17" s="284">
        <f>IF($T$2="2018年",'Offer Statistics'!FI17,IF($T$2="2019年",'Offer Statistics'!FI63,IF($T$2="2020年",'Offer Statistics'!FI109)))</f>
        <v>0</v>
      </c>
      <c r="X17" s="284">
        <f>IF($T$2="2018年",'Offer Statistics'!FJ17,IF($T$2="2019年",'Offer Statistics'!FJ63,IF($T$2="2020年",'Offer Statistics'!FJ109)))</f>
        <v>0</v>
      </c>
      <c r="Y17" s="284">
        <f>IF($T$2="2018年",'Offer Statistics'!FK17,IF($T$2="2019年",'Offer Statistics'!FK63,IF($T$2="2020年",'Offer Statistics'!FK109)))</f>
        <v>0</v>
      </c>
      <c r="Z17" s="284">
        <f>IF($T$2="2018年",'Offer Statistics'!FL17,IF($T$2="2019年",'Offer Statistics'!FL63,IF($T$2="2020年",'Offer Statistics'!FL109)))</f>
        <v>0</v>
      </c>
      <c r="AA17" s="513"/>
      <c r="AB17" s="333">
        <f>IF($T$2="2018年",'Offer Statistics'!FE17,IF($T$2="2019年",'Offer Statistics'!FE63,IF($T$2="2020年",'Offer Statistics'!FE109)))</f>
        <v>2305</v>
      </c>
      <c r="AC17" s="284">
        <f>IF($T$2="2018年",'Offer Statistics'!EZ17,IF($T$2="2019年",'Offer Statistics'!EZ63,IF($T$2="2020年",'Offer Statistics'!EZ109)))</f>
        <v>172</v>
      </c>
      <c r="AD17" s="284">
        <f>IF($T$2="2018年",'Offer Statistics'!FA17,IF($T$2="2019年",'Offer Statistics'!FA63,IF($T$2="2020年",'Offer Statistics'!FA109)))</f>
        <v>373</v>
      </c>
      <c r="AE17" s="284">
        <f>IF($T$2="2018年",'Offer Statistics'!FB17,IF($T$2="2019年",'Offer Statistics'!FB63,IF($T$2="2020年",'Offer Statistics'!FB109)))</f>
        <v>577</v>
      </c>
      <c r="AF17" s="284">
        <f>IF($T$2="2018年",'Offer Statistics'!FC17,IF($T$2="2019年",'Offer Statistics'!FC63,IF($T$2="2020年",'Offer Statistics'!FC109)))</f>
        <v>564</v>
      </c>
      <c r="AG17" s="284">
        <f>IF($T$2="2018年",'Offer Statistics'!FD17,IF($T$2="2019年",'Offer Statistics'!FD63,IF($T$2="2020年",'Offer Statistics'!FD109)))</f>
        <v>619</v>
      </c>
      <c r="AH17" s="175"/>
      <c r="AI17" s="338" t="str">
        <f t="shared" si="0"/>
        <v>JSST03</v>
      </c>
    </row>
    <row r="18" spans="1:35" ht="18" customHeight="1">
      <c r="A18" s="5" t="s">
        <v>1179</v>
      </c>
      <c r="B18" s="5" t="s">
        <v>1176</v>
      </c>
      <c r="C18" s="5" t="s">
        <v>1241</v>
      </c>
      <c r="D18" s="5" t="s">
        <v>1883</v>
      </c>
      <c r="E18" s="338" t="s">
        <v>59</v>
      </c>
      <c r="F18" s="243" t="s">
        <v>792</v>
      </c>
      <c r="G18" s="67">
        <v>21.9</v>
      </c>
      <c r="H18" s="176" t="s">
        <v>792</v>
      </c>
      <c r="I18" s="71">
        <f>計分版!D393</f>
        <v>3.3999999999999998E-9</v>
      </c>
      <c r="J18" s="39">
        <f t="shared" si="2"/>
        <v>-21.899999996599998</v>
      </c>
      <c r="K18" s="40">
        <f t="shared" si="3"/>
        <v>-6441176469.5882349</v>
      </c>
      <c r="L18" s="251">
        <v>60</v>
      </c>
      <c r="M18" s="381">
        <f>入學要求!S380</f>
        <v>0</v>
      </c>
      <c r="N18" s="379" t="s">
        <v>2226</v>
      </c>
      <c r="O18" s="181">
        <v>3</v>
      </c>
      <c r="P18" s="379">
        <v>3</v>
      </c>
      <c r="Q18" s="181">
        <v>2</v>
      </c>
      <c r="R18" s="181">
        <v>2</v>
      </c>
      <c r="S18" s="181">
        <v>2</v>
      </c>
      <c r="T18" s="501"/>
      <c r="U18" s="333">
        <f>IF($T$2="2018年",'Offer Statistics'!FM18,IF($T$2="2019年",'Offer Statistics'!FM64,IF($T$2="2020年",'Offer Statistics'!FM110)))</f>
        <v>55</v>
      </c>
      <c r="V18" s="284">
        <f>IF($T$2="2018年",'Offer Statistics'!FH18,IF($T$2="2019年",'Offer Statistics'!FH64,IF($T$2="2020年",'Offer Statistics'!FH110)))</f>
        <v>55</v>
      </c>
      <c r="W18" s="284">
        <f>IF($T$2="2018年",'Offer Statistics'!FI18,IF($T$2="2019年",'Offer Statistics'!FI64,IF($T$2="2020年",'Offer Statistics'!FI110)))</f>
        <v>0</v>
      </c>
      <c r="X18" s="284">
        <f>IF($T$2="2018年",'Offer Statistics'!FJ18,IF($T$2="2019年",'Offer Statistics'!FJ64,IF($T$2="2020年",'Offer Statistics'!FJ110)))</f>
        <v>0</v>
      </c>
      <c r="Y18" s="284">
        <f>IF($T$2="2018年",'Offer Statistics'!FK18,IF($T$2="2019年",'Offer Statistics'!FK64,IF($T$2="2020年",'Offer Statistics'!FK110)))</f>
        <v>0</v>
      </c>
      <c r="Z18" s="284">
        <f>IF($T$2="2018年",'Offer Statistics'!FL18,IF($T$2="2019年",'Offer Statistics'!FL64,IF($T$2="2020年",'Offer Statistics'!FL110)))</f>
        <v>0</v>
      </c>
      <c r="AA18" s="513"/>
      <c r="AB18" s="333">
        <f>IF($T$2="2018年",'Offer Statistics'!FE18,IF($T$2="2019年",'Offer Statistics'!FE64,IF($T$2="2020年",'Offer Statistics'!FE110)))</f>
        <v>3218</v>
      </c>
      <c r="AC18" s="284">
        <f>IF($T$2="2018年",'Offer Statistics'!EZ18,IF($T$2="2019年",'Offer Statistics'!EZ64,IF($T$2="2020年",'Offer Statistics'!EZ110)))</f>
        <v>559</v>
      </c>
      <c r="AD18" s="284">
        <f>IF($T$2="2018年",'Offer Statistics'!FA18,IF($T$2="2019年",'Offer Statistics'!FA64,IF($T$2="2020年",'Offer Statistics'!FA110)))</f>
        <v>630</v>
      </c>
      <c r="AE18" s="284">
        <f>IF($T$2="2018年",'Offer Statistics'!FB18,IF($T$2="2019年",'Offer Statistics'!FB64,IF($T$2="2020年",'Offer Statistics'!FB110)))</f>
        <v>686</v>
      </c>
      <c r="AF18" s="284">
        <f>IF($T$2="2018年",'Offer Statistics'!FC18,IF($T$2="2019年",'Offer Statistics'!FC64,IF($T$2="2020年",'Offer Statistics'!FC110)))</f>
        <v>630</v>
      </c>
      <c r="AG18" s="284">
        <f>IF($T$2="2018年",'Offer Statistics'!FD18,IF($T$2="2019年",'Offer Statistics'!FD64,IF($T$2="2020年",'Offer Statistics'!FD110)))</f>
        <v>713</v>
      </c>
      <c r="AH18" s="175"/>
      <c r="AI18" s="338" t="str">
        <f t="shared" si="0"/>
        <v>JSST04</v>
      </c>
    </row>
    <row r="19" spans="1:35" ht="18" customHeight="1">
      <c r="A19" s="5" t="s">
        <v>1180</v>
      </c>
      <c r="B19" s="5" t="s">
        <v>1176</v>
      </c>
      <c r="C19" s="5" t="s">
        <v>1242</v>
      </c>
      <c r="D19" s="5" t="s">
        <v>1886</v>
      </c>
      <c r="E19" s="379" t="s">
        <v>59</v>
      </c>
      <c r="F19" s="243" t="s">
        <v>792</v>
      </c>
      <c r="G19" s="67">
        <v>23.7</v>
      </c>
      <c r="H19" s="176" t="s">
        <v>792</v>
      </c>
      <c r="I19" s="71">
        <f>計分版!D394</f>
        <v>3.3999999999999998E-9</v>
      </c>
      <c r="J19" s="39">
        <f t="shared" si="2"/>
        <v>-23.699999996599999</v>
      </c>
      <c r="K19" s="40">
        <f t="shared" si="3"/>
        <v>-6970588234.2941179</v>
      </c>
      <c r="L19" s="251">
        <v>50</v>
      </c>
      <c r="M19" s="381">
        <f>入學要求!S381</f>
        <v>0</v>
      </c>
      <c r="N19" s="379" t="s">
        <v>2226</v>
      </c>
      <c r="O19" s="181">
        <v>3</v>
      </c>
      <c r="P19" s="379">
        <v>3</v>
      </c>
      <c r="Q19" s="181">
        <v>2</v>
      </c>
      <c r="R19" s="181">
        <v>2</v>
      </c>
      <c r="S19" s="406">
        <v>2</v>
      </c>
      <c r="T19" s="501"/>
      <c r="U19" s="333">
        <f>IF($T$2="2018年",'Offer Statistics'!FM19,IF($T$2="2019年",'Offer Statistics'!FM65,IF($T$2="2020年",'Offer Statistics'!FM111)))</f>
        <v>58</v>
      </c>
      <c r="V19" s="284">
        <f>IF($T$2="2018年",'Offer Statistics'!FH19,IF($T$2="2019年",'Offer Statistics'!FH65,IF($T$2="2020年",'Offer Statistics'!FH111)))</f>
        <v>52</v>
      </c>
      <c r="W19" s="284">
        <f>IF($T$2="2018年",'Offer Statistics'!FI19,IF($T$2="2019年",'Offer Statistics'!FI65,IF($T$2="2020年",'Offer Statistics'!FI111)))</f>
        <v>6</v>
      </c>
      <c r="X19" s="284">
        <f>IF($T$2="2018年",'Offer Statistics'!FJ19,IF($T$2="2019年",'Offer Statistics'!FJ65,IF($T$2="2020年",'Offer Statistics'!FJ111)))</f>
        <v>0</v>
      </c>
      <c r="Y19" s="284">
        <f>IF($T$2="2018年",'Offer Statistics'!FK19,IF($T$2="2019年",'Offer Statistics'!FK65,IF($T$2="2020年",'Offer Statistics'!FK111)))</f>
        <v>0</v>
      </c>
      <c r="Z19" s="284">
        <f>IF($T$2="2018年",'Offer Statistics'!FL19,IF($T$2="2019年",'Offer Statistics'!FL65,IF($T$2="2020年",'Offer Statistics'!FL111)))</f>
        <v>0</v>
      </c>
      <c r="AA19" s="513"/>
      <c r="AB19" s="333">
        <f>IF($T$2="2018年",'Offer Statistics'!FE19,IF($T$2="2019年",'Offer Statistics'!FE65,IF($T$2="2020年",'Offer Statistics'!FE111)))</f>
        <v>3292</v>
      </c>
      <c r="AC19" s="284">
        <f>IF($T$2="2018年",'Offer Statistics'!EZ19,IF($T$2="2019年",'Offer Statistics'!EZ65,IF($T$2="2020年",'Offer Statistics'!EZ111)))</f>
        <v>490</v>
      </c>
      <c r="AD19" s="284">
        <f>IF($T$2="2018年",'Offer Statistics'!FA19,IF($T$2="2019年",'Offer Statistics'!FA65,IF($T$2="2020年",'Offer Statistics'!FA111)))</f>
        <v>612</v>
      </c>
      <c r="AE19" s="284">
        <f>IF($T$2="2018年",'Offer Statistics'!FB19,IF($T$2="2019年",'Offer Statistics'!FB65,IF($T$2="2020年",'Offer Statistics'!FB111)))</f>
        <v>745</v>
      </c>
      <c r="AF19" s="284">
        <f>IF($T$2="2018年",'Offer Statistics'!FC19,IF($T$2="2019年",'Offer Statistics'!FC65,IF($T$2="2020年",'Offer Statistics'!FC111)))</f>
        <v>689</v>
      </c>
      <c r="AG19" s="284">
        <f>IF($T$2="2018年",'Offer Statistics'!FD19,IF($T$2="2019年",'Offer Statistics'!FD65,IF($T$2="2020年",'Offer Statistics'!FD111)))</f>
        <v>756</v>
      </c>
      <c r="AH19" s="175"/>
      <c r="AI19" s="338" t="str">
        <f t="shared" si="0"/>
        <v>JSST05</v>
      </c>
    </row>
    <row r="20" spans="1:35" ht="18" customHeight="1">
      <c r="A20" s="5" t="s">
        <v>1181</v>
      </c>
      <c r="B20" s="5" t="s">
        <v>1182</v>
      </c>
      <c r="C20" s="5" t="s">
        <v>1183</v>
      </c>
      <c r="D20" s="5" t="s">
        <v>1889</v>
      </c>
      <c r="E20" s="437" t="s">
        <v>1155</v>
      </c>
      <c r="F20" s="243" t="s">
        <v>792</v>
      </c>
      <c r="G20" s="176">
        <v>20</v>
      </c>
      <c r="H20" s="176">
        <v>17</v>
      </c>
      <c r="I20" s="71">
        <f>計分版!D395</f>
        <v>2.0999999999999998E-9</v>
      </c>
      <c r="J20" s="39">
        <f>IF(J$1="差距(Median)",I20-G20,IF(J$1="差距(UQ)",I20-G20,IF(J$1="差距(LQ)",I20-H20)))</f>
        <v>-19.999999997900002</v>
      </c>
      <c r="K20" s="40">
        <f>IF(J$1="差距(Median)",(I20-G20)/I20,IF(J$1="差距(UQ)",(I20-G20)/I20,IF(J$1="差距(LQ)",(I20-H20)/I20)))</f>
        <v>-9523809522.8095264</v>
      </c>
      <c r="L20" s="251">
        <v>80</v>
      </c>
      <c r="M20" s="381">
        <f>入學要求!S382</f>
        <v>0</v>
      </c>
      <c r="N20" s="371" t="s">
        <v>360</v>
      </c>
      <c r="O20" s="181">
        <v>3</v>
      </c>
      <c r="P20" s="181">
        <v>3</v>
      </c>
      <c r="Q20" s="181">
        <v>2</v>
      </c>
      <c r="R20" s="181">
        <v>2</v>
      </c>
      <c r="S20" s="181">
        <v>2</v>
      </c>
      <c r="T20" s="501"/>
      <c r="U20" s="333">
        <f>IF($T$2="2018年",'Offer Statistics'!FM20,IF($T$2="2019年",'Offer Statistics'!FM66,IF($T$2="2020年",'Offer Statistics'!FM112)))</f>
        <v>138</v>
      </c>
      <c r="V20" s="284">
        <f>IF($T$2="2018年",'Offer Statistics'!FH20,IF($T$2="2019年",'Offer Statistics'!FH66,IF($T$2="2020年",'Offer Statistics'!FH112)))</f>
        <v>73</v>
      </c>
      <c r="W20" s="284">
        <f>IF($T$2="2018年",'Offer Statistics'!FI20,IF($T$2="2019年",'Offer Statistics'!FI66,IF($T$2="2020年",'Offer Statistics'!FI112)))</f>
        <v>29</v>
      </c>
      <c r="X20" s="284">
        <f>IF($T$2="2018年",'Offer Statistics'!FJ20,IF($T$2="2019年",'Offer Statistics'!FJ66,IF($T$2="2020年",'Offer Statistics'!FJ112)))</f>
        <v>20</v>
      </c>
      <c r="Y20" s="284">
        <f>IF($T$2="2018年",'Offer Statistics'!FK20,IF($T$2="2019年",'Offer Statistics'!FK66,IF($T$2="2020年",'Offer Statistics'!FK112)))</f>
        <v>10</v>
      </c>
      <c r="Z20" s="284">
        <f>IF($T$2="2018年",'Offer Statistics'!FL20,IF($T$2="2019年",'Offer Statistics'!FL66,IF($T$2="2020年",'Offer Statistics'!FL112)))</f>
        <v>6</v>
      </c>
      <c r="AA20" s="513"/>
      <c r="AB20" s="333">
        <f>IF($T$2="2018年",'Offer Statistics'!FE20,IF($T$2="2019年",'Offer Statistics'!FE66,IF($T$2="2020年",'Offer Statistics'!FE112)))</f>
        <v>2655</v>
      </c>
      <c r="AC20" s="284">
        <f>IF($T$2="2018年",'Offer Statistics'!EZ20,IF($T$2="2019年",'Offer Statistics'!EZ66,IF($T$2="2020年",'Offer Statistics'!EZ112)))</f>
        <v>345</v>
      </c>
      <c r="AD20" s="284">
        <f>IF($T$2="2018年",'Offer Statistics'!FA20,IF($T$2="2019年",'Offer Statistics'!FA66,IF($T$2="2020年",'Offer Statistics'!FA112)))</f>
        <v>454</v>
      </c>
      <c r="AE20" s="284">
        <f>IF($T$2="2018年",'Offer Statistics'!FB20,IF($T$2="2019年",'Offer Statistics'!FB66,IF($T$2="2020年",'Offer Statistics'!FB112)))</f>
        <v>527</v>
      </c>
      <c r="AF20" s="284">
        <f>IF($T$2="2018年",'Offer Statistics'!FC20,IF($T$2="2019年",'Offer Statistics'!FC66,IF($T$2="2020年",'Offer Statistics'!FC112)))</f>
        <v>611</v>
      </c>
      <c r="AG20" s="284">
        <f>IF($T$2="2018年",'Offer Statistics'!FD20,IF($T$2="2019年",'Offer Statistics'!FD66,IF($T$2="2020年",'Offer Statistics'!FD112)))</f>
        <v>718</v>
      </c>
      <c r="AH20" s="175"/>
      <c r="AI20" s="338" t="str">
        <f t="shared" si="0"/>
        <v>JSSU12</v>
      </c>
    </row>
    <row r="21" spans="1:35" ht="18" customHeight="1">
      <c r="A21" s="5" t="s">
        <v>1184</v>
      </c>
      <c r="B21" s="5" t="s">
        <v>1182</v>
      </c>
      <c r="C21" s="5" t="s">
        <v>1185</v>
      </c>
      <c r="D21" s="5" t="s">
        <v>1892</v>
      </c>
      <c r="E21" s="338" t="s">
        <v>1155</v>
      </c>
      <c r="F21" s="243" t="s">
        <v>792</v>
      </c>
      <c r="G21" s="176">
        <v>16</v>
      </c>
      <c r="H21" s="176">
        <v>15</v>
      </c>
      <c r="I21" s="71">
        <f>計分版!D396</f>
        <v>1.9500000000000001E-9</v>
      </c>
      <c r="J21" s="39">
        <f t="shared" ref="J21:J34" si="4">IF(J$1="差距(Median)",I21-G21,IF(J$1="差距(UQ)",I21-G21,IF(J$1="差距(LQ)",I21-H21)))</f>
        <v>-15.999999998050001</v>
      </c>
      <c r="K21" s="40">
        <f t="shared" ref="K21:K34" si="5">IF(J$1="差距(Median)",(I21-G21)/I21,IF(J$1="差距(UQ)",(I21-G21)/I21,IF(J$1="差距(LQ)",(I21-H21)/I21)))</f>
        <v>-8205128204.1282053</v>
      </c>
      <c r="L21" s="251">
        <v>80</v>
      </c>
      <c r="M21" s="381">
        <f>入學要求!S383</f>
        <v>0</v>
      </c>
      <c r="N21" s="371" t="s">
        <v>360</v>
      </c>
      <c r="O21" s="181">
        <v>3</v>
      </c>
      <c r="P21" s="181">
        <v>3</v>
      </c>
      <c r="Q21" s="181">
        <v>2</v>
      </c>
      <c r="R21" s="181">
        <v>2</v>
      </c>
      <c r="S21" s="181">
        <v>2</v>
      </c>
      <c r="T21" s="501"/>
      <c r="U21" s="333">
        <f>IF($T$2="2018年",'Offer Statistics'!FM21,IF($T$2="2019年",'Offer Statistics'!FM67,IF($T$2="2020年",'Offer Statistics'!FM113)))</f>
        <v>108</v>
      </c>
      <c r="V21" s="284">
        <f>IF($T$2="2018年",'Offer Statistics'!FH21,IF($T$2="2019年",'Offer Statistics'!FH67,IF($T$2="2020年",'Offer Statistics'!FH113)))</f>
        <v>75</v>
      </c>
      <c r="W21" s="284">
        <f>IF($T$2="2018年",'Offer Statistics'!FI21,IF($T$2="2019年",'Offer Statistics'!FI67,IF($T$2="2020年",'Offer Statistics'!FI113)))</f>
        <v>13</v>
      </c>
      <c r="X21" s="284">
        <f>IF($T$2="2018年",'Offer Statistics'!FJ21,IF($T$2="2019年",'Offer Statistics'!FJ67,IF($T$2="2020年",'Offer Statistics'!FJ113)))</f>
        <v>6</v>
      </c>
      <c r="Y21" s="284">
        <f>IF($T$2="2018年",'Offer Statistics'!FK21,IF($T$2="2019年",'Offer Statistics'!FK67,IF($T$2="2020年",'Offer Statistics'!FK113)))</f>
        <v>6</v>
      </c>
      <c r="Z21" s="284">
        <f>IF($T$2="2018年",'Offer Statistics'!FL21,IF($T$2="2019年",'Offer Statistics'!FL67,IF($T$2="2020年",'Offer Statistics'!FL113)))</f>
        <v>8</v>
      </c>
      <c r="AA21" s="513"/>
      <c r="AB21" s="333">
        <f>IF($T$2="2018年",'Offer Statistics'!FE21,IF($T$2="2019年",'Offer Statistics'!FE67,IF($T$2="2020年",'Offer Statistics'!FE113)))</f>
        <v>3012</v>
      </c>
      <c r="AC21" s="284">
        <f>IF($T$2="2018年",'Offer Statistics'!EZ21,IF($T$2="2019年",'Offer Statistics'!EZ67,IF($T$2="2020年",'Offer Statistics'!EZ113)))</f>
        <v>486</v>
      </c>
      <c r="AD21" s="284">
        <f>IF($T$2="2018年",'Offer Statistics'!FA21,IF($T$2="2019年",'Offer Statistics'!FA67,IF($T$2="2020年",'Offer Statistics'!FA113)))</f>
        <v>541</v>
      </c>
      <c r="AE21" s="284">
        <f>IF($T$2="2018年",'Offer Statistics'!FB21,IF($T$2="2019年",'Offer Statistics'!FB67,IF($T$2="2020年",'Offer Statistics'!FB113)))</f>
        <v>599</v>
      </c>
      <c r="AF21" s="284">
        <f>IF($T$2="2018年",'Offer Statistics'!FC21,IF($T$2="2019年",'Offer Statistics'!FC67,IF($T$2="2020年",'Offer Statistics'!FC113)))</f>
        <v>697</v>
      </c>
      <c r="AG21" s="284">
        <f>IF($T$2="2018年",'Offer Statistics'!FD21,IF($T$2="2019年",'Offer Statistics'!FD67,IF($T$2="2020年",'Offer Statistics'!FD113)))</f>
        <v>689</v>
      </c>
      <c r="AH21" s="175"/>
      <c r="AI21" s="338" t="str">
        <f t="shared" si="0"/>
        <v>JSSU14</v>
      </c>
    </row>
    <row r="22" spans="1:35" ht="18" customHeight="1">
      <c r="A22" s="5" t="s">
        <v>1186</v>
      </c>
      <c r="B22" s="5" t="s">
        <v>1182</v>
      </c>
      <c r="C22" s="5" t="s">
        <v>1187</v>
      </c>
      <c r="D22" s="5" t="s">
        <v>1895</v>
      </c>
      <c r="E22" s="437" t="s">
        <v>1155</v>
      </c>
      <c r="F22" s="243" t="s">
        <v>792</v>
      </c>
      <c r="G22" s="176">
        <v>20</v>
      </c>
      <c r="H22" s="176">
        <v>18</v>
      </c>
      <c r="I22" s="71">
        <f>計分版!D397</f>
        <v>2.0999999999999998E-9</v>
      </c>
      <c r="J22" s="39">
        <f t="shared" si="4"/>
        <v>-19.999999997900002</v>
      </c>
      <c r="K22" s="40">
        <f t="shared" si="5"/>
        <v>-9523809522.8095264</v>
      </c>
      <c r="L22" s="251">
        <v>80</v>
      </c>
      <c r="M22" s="381">
        <f>入學要求!S384</f>
        <v>0</v>
      </c>
      <c r="N22" s="371" t="s">
        <v>360</v>
      </c>
      <c r="O22" s="181">
        <v>3</v>
      </c>
      <c r="P22" s="181">
        <v>3</v>
      </c>
      <c r="Q22" s="181">
        <v>2</v>
      </c>
      <c r="R22" s="181">
        <v>2</v>
      </c>
      <c r="S22" s="181">
        <v>2</v>
      </c>
      <c r="T22" s="501"/>
      <c r="U22" s="333">
        <f>IF($T$2="2018年",'Offer Statistics'!FM22,IF($T$2="2019年",'Offer Statistics'!FM68,IF($T$2="2020年",'Offer Statistics'!FM114)))</f>
        <v>91</v>
      </c>
      <c r="V22" s="284">
        <f>IF($T$2="2018年",'Offer Statistics'!FH22,IF($T$2="2019年",'Offer Statistics'!FH68,IF($T$2="2020年",'Offer Statistics'!FH114)))</f>
        <v>58</v>
      </c>
      <c r="W22" s="284">
        <f>IF($T$2="2018年",'Offer Statistics'!FI22,IF($T$2="2019年",'Offer Statistics'!FI68,IF($T$2="2020年",'Offer Statistics'!FI114)))</f>
        <v>15</v>
      </c>
      <c r="X22" s="284">
        <f>IF($T$2="2018年",'Offer Statistics'!FJ22,IF($T$2="2019年",'Offer Statistics'!FJ68,IF($T$2="2020年",'Offer Statistics'!FJ114)))</f>
        <v>7</v>
      </c>
      <c r="Y22" s="284">
        <f>IF($T$2="2018年",'Offer Statistics'!FK22,IF($T$2="2019年",'Offer Statistics'!FK68,IF($T$2="2020年",'Offer Statistics'!FK114)))</f>
        <v>4</v>
      </c>
      <c r="Z22" s="284">
        <f>IF($T$2="2018年",'Offer Statistics'!FL22,IF($T$2="2019年",'Offer Statistics'!FL68,IF($T$2="2020年",'Offer Statistics'!FL114)))</f>
        <v>7</v>
      </c>
      <c r="AA22" s="513"/>
      <c r="AB22" s="333">
        <f>IF($T$2="2018年",'Offer Statistics'!FE22,IF($T$2="2019年",'Offer Statistics'!FE68,IF($T$2="2020年",'Offer Statistics'!FE114)))</f>
        <v>2567</v>
      </c>
      <c r="AC22" s="284">
        <f>IF($T$2="2018年",'Offer Statistics'!EZ22,IF($T$2="2019年",'Offer Statistics'!EZ68,IF($T$2="2020年",'Offer Statistics'!EZ114)))</f>
        <v>353</v>
      </c>
      <c r="AD22" s="284">
        <f>IF($T$2="2018年",'Offer Statistics'!FA22,IF($T$2="2019年",'Offer Statistics'!FA68,IF($T$2="2020年",'Offer Statistics'!FA114)))</f>
        <v>488</v>
      </c>
      <c r="AE22" s="284">
        <f>IF($T$2="2018年",'Offer Statistics'!FB22,IF($T$2="2019年",'Offer Statistics'!FB68,IF($T$2="2020年",'Offer Statistics'!FB114)))</f>
        <v>569</v>
      </c>
      <c r="AF22" s="284">
        <f>IF($T$2="2018年",'Offer Statistics'!FC22,IF($T$2="2019年",'Offer Statistics'!FC68,IF($T$2="2020年",'Offer Statistics'!FC114)))</f>
        <v>565</v>
      </c>
      <c r="AG22" s="284">
        <f>IF($T$2="2018年",'Offer Statistics'!FD22,IF($T$2="2019年",'Offer Statistics'!FD68,IF($T$2="2020年",'Offer Statistics'!FD114)))</f>
        <v>592</v>
      </c>
      <c r="AH22" s="175"/>
      <c r="AI22" s="338" t="str">
        <f t="shared" si="0"/>
        <v>JSSU15</v>
      </c>
    </row>
    <row r="23" spans="1:35" ht="18" customHeight="1">
      <c r="A23" s="5" t="s">
        <v>1188</v>
      </c>
      <c r="B23" s="5" t="s">
        <v>1182</v>
      </c>
      <c r="C23" s="5" t="s">
        <v>1189</v>
      </c>
      <c r="D23" s="5" t="s">
        <v>1898</v>
      </c>
      <c r="E23" s="437" t="s">
        <v>1155</v>
      </c>
      <c r="F23" s="243" t="s">
        <v>792</v>
      </c>
      <c r="G23" s="176">
        <v>20</v>
      </c>
      <c r="H23" s="176">
        <v>19</v>
      </c>
      <c r="I23" s="71">
        <f>計分版!D398</f>
        <v>1.9500000000000001E-9</v>
      </c>
      <c r="J23" s="39">
        <f t="shared" si="4"/>
        <v>-19.999999998050001</v>
      </c>
      <c r="K23" s="40">
        <f t="shared" si="5"/>
        <v>-10256410255.410255</v>
      </c>
      <c r="L23" s="251">
        <v>325</v>
      </c>
      <c r="M23" s="381">
        <f>入學要求!S385</f>
        <v>0</v>
      </c>
      <c r="N23" s="371" t="s">
        <v>2193</v>
      </c>
      <c r="O23" s="181">
        <v>3</v>
      </c>
      <c r="P23" s="181">
        <v>3</v>
      </c>
      <c r="Q23" s="181">
        <v>2</v>
      </c>
      <c r="R23" s="181">
        <v>2</v>
      </c>
      <c r="S23" s="181">
        <v>2</v>
      </c>
      <c r="T23" s="501"/>
      <c r="U23" s="333">
        <f>IF($T$2="2018年",'Offer Statistics'!FM23,IF($T$2="2019年",'Offer Statistics'!FM69,IF($T$2="2020年",'Offer Statistics'!FM115)))</f>
        <v>340</v>
      </c>
      <c r="V23" s="284">
        <f>IF($T$2="2018年",'Offer Statistics'!FH23,IF($T$2="2019年",'Offer Statistics'!FH69,IF($T$2="2020年",'Offer Statistics'!FH115)))</f>
        <v>340</v>
      </c>
      <c r="W23" s="284">
        <f>IF($T$2="2018年",'Offer Statistics'!FI23,IF($T$2="2019年",'Offer Statistics'!FI69,IF($T$2="2020年",'Offer Statistics'!FI115)))</f>
        <v>0</v>
      </c>
      <c r="X23" s="284">
        <f>IF($T$2="2018年",'Offer Statistics'!FJ23,IF($T$2="2019年",'Offer Statistics'!FJ69,IF($T$2="2020年",'Offer Statistics'!FJ115)))</f>
        <v>0</v>
      </c>
      <c r="Y23" s="284">
        <f>IF($T$2="2018年",'Offer Statistics'!FK23,IF($T$2="2019年",'Offer Statistics'!FK69,IF($T$2="2020年",'Offer Statistics'!FK115)))</f>
        <v>0</v>
      </c>
      <c r="Z23" s="284">
        <f>IF($T$2="2018年",'Offer Statistics'!FL23,IF($T$2="2019年",'Offer Statistics'!FL69,IF($T$2="2020年",'Offer Statistics'!FL115)))</f>
        <v>0</v>
      </c>
      <c r="AA23" s="513"/>
      <c r="AB23" s="333">
        <f>IF($T$2="2018年",'Offer Statistics'!FE23,IF($T$2="2019年",'Offer Statistics'!FE69,IF($T$2="2020年",'Offer Statistics'!FE115)))</f>
        <v>5228</v>
      </c>
      <c r="AC23" s="284">
        <f>IF($T$2="2018年",'Offer Statistics'!EZ23,IF($T$2="2019年",'Offer Statistics'!EZ69,IF($T$2="2020年",'Offer Statistics'!EZ115)))</f>
        <v>2209</v>
      </c>
      <c r="AD23" s="284">
        <f>IF($T$2="2018年",'Offer Statistics'!FA23,IF($T$2="2019年",'Offer Statistics'!FA69,IF($T$2="2020年",'Offer Statistics'!FA115)))</f>
        <v>1010</v>
      </c>
      <c r="AE23" s="284">
        <f>IF($T$2="2018年",'Offer Statistics'!FB23,IF($T$2="2019年",'Offer Statistics'!FB69,IF($T$2="2020年",'Offer Statistics'!FB115)))</f>
        <v>753</v>
      </c>
      <c r="AF23" s="284">
        <f>IF($T$2="2018年",'Offer Statistics'!FC23,IF($T$2="2019年",'Offer Statistics'!FC69,IF($T$2="2020年",'Offer Statistics'!FC115)))</f>
        <v>617</v>
      </c>
      <c r="AG23" s="284">
        <f>IF($T$2="2018年",'Offer Statistics'!FD23,IF($T$2="2019年",'Offer Statistics'!FD69,IF($T$2="2020年",'Offer Statistics'!FD115)))</f>
        <v>639</v>
      </c>
      <c r="AH23" s="175"/>
      <c r="AI23" s="338" t="str">
        <f t="shared" si="0"/>
        <v>JSSU40</v>
      </c>
    </row>
    <row r="24" spans="1:35" ht="18" customHeight="1">
      <c r="A24" s="5" t="s">
        <v>1190</v>
      </c>
      <c r="B24" s="5" t="s">
        <v>1182</v>
      </c>
      <c r="C24" s="5" t="s">
        <v>1191</v>
      </c>
      <c r="D24" s="5" t="s">
        <v>1901</v>
      </c>
      <c r="E24" s="437" t="s">
        <v>1155</v>
      </c>
      <c r="F24" s="243" t="s">
        <v>792</v>
      </c>
      <c r="G24" s="176">
        <v>18</v>
      </c>
      <c r="H24" s="176">
        <v>16</v>
      </c>
      <c r="I24" s="71">
        <f>計分版!D399</f>
        <v>1.9500000000000001E-9</v>
      </c>
      <c r="J24" s="39">
        <f t="shared" si="4"/>
        <v>-17.999999998050001</v>
      </c>
      <c r="K24" s="40">
        <f t="shared" si="5"/>
        <v>-9230769229.7692299</v>
      </c>
      <c r="L24" s="251">
        <v>125</v>
      </c>
      <c r="M24" s="381">
        <f>入學要求!S386</f>
        <v>0</v>
      </c>
      <c r="N24" s="371" t="s">
        <v>2193</v>
      </c>
      <c r="O24" s="181">
        <v>3</v>
      </c>
      <c r="P24" s="181">
        <v>3</v>
      </c>
      <c r="Q24" s="181">
        <v>2</v>
      </c>
      <c r="R24" s="181">
        <v>2</v>
      </c>
      <c r="S24" s="181">
        <v>2</v>
      </c>
      <c r="T24" s="501"/>
      <c r="U24" s="333">
        <f>IF($T$2="2018年",'Offer Statistics'!FM24,IF($T$2="2019年",'Offer Statistics'!FM70,IF($T$2="2020年",'Offer Statistics'!FM116)))</f>
        <v>145</v>
      </c>
      <c r="V24" s="284">
        <f>IF($T$2="2018年",'Offer Statistics'!FH24,IF($T$2="2019年",'Offer Statistics'!FH70,IF($T$2="2020年",'Offer Statistics'!FH116)))</f>
        <v>145</v>
      </c>
      <c r="W24" s="284">
        <f>IF($T$2="2018年",'Offer Statistics'!FI24,IF($T$2="2019年",'Offer Statistics'!FI70,IF($T$2="2020年",'Offer Statistics'!FI116)))</f>
        <v>0</v>
      </c>
      <c r="X24" s="284">
        <f>IF($T$2="2018年",'Offer Statistics'!FJ24,IF($T$2="2019年",'Offer Statistics'!FJ70,IF($T$2="2020年",'Offer Statistics'!FJ116)))</f>
        <v>0</v>
      </c>
      <c r="Y24" s="284">
        <f>IF($T$2="2018年",'Offer Statistics'!FK24,IF($T$2="2019年",'Offer Statistics'!FK70,IF($T$2="2020年",'Offer Statistics'!FK116)))</f>
        <v>0</v>
      </c>
      <c r="Z24" s="284">
        <f>IF($T$2="2018年",'Offer Statistics'!FL24,IF($T$2="2019年",'Offer Statistics'!FL70,IF($T$2="2020年",'Offer Statistics'!FL116)))</f>
        <v>0</v>
      </c>
      <c r="AA24" s="513"/>
      <c r="AB24" s="333">
        <f>IF($T$2="2018年",'Offer Statistics'!FE24,IF($T$2="2019年",'Offer Statistics'!FE70,IF($T$2="2020年",'Offer Statistics'!FE116)))</f>
        <v>3547</v>
      </c>
      <c r="AC24" s="284">
        <f>IF($T$2="2018年",'Offer Statistics'!EZ24,IF($T$2="2019年",'Offer Statistics'!EZ70,IF($T$2="2020年",'Offer Statistics'!EZ116)))</f>
        <v>760</v>
      </c>
      <c r="AD24" s="284">
        <f>IF($T$2="2018年",'Offer Statistics'!FA24,IF($T$2="2019年",'Offer Statistics'!FA70,IF($T$2="2020年",'Offer Statistics'!FA116)))</f>
        <v>1042</v>
      </c>
      <c r="AE24" s="284">
        <f>IF($T$2="2018年",'Offer Statistics'!FB24,IF($T$2="2019年",'Offer Statistics'!FB70,IF($T$2="2020年",'Offer Statistics'!FB116)))</f>
        <v>687</v>
      </c>
      <c r="AF24" s="284">
        <f>IF($T$2="2018年",'Offer Statistics'!FC24,IF($T$2="2019年",'Offer Statistics'!FC70,IF($T$2="2020年",'Offer Statistics'!FC116)))</f>
        <v>513</v>
      </c>
      <c r="AG24" s="284">
        <f>IF($T$2="2018年",'Offer Statistics'!FD24,IF($T$2="2019年",'Offer Statistics'!FD70,IF($T$2="2020年",'Offer Statistics'!FD116)))</f>
        <v>545</v>
      </c>
      <c r="AH24" s="175"/>
      <c r="AI24" s="338" t="str">
        <f t="shared" si="0"/>
        <v>JSSU50</v>
      </c>
    </row>
    <row r="25" spans="1:35" ht="18" customHeight="1">
      <c r="A25" s="175" t="s">
        <v>1904</v>
      </c>
      <c r="B25" s="175" t="s">
        <v>1182</v>
      </c>
      <c r="C25" s="175" t="s">
        <v>1976</v>
      </c>
      <c r="D25" s="175" t="s">
        <v>1905</v>
      </c>
      <c r="E25" s="249" t="s">
        <v>59</v>
      </c>
      <c r="F25" s="243" t="s">
        <v>792</v>
      </c>
      <c r="G25" s="176">
        <v>36</v>
      </c>
      <c r="H25" s="176">
        <v>34</v>
      </c>
      <c r="I25" s="193">
        <f>計分版!D400</f>
        <v>3.9500000000000006E-9</v>
      </c>
      <c r="J25" s="188">
        <f t="shared" ref="J25" si="6">IF(J$1="差距(Median)",I25-G25,IF(J$1="差距(UQ)",I25-G25,IF(J$1="差距(LQ)",I25-H25)))</f>
        <v>-35.999999996050001</v>
      </c>
      <c r="K25" s="189">
        <f t="shared" ref="K25" si="7">IF(J$1="差距(Median)",(I25-G25)/I25,IF(J$1="差距(UQ)",(I25-G25)/I25,IF(J$1="差距(LQ)",(I25-H25)/I25)))</f>
        <v>-9113924049.6329098</v>
      </c>
      <c r="L25" s="251">
        <v>40</v>
      </c>
      <c r="M25" s="381">
        <f>入學要求!S387</f>
        <v>0</v>
      </c>
      <c r="N25" s="371" t="s">
        <v>2193</v>
      </c>
      <c r="O25" s="181">
        <v>3</v>
      </c>
      <c r="P25" s="181">
        <v>3</v>
      </c>
      <c r="Q25" s="181">
        <v>2</v>
      </c>
      <c r="R25" s="181">
        <v>2</v>
      </c>
      <c r="S25" s="181">
        <v>2</v>
      </c>
      <c r="T25" s="501"/>
      <c r="U25" s="333" t="str">
        <f>IF($T$2="2018年",'Offer Statistics'!FM25,IF($T$2="2019年",'Offer Statistics'!FM71,IF($T$2="2020年",'Offer Statistics'!FM117)))</f>
        <v>/</v>
      </c>
      <c r="V25" s="284" t="str">
        <f>IF($T$2="2018年",'Offer Statistics'!FH25,IF($T$2="2019年",'Offer Statistics'!FH71,IF($T$2="2020年",'Offer Statistics'!FH117)))</f>
        <v>/</v>
      </c>
      <c r="W25" s="284" t="str">
        <f>IF($T$2="2018年",'Offer Statistics'!FI25,IF($T$2="2019年",'Offer Statistics'!FI71,IF($T$2="2020年",'Offer Statistics'!FI117)))</f>
        <v>/</v>
      </c>
      <c r="X25" s="284" t="str">
        <f>IF($T$2="2018年",'Offer Statistics'!FJ25,IF($T$2="2019年",'Offer Statistics'!FJ71,IF($T$2="2020年",'Offer Statistics'!FJ117)))</f>
        <v>/</v>
      </c>
      <c r="Y25" s="284" t="str">
        <f>IF($T$2="2018年",'Offer Statistics'!FK25,IF($T$2="2019年",'Offer Statistics'!FK71,IF($T$2="2020年",'Offer Statistics'!FK117)))</f>
        <v>/</v>
      </c>
      <c r="Z25" s="284" t="str">
        <f>IF($T$2="2018年",'Offer Statistics'!FL25,IF($T$2="2019年",'Offer Statistics'!FL71,IF($T$2="2020年",'Offer Statistics'!FL117)))</f>
        <v>/</v>
      </c>
      <c r="AA25" s="513"/>
      <c r="AB25" s="333" t="str">
        <f>IF($T$2="2018年",'Offer Statistics'!FE25,IF($T$2="2019年",'Offer Statistics'!FE71,IF($T$2="2020年",'Offer Statistics'!FE117)))</f>
        <v>/</v>
      </c>
      <c r="AC25" s="284" t="str">
        <f>IF($T$2="2018年",'Offer Statistics'!EZ25,IF($T$2="2019年",'Offer Statistics'!EZ71,IF($T$2="2020年",'Offer Statistics'!EZ117)))</f>
        <v>/</v>
      </c>
      <c r="AD25" s="284" t="str">
        <f>IF($T$2="2018年",'Offer Statistics'!FA25,IF($T$2="2019年",'Offer Statistics'!FA71,IF($T$2="2020年",'Offer Statistics'!FA117)))</f>
        <v>/</v>
      </c>
      <c r="AE25" s="284" t="str">
        <f>IF($T$2="2018年",'Offer Statistics'!FB25,IF($T$2="2019年",'Offer Statistics'!FB71,IF($T$2="2020年",'Offer Statistics'!FB117)))</f>
        <v>/</v>
      </c>
      <c r="AF25" s="284" t="str">
        <f>IF($T$2="2018年",'Offer Statistics'!FC25,IF($T$2="2019年",'Offer Statistics'!FC71,IF($T$2="2020年",'Offer Statistics'!FC117)))</f>
        <v>/</v>
      </c>
      <c r="AG25" s="284" t="str">
        <f>IF($T$2="2018年",'Offer Statistics'!FD25,IF($T$2="2019年",'Offer Statistics'!FD71,IF($T$2="2020年",'Offer Statistics'!FD117)))</f>
        <v>/</v>
      </c>
      <c r="AH25" s="175"/>
      <c r="AI25" s="338" t="str">
        <f t="shared" si="0"/>
        <v>JSSU55</v>
      </c>
    </row>
    <row r="26" spans="1:35" ht="18" customHeight="1">
      <c r="A26" s="5" t="s">
        <v>1192</v>
      </c>
      <c r="B26" s="175" t="s">
        <v>1182</v>
      </c>
      <c r="C26" s="5" t="s">
        <v>1193</v>
      </c>
      <c r="D26" s="5" t="s">
        <v>1908</v>
      </c>
      <c r="E26" s="338" t="s">
        <v>1155</v>
      </c>
      <c r="F26" s="243" t="s">
        <v>792</v>
      </c>
      <c r="G26" s="176">
        <v>16</v>
      </c>
      <c r="H26" s="176">
        <v>15</v>
      </c>
      <c r="I26" s="71">
        <f>計分版!D401</f>
        <v>1.9500000000000001E-9</v>
      </c>
      <c r="J26" s="39">
        <f t="shared" si="4"/>
        <v>-15.999999998050001</v>
      </c>
      <c r="K26" s="40">
        <f t="shared" si="5"/>
        <v>-8205128204.1282053</v>
      </c>
      <c r="L26" s="251">
        <v>100</v>
      </c>
      <c r="M26" s="381">
        <f>入學要求!S388</f>
        <v>0</v>
      </c>
      <c r="N26" s="371" t="s">
        <v>360</v>
      </c>
      <c r="O26" s="181">
        <v>3</v>
      </c>
      <c r="P26" s="181">
        <v>3</v>
      </c>
      <c r="Q26" s="181">
        <v>2</v>
      </c>
      <c r="R26" s="181">
        <v>2</v>
      </c>
      <c r="S26" s="181">
        <v>2</v>
      </c>
      <c r="T26" s="501"/>
      <c r="U26" s="333">
        <f>IF($T$2="2018年",'Offer Statistics'!FM26,IF($T$2="2019年",'Offer Statistics'!FM72,IF($T$2="2020年",'Offer Statistics'!FM118)))</f>
        <v>29</v>
      </c>
      <c r="V26" s="284">
        <f>IF($T$2="2018年",'Offer Statistics'!FH26,IF($T$2="2019年",'Offer Statistics'!FH72,IF($T$2="2020年",'Offer Statistics'!FH118)))</f>
        <v>18</v>
      </c>
      <c r="W26" s="284">
        <f>IF($T$2="2018年",'Offer Statistics'!FI26,IF($T$2="2019年",'Offer Statistics'!FI72,IF($T$2="2020年",'Offer Statistics'!FI118)))</f>
        <v>7</v>
      </c>
      <c r="X26" s="284">
        <f>IF($T$2="2018年",'Offer Statistics'!FJ26,IF($T$2="2019年",'Offer Statistics'!FJ72,IF($T$2="2020年",'Offer Statistics'!FJ118)))</f>
        <v>1</v>
      </c>
      <c r="Y26" s="284">
        <f>IF($T$2="2018年",'Offer Statistics'!FK26,IF($T$2="2019年",'Offer Statistics'!FK72,IF($T$2="2020年",'Offer Statistics'!FK118)))</f>
        <v>1</v>
      </c>
      <c r="Z26" s="284">
        <f>IF($T$2="2018年",'Offer Statistics'!FL26,IF($T$2="2019年",'Offer Statistics'!FL72,IF($T$2="2020年",'Offer Statistics'!FL118)))</f>
        <v>2</v>
      </c>
      <c r="AA26" s="513"/>
      <c r="AB26" s="333">
        <f>IF($T$2="2018年",'Offer Statistics'!FE26,IF($T$2="2019年",'Offer Statistics'!FE72,IF($T$2="2020年",'Offer Statistics'!FE118)))</f>
        <v>1151</v>
      </c>
      <c r="AC26" s="284">
        <f>IF($T$2="2018年",'Offer Statistics'!EZ26,IF($T$2="2019年",'Offer Statistics'!EZ72,IF($T$2="2020年",'Offer Statistics'!EZ118)))</f>
        <v>102</v>
      </c>
      <c r="AD26" s="284">
        <f>IF($T$2="2018年",'Offer Statistics'!FA26,IF($T$2="2019年",'Offer Statistics'!FA72,IF($T$2="2020年",'Offer Statistics'!FA118)))</f>
        <v>208</v>
      </c>
      <c r="AE26" s="284">
        <f>IF($T$2="2018年",'Offer Statistics'!FB26,IF($T$2="2019年",'Offer Statistics'!FB72,IF($T$2="2020年",'Offer Statistics'!FB118)))</f>
        <v>233</v>
      </c>
      <c r="AF26" s="284">
        <f>IF($T$2="2018年",'Offer Statistics'!FC26,IF($T$2="2019年",'Offer Statistics'!FC72,IF($T$2="2020年",'Offer Statistics'!FC118)))</f>
        <v>281</v>
      </c>
      <c r="AG26" s="284">
        <f>IF($T$2="2018年",'Offer Statistics'!FD26,IF($T$2="2019年",'Offer Statistics'!FD72,IF($T$2="2020年",'Offer Statistics'!FD118)))</f>
        <v>327</v>
      </c>
      <c r="AH26" s="175"/>
      <c r="AI26" s="338" t="str">
        <f t="shared" si="0"/>
        <v>JSSU65</v>
      </c>
    </row>
    <row r="27" spans="1:35" ht="18" customHeight="1">
      <c r="A27" s="5" t="s">
        <v>1194</v>
      </c>
      <c r="B27" s="175" t="s">
        <v>1182</v>
      </c>
      <c r="C27" s="5" t="s">
        <v>1195</v>
      </c>
      <c r="D27" s="5" t="s">
        <v>1911</v>
      </c>
      <c r="E27" s="338" t="s">
        <v>1155</v>
      </c>
      <c r="F27" s="243" t="s">
        <v>792</v>
      </c>
      <c r="G27" s="176">
        <v>16</v>
      </c>
      <c r="H27" s="176">
        <v>16</v>
      </c>
      <c r="I27" s="71">
        <f>計分版!D402</f>
        <v>1.9500000000000001E-9</v>
      </c>
      <c r="J27" s="39">
        <f t="shared" si="4"/>
        <v>-15.999999998050001</v>
      </c>
      <c r="K27" s="40">
        <f t="shared" si="5"/>
        <v>-8205128204.1282053</v>
      </c>
      <c r="L27" s="251">
        <v>30</v>
      </c>
      <c r="M27" s="381">
        <f>入學要求!S389</f>
        <v>0</v>
      </c>
      <c r="N27" s="371" t="s">
        <v>360</v>
      </c>
      <c r="O27" s="181">
        <v>3</v>
      </c>
      <c r="P27" s="181">
        <v>3</v>
      </c>
      <c r="Q27" s="181">
        <v>2</v>
      </c>
      <c r="R27" s="181">
        <v>2</v>
      </c>
      <c r="S27" s="181">
        <v>2</v>
      </c>
      <c r="T27" s="501"/>
      <c r="U27" s="333">
        <f>IF($T$2="2018年",'Offer Statistics'!FM27,IF($T$2="2019年",'Offer Statistics'!FM73,IF($T$2="2020年",'Offer Statistics'!FM119)))</f>
        <v>68</v>
      </c>
      <c r="V27" s="284">
        <f>IF($T$2="2018年",'Offer Statistics'!FH27,IF($T$2="2019年",'Offer Statistics'!FH73,IF($T$2="2020年",'Offer Statistics'!FH119)))</f>
        <v>42</v>
      </c>
      <c r="W27" s="284">
        <f>IF($T$2="2018年",'Offer Statistics'!FI27,IF($T$2="2019年",'Offer Statistics'!FI73,IF($T$2="2020年",'Offer Statistics'!FI119)))</f>
        <v>18</v>
      </c>
      <c r="X27" s="284">
        <f>IF($T$2="2018年",'Offer Statistics'!FJ27,IF($T$2="2019年",'Offer Statistics'!FJ73,IF($T$2="2020年",'Offer Statistics'!FJ119)))</f>
        <v>1</v>
      </c>
      <c r="Y27" s="284">
        <f>IF($T$2="2018年",'Offer Statistics'!FK27,IF($T$2="2019年",'Offer Statistics'!FK73,IF($T$2="2020年",'Offer Statistics'!FK119)))</f>
        <v>3</v>
      </c>
      <c r="Z27" s="284">
        <f>IF($T$2="2018年",'Offer Statistics'!FL27,IF($T$2="2019年",'Offer Statistics'!FL73,IF($T$2="2020年",'Offer Statistics'!FL119)))</f>
        <v>4</v>
      </c>
      <c r="AA27" s="513"/>
      <c r="AB27" s="333">
        <f>IF($T$2="2018年",'Offer Statistics'!FE27,IF($T$2="2019年",'Offer Statistics'!FE73,IF($T$2="2020年",'Offer Statistics'!FE119)))</f>
        <v>1171</v>
      </c>
      <c r="AC27" s="284">
        <f>IF($T$2="2018年",'Offer Statistics'!EZ27,IF($T$2="2019年",'Offer Statistics'!EZ73,IF($T$2="2020年",'Offer Statistics'!EZ119)))</f>
        <v>129</v>
      </c>
      <c r="AD27" s="284">
        <f>IF($T$2="2018年",'Offer Statistics'!FA27,IF($T$2="2019年",'Offer Statistics'!FA73,IF($T$2="2020年",'Offer Statistics'!FA119)))</f>
        <v>209</v>
      </c>
      <c r="AE27" s="284">
        <f>IF($T$2="2018年",'Offer Statistics'!FB27,IF($T$2="2019年",'Offer Statistics'!FB73,IF($T$2="2020年",'Offer Statistics'!FB119)))</f>
        <v>234</v>
      </c>
      <c r="AF27" s="284">
        <f>IF($T$2="2018年",'Offer Statistics'!FC27,IF($T$2="2019年",'Offer Statistics'!FC73,IF($T$2="2020年",'Offer Statistics'!FC119)))</f>
        <v>261</v>
      </c>
      <c r="AG27" s="284">
        <f>IF($T$2="2018年",'Offer Statistics'!FD27,IF($T$2="2019年",'Offer Statistics'!FD73,IF($T$2="2020年",'Offer Statistics'!FD119)))</f>
        <v>338</v>
      </c>
      <c r="AH27" s="175"/>
      <c r="AI27" s="338" t="str">
        <f t="shared" si="0"/>
        <v>JSSU68</v>
      </c>
    </row>
    <row r="28" spans="1:35" ht="18" customHeight="1">
      <c r="A28" s="175" t="s">
        <v>1914</v>
      </c>
      <c r="B28" s="175" t="s">
        <v>1182</v>
      </c>
      <c r="C28" s="175" t="s">
        <v>1146</v>
      </c>
      <c r="D28" s="175" t="s">
        <v>1915</v>
      </c>
      <c r="E28" s="377" t="s">
        <v>1156</v>
      </c>
      <c r="F28" s="243" t="s">
        <v>792</v>
      </c>
      <c r="G28" s="176">
        <v>16</v>
      </c>
      <c r="H28" s="176">
        <v>16</v>
      </c>
      <c r="I28" s="193">
        <f>計分版!D403</f>
        <v>1.9500000000000001E-9</v>
      </c>
      <c r="J28" s="188">
        <f>IF(J$1="差距(Median)",I28-G28,IF(J$1="差距(UQ)",I28-G28,IF(J$1="差距(LQ)",I28-H28)))</f>
        <v>-15.999999998050001</v>
      </c>
      <c r="K28" s="189">
        <f t="shared" ref="K28:K29" si="8">IF(J$1="差距(Median)",(I28-G28)/I28,IF(J$1="差距(UQ)",(I28-G28)/I28,IF(J$1="差距(LQ)",(I28-H28)/I28)))</f>
        <v>-8205128204.1282053</v>
      </c>
      <c r="L28" s="251">
        <v>30</v>
      </c>
      <c r="M28" s="381">
        <f>入學要求!S390</f>
        <v>0</v>
      </c>
      <c r="N28" s="371" t="s">
        <v>360</v>
      </c>
      <c r="O28" s="181">
        <v>3</v>
      </c>
      <c r="P28" s="181">
        <v>3</v>
      </c>
      <c r="Q28" s="181">
        <v>2</v>
      </c>
      <c r="R28" s="181">
        <v>2</v>
      </c>
      <c r="S28" s="181">
        <v>2</v>
      </c>
      <c r="T28" s="501"/>
      <c r="U28" s="333" t="str">
        <f>IF($T$2="2018年",'Offer Statistics'!FM28,IF($T$2="2019年",'Offer Statistics'!FM74,IF($T$2="2020年",'Offer Statistics'!FM120)))</f>
        <v>/</v>
      </c>
      <c r="V28" s="284" t="str">
        <f>IF($T$2="2018年",'Offer Statistics'!FH28,IF($T$2="2019年",'Offer Statistics'!FH74,IF($T$2="2020年",'Offer Statistics'!FH120)))</f>
        <v>/</v>
      </c>
      <c r="W28" s="284" t="str">
        <f>IF($T$2="2018年",'Offer Statistics'!FI28,IF($T$2="2019年",'Offer Statistics'!FI74,IF($T$2="2020年",'Offer Statistics'!FI120)))</f>
        <v>/</v>
      </c>
      <c r="X28" s="284" t="str">
        <f>IF($T$2="2018年",'Offer Statistics'!FJ28,IF($T$2="2019年",'Offer Statistics'!FJ74,IF($T$2="2020年",'Offer Statistics'!FJ120)))</f>
        <v>/</v>
      </c>
      <c r="Y28" s="284" t="str">
        <f>IF($T$2="2018年",'Offer Statistics'!FK28,IF($T$2="2019年",'Offer Statistics'!FK74,IF($T$2="2020年",'Offer Statistics'!FK120)))</f>
        <v>/</v>
      </c>
      <c r="Z28" s="284" t="str">
        <f>IF($T$2="2018年",'Offer Statistics'!FL28,IF($T$2="2019年",'Offer Statistics'!FL74,IF($T$2="2020年",'Offer Statistics'!FL120)))</f>
        <v>/</v>
      </c>
      <c r="AA28" s="513"/>
      <c r="AB28" s="333" t="str">
        <f>IF($T$2="2018年",'Offer Statistics'!FE28,IF($T$2="2019年",'Offer Statistics'!FE74,IF($T$2="2020年",'Offer Statistics'!FE120)))</f>
        <v>/</v>
      </c>
      <c r="AC28" s="284" t="str">
        <f>IF($T$2="2018年",'Offer Statistics'!EZ28,IF($T$2="2019年",'Offer Statistics'!EZ74,IF($T$2="2020年",'Offer Statistics'!EZ120)))</f>
        <v>/</v>
      </c>
      <c r="AD28" s="284" t="str">
        <f>IF($T$2="2018年",'Offer Statistics'!FA28,IF($T$2="2019年",'Offer Statistics'!FA74,IF($T$2="2020年",'Offer Statistics'!FA120)))</f>
        <v>/</v>
      </c>
      <c r="AE28" s="284" t="str">
        <f>IF($T$2="2018年",'Offer Statistics'!FB28,IF($T$2="2019年",'Offer Statistics'!FB74,IF($T$2="2020年",'Offer Statistics'!FB120)))</f>
        <v>/</v>
      </c>
      <c r="AF28" s="284" t="str">
        <f>IF($T$2="2018年",'Offer Statistics'!FC28,IF($T$2="2019年",'Offer Statistics'!FC74,IF($T$2="2020年",'Offer Statistics'!FC120)))</f>
        <v>/</v>
      </c>
      <c r="AG28" s="284" t="str">
        <f>IF($T$2="2018年",'Offer Statistics'!FD28,IF($T$2="2019年",'Offer Statistics'!FD74,IF($T$2="2020年",'Offer Statistics'!FD120)))</f>
        <v>/</v>
      </c>
      <c r="AH28" s="175"/>
      <c r="AI28" s="338" t="str">
        <f t="shared" si="0"/>
        <v>JSSU69</v>
      </c>
    </row>
    <row r="29" spans="1:35" ht="18" customHeight="1">
      <c r="A29" s="175" t="s">
        <v>1918</v>
      </c>
      <c r="B29" s="175" t="s">
        <v>1182</v>
      </c>
      <c r="C29" s="175" t="s">
        <v>1979</v>
      </c>
      <c r="D29" s="175" t="s">
        <v>1919</v>
      </c>
      <c r="E29" s="377" t="s">
        <v>1156</v>
      </c>
      <c r="F29" s="243" t="s">
        <v>792</v>
      </c>
      <c r="G29" s="176">
        <v>15</v>
      </c>
      <c r="H29" s="176">
        <v>14</v>
      </c>
      <c r="I29" s="193">
        <f>計分版!D404</f>
        <v>1.9500000000000001E-9</v>
      </c>
      <c r="J29" s="188">
        <f t="shared" ref="J29" si="9">IF(J$1="差距(Median)",I29-G29,IF(J$1="差距(UQ)",I29-G29,IF(J$1="差距(LQ)",I29-H29)))</f>
        <v>-14.999999998050001</v>
      </c>
      <c r="K29" s="189">
        <f t="shared" si="8"/>
        <v>-7692307691.3076925</v>
      </c>
      <c r="L29" s="251">
        <v>25</v>
      </c>
      <c r="M29" s="381">
        <f>入學要求!S391</f>
        <v>0</v>
      </c>
      <c r="N29" s="371" t="s">
        <v>360</v>
      </c>
      <c r="O29" s="181">
        <v>3</v>
      </c>
      <c r="P29" s="181">
        <v>3</v>
      </c>
      <c r="Q29" s="181">
        <v>2</v>
      </c>
      <c r="R29" s="181">
        <v>2</v>
      </c>
      <c r="S29" s="181">
        <v>2</v>
      </c>
      <c r="T29" s="501"/>
      <c r="U29" s="333" t="str">
        <f>IF($T$2="2018年",'Offer Statistics'!FM29,IF($T$2="2019年",'Offer Statistics'!FM75,IF($T$2="2020年",'Offer Statistics'!FM121)))</f>
        <v>/</v>
      </c>
      <c r="V29" s="284" t="str">
        <f>IF($T$2="2018年",'Offer Statistics'!FH29,IF($T$2="2019年",'Offer Statistics'!FH75,IF($T$2="2020年",'Offer Statistics'!FH121)))</f>
        <v>/</v>
      </c>
      <c r="W29" s="284" t="str">
        <f>IF($T$2="2018年",'Offer Statistics'!FI29,IF($T$2="2019年",'Offer Statistics'!FI75,IF($T$2="2020年",'Offer Statistics'!FI121)))</f>
        <v>/</v>
      </c>
      <c r="X29" s="284" t="str">
        <f>IF($T$2="2018年",'Offer Statistics'!FJ29,IF($T$2="2019年",'Offer Statistics'!FJ75,IF($T$2="2020年",'Offer Statistics'!FJ121)))</f>
        <v>/</v>
      </c>
      <c r="Y29" s="284" t="str">
        <f>IF($T$2="2018年",'Offer Statistics'!FK29,IF($T$2="2019年",'Offer Statistics'!FK75,IF($T$2="2020年",'Offer Statistics'!FK121)))</f>
        <v>/</v>
      </c>
      <c r="Z29" s="284" t="str">
        <f>IF($T$2="2018年",'Offer Statistics'!FL29,IF($T$2="2019年",'Offer Statistics'!FL75,IF($T$2="2020年",'Offer Statistics'!FL121)))</f>
        <v>/</v>
      </c>
      <c r="AA29" s="513"/>
      <c r="AB29" s="333" t="str">
        <f>IF($T$2="2018年",'Offer Statistics'!FE29,IF($T$2="2019年",'Offer Statistics'!FE75,IF($T$2="2020年",'Offer Statistics'!FE121)))</f>
        <v>/</v>
      </c>
      <c r="AC29" s="284" t="str">
        <f>IF($T$2="2018年",'Offer Statistics'!EZ29,IF($T$2="2019年",'Offer Statistics'!EZ75,IF($T$2="2020年",'Offer Statistics'!EZ121)))</f>
        <v>/</v>
      </c>
      <c r="AD29" s="284" t="str">
        <f>IF($T$2="2018年",'Offer Statistics'!FA29,IF($T$2="2019年",'Offer Statistics'!FA75,IF($T$2="2020年",'Offer Statistics'!FA121)))</f>
        <v>/</v>
      </c>
      <c r="AE29" s="284" t="str">
        <f>IF($T$2="2018年",'Offer Statistics'!FB29,IF($T$2="2019年",'Offer Statistics'!FB75,IF($T$2="2020年",'Offer Statistics'!FB121)))</f>
        <v>/</v>
      </c>
      <c r="AF29" s="284" t="str">
        <f>IF($T$2="2018年",'Offer Statistics'!FC29,IF($T$2="2019年",'Offer Statistics'!FC75,IF($T$2="2020年",'Offer Statistics'!FC121)))</f>
        <v>/</v>
      </c>
      <c r="AG29" s="284" t="str">
        <f>IF($T$2="2018年",'Offer Statistics'!FD29,IF($T$2="2019年",'Offer Statistics'!FD75,IF($T$2="2020年",'Offer Statistics'!FD121)))</f>
        <v>/</v>
      </c>
      <c r="AH29" s="175"/>
      <c r="AI29" s="338" t="str">
        <f t="shared" si="0"/>
        <v>JSSU70</v>
      </c>
    </row>
    <row r="30" spans="1:35" ht="18" customHeight="1">
      <c r="A30" s="5" t="s">
        <v>1196</v>
      </c>
      <c r="B30" s="5" t="s">
        <v>1182</v>
      </c>
      <c r="C30" s="5" t="s">
        <v>1197</v>
      </c>
      <c r="D30" s="5" t="s">
        <v>1922</v>
      </c>
      <c r="E30" s="338" t="s">
        <v>59</v>
      </c>
      <c r="F30" s="243" t="s">
        <v>792</v>
      </c>
      <c r="G30" s="176">
        <v>17</v>
      </c>
      <c r="H30" s="176">
        <v>16</v>
      </c>
      <c r="I30" s="71">
        <f>計分版!D405</f>
        <v>3.9500000000000006E-9</v>
      </c>
      <c r="J30" s="39">
        <f t="shared" si="4"/>
        <v>-16.999999996050001</v>
      </c>
      <c r="K30" s="40">
        <f t="shared" si="5"/>
        <v>-4303797467.3544302</v>
      </c>
      <c r="L30" s="251">
        <v>60</v>
      </c>
      <c r="M30" s="381">
        <f>入學要求!S392</f>
        <v>0</v>
      </c>
      <c r="N30" s="371" t="s">
        <v>360</v>
      </c>
      <c r="O30" s="82">
        <v>3</v>
      </c>
      <c r="P30" s="82">
        <v>3</v>
      </c>
      <c r="Q30" s="82">
        <v>2</v>
      </c>
      <c r="R30" s="82">
        <v>2</v>
      </c>
      <c r="S30" s="82">
        <v>2</v>
      </c>
      <c r="T30" s="501"/>
      <c r="U30" s="333">
        <f>IF($T$2="2018年",'Offer Statistics'!FM30,IF($T$2="2019年",'Offer Statistics'!FM76,IF($T$2="2020年",'Offer Statistics'!FM122)))</f>
        <v>41</v>
      </c>
      <c r="V30" s="284">
        <f>IF($T$2="2018年",'Offer Statistics'!FH30,IF($T$2="2019年",'Offer Statistics'!FH76,IF($T$2="2020年",'Offer Statistics'!FH122)))</f>
        <v>28</v>
      </c>
      <c r="W30" s="284">
        <f>IF($T$2="2018年",'Offer Statistics'!FI30,IF($T$2="2019年",'Offer Statistics'!FI76,IF($T$2="2020年",'Offer Statistics'!FI122)))</f>
        <v>8</v>
      </c>
      <c r="X30" s="284">
        <f>IF($T$2="2018年",'Offer Statistics'!FJ30,IF($T$2="2019年",'Offer Statistics'!FJ76,IF($T$2="2020年",'Offer Statistics'!FJ122)))</f>
        <v>3</v>
      </c>
      <c r="Y30" s="284">
        <f>IF($T$2="2018年",'Offer Statistics'!FK30,IF($T$2="2019年",'Offer Statistics'!FK76,IF($T$2="2020年",'Offer Statistics'!FK122)))</f>
        <v>1</v>
      </c>
      <c r="Z30" s="284">
        <f>IF($T$2="2018年",'Offer Statistics'!FL30,IF($T$2="2019年",'Offer Statistics'!FL76,IF($T$2="2020年",'Offer Statistics'!FL122)))</f>
        <v>1</v>
      </c>
      <c r="AA30" s="513"/>
      <c r="AB30" s="333">
        <f>IF($T$2="2018年",'Offer Statistics'!FE30,IF($T$2="2019年",'Offer Statistics'!FE76,IF($T$2="2020年",'Offer Statistics'!FE122)))</f>
        <v>1566</v>
      </c>
      <c r="AC30" s="284">
        <f>IF($T$2="2018年",'Offer Statistics'!EZ30,IF($T$2="2019年",'Offer Statistics'!EZ76,IF($T$2="2020年",'Offer Statistics'!EZ122)))</f>
        <v>170</v>
      </c>
      <c r="AD30" s="284">
        <f>IF($T$2="2018年",'Offer Statistics'!FA30,IF($T$2="2019年",'Offer Statistics'!FA76,IF($T$2="2020年",'Offer Statistics'!FA122)))</f>
        <v>264</v>
      </c>
      <c r="AE30" s="284">
        <f>IF($T$2="2018年",'Offer Statistics'!FB30,IF($T$2="2019年",'Offer Statistics'!FB76,IF($T$2="2020年",'Offer Statistics'!FB122)))</f>
        <v>311</v>
      </c>
      <c r="AF30" s="284">
        <f>IF($T$2="2018年",'Offer Statistics'!FC30,IF($T$2="2019年",'Offer Statistics'!FC76,IF($T$2="2020年",'Offer Statistics'!FC122)))</f>
        <v>368</v>
      </c>
      <c r="AG30" s="284">
        <f>IF($T$2="2018年",'Offer Statistics'!FD30,IF($T$2="2019年",'Offer Statistics'!FD76,IF($T$2="2020年",'Offer Statistics'!FD122)))</f>
        <v>453</v>
      </c>
      <c r="AH30" s="175"/>
      <c r="AI30" s="338" t="str">
        <f t="shared" si="0"/>
        <v>JSSU71</v>
      </c>
    </row>
    <row r="31" spans="1:35" ht="18" customHeight="1">
      <c r="A31" s="5" t="s">
        <v>1198</v>
      </c>
      <c r="B31" s="5" t="s">
        <v>1182</v>
      </c>
      <c r="C31" s="5" t="s">
        <v>1199</v>
      </c>
      <c r="D31" s="5" t="s">
        <v>1925</v>
      </c>
      <c r="E31" s="338" t="s">
        <v>59</v>
      </c>
      <c r="F31" s="243" t="s">
        <v>792</v>
      </c>
      <c r="G31" s="176">
        <v>16</v>
      </c>
      <c r="H31" s="176">
        <v>15</v>
      </c>
      <c r="I31" s="71">
        <f>計分版!D406</f>
        <v>3.9500000000000006E-9</v>
      </c>
      <c r="J31" s="39">
        <f t="shared" si="4"/>
        <v>-15.999999996050001</v>
      </c>
      <c r="K31" s="40">
        <f t="shared" si="5"/>
        <v>-4050632910.3924046</v>
      </c>
      <c r="L31" s="251">
        <v>80</v>
      </c>
      <c r="M31" s="381">
        <f>入學要求!S393</f>
        <v>0</v>
      </c>
      <c r="N31" s="371" t="s">
        <v>360</v>
      </c>
      <c r="O31" s="82">
        <v>3</v>
      </c>
      <c r="P31" s="82">
        <v>3</v>
      </c>
      <c r="Q31" s="82">
        <v>2</v>
      </c>
      <c r="R31" s="82">
        <v>2</v>
      </c>
      <c r="S31" s="82">
        <v>2</v>
      </c>
      <c r="T31" s="501"/>
      <c r="U31" s="333">
        <f>IF($T$2="2018年",'Offer Statistics'!FM31,IF($T$2="2019年",'Offer Statistics'!FM77,IF($T$2="2020年",'Offer Statistics'!FM123)))</f>
        <v>121</v>
      </c>
      <c r="V31" s="284">
        <f>IF($T$2="2018年",'Offer Statistics'!FH31,IF($T$2="2019年",'Offer Statistics'!FH77,IF($T$2="2020年",'Offer Statistics'!FH123)))</f>
        <v>64</v>
      </c>
      <c r="W31" s="284">
        <f>IF($T$2="2018年",'Offer Statistics'!FI31,IF($T$2="2019年",'Offer Statistics'!FI77,IF($T$2="2020年",'Offer Statistics'!FI123)))</f>
        <v>17</v>
      </c>
      <c r="X31" s="284">
        <f>IF($T$2="2018年",'Offer Statistics'!FJ31,IF($T$2="2019年",'Offer Statistics'!FJ77,IF($T$2="2020年",'Offer Statistics'!FJ123)))</f>
        <v>15</v>
      </c>
      <c r="Y31" s="284">
        <f>IF($T$2="2018年",'Offer Statistics'!FK31,IF($T$2="2019年",'Offer Statistics'!FK77,IF($T$2="2020年",'Offer Statistics'!FK123)))</f>
        <v>7</v>
      </c>
      <c r="Z31" s="284">
        <f>IF($T$2="2018年",'Offer Statistics'!FL31,IF($T$2="2019年",'Offer Statistics'!FL77,IF($T$2="2020年",'Offer Statistics'!FL123)))</f>
        <v>18</v>
      </c>
      <c r="AA31" s="513"/>
      <c r="AB31" s="333">
        <f>IF($T$2="2018年",'Offer Statistics'!FE31,IF($T$2="2019年",'Offer Statistics'!FE77,IF($T$2="2020年",'Offer Statistics'!FE123)))</f>
        <v>3018</v>
      </c>
      <c r="AC31" s="284">
        <f>IF($T$2="2018年",'Offer Statistics'!EZ31,IF($T$2="2019年",'Offer Statistics'!EZ77,IF($T$2="2020年",'Offer Statistics'!EZ123)))</f>
        <v>455</v>
      </c>
      <c r="AD31" s="284">
        <f>IF($T$2="2018年",'Offer Statistics'!FA31,IF($T$2="2019年",'Offer Statistics'!FA77,IF($T$2="2020年",'Offer Statistics'!FA123)))</f>
        <v>549</v>
      </c>
      <c r="AE31" s="284">
        <f>IF($T$2="2018年",'Offer Statistics'!FB31,IF($T$2="2019年",'Offer Statistics'!FB77,IF($T$2="2020年",'Offer Statistics'!FB123)))</f>
        <v>607</v>
      </c>
      <c r="AF31" s="284">
        <f>IF($T$2="2018年",'Offer Statistics'!FC31,IF($T$2="2019年",'Offer Statistics'!FC77,IF($T$2="2020年",'Offer Statistics'!FC123)))</f>
        <v>628</v>
      </c>
      <c r="AG31" s="284">
        <f>IF($T$2="2018年",'Offer Statistics'!FD31,IF($T$2="2019年",'Offer Statistics'!FD77,IF($T$2="2020年",'Offer Statistics'!FD123)))</f>
        <v>779</v>
      </c>
      <c r="AH31" s="175"/>
      <c r="AI31" s="338" t="str">
        <f t="shared" si="0"/>
        <v>JSSU90</v>
      </c>
    </row>
    <row r="32" spans="1:35" ht="18" customHeight="1">
      <c r="A32" s="5" t="s">
        <v>1200</v>
      </c>
      <c r="B32" s="5" t="s">
        <v>1182</v>
      </c>
      <c r="C32" s="5" t="s">
        <v>1201</v>
      </c>
      <c r="D32" s="5" t="s">
        <v>1928</v>
      </c>
      <c r="E32" s="338" t="s">
        <v>189</v>
      </c>
      <c r="F32" s="243" t="s">
        <v>792</v>
      </c>
      <c r="G32" s="176">
        <v>16</v>
      </c>
      <c r="H32" s="176">
        <v>15</v>
      </c>
      <c r="I32" s="71">
        <f>計分版!D407</f>
        <v>3.9500000000000006E-9</v>
      </c>
      <c r="J32" s="39">
        <f t="shared" si="4"/>
        <v>-15.999999996050001</v>
      </c>
      <c r="K32" s="40">
        <f t="shared" si="5"/>
        <v>-4050632910.3924046</v>
      </c>
      <c r="L32" s="251">
        <v>40</v>
      </c>
      <c r="M32" s="381">
        <f>入學要求!S394</f>
        <v>0</v>
      </c>
      <c r="N32" s="371" t="s">
        <v>360</v>
      </c>
      <c r="O32" s="82">
        <v>3</v>
      </c>
      <c r="P32" s="82">
        <v>3</v>
      </c>
      <c r="Q32" s="82">
        <v>2</v>
      </c>
      <c r="R32" s="82">
        <v>2</v>
      </c>
      <c r="S32" s="82">
        <v>2</v>
      </c>
      <c r="T32" s="501"/>
      <c r="U32" s="333">
        <f>IF($T$2="2018年",'Offer Statistics'!FM32,IF($T$2="2019年",'Offer Statistics'!FM78,IF($T$2="2020年",'Offer Statistics'!FM124)))</f>
        <v>112</v>
      </c>
      <c r="V32" s="284">
        <f>IF($T$2="2018年",'Offer Statistics'!FH32,IF($T$2="2019年",'Offer Statistics'!FH78,IF($T$2="2020年",'Offer Statistics'!FH124)))</f>
        <v>83</v>
      </c>
      <c r="W32" s="284">
        <f>IF($T$2="2018年",'Offer Statistics'!FI32,IF($T$2="2019年",'Offer Statistics'!FI78,IF($T$2="2020年",'Offer Statistics'!FI124)))</f>
        <v>14</v>
      </c>
      <c r="X32" s="284">
        <f>IF($T$2="2018年",'Offer Statistics'!FJ32,IF($T$2="2019年",'Offer Statistics'!FJ78,IF($T$2="2020年",'Offer Statistics'!FJ124)))</f>
        <v>8</v>
      </c>
      <c r="Y32" s="284">
        <f>IF($T$2="2018年",'Offer Statistics'!FK32,IF($T$2="2019年",'Offer Statistics'!FK78,IF($T$2="2020年",'Offer Statistics'!FK124)))</f>
        <v>3</v>
      </c>
      <c r="Z32" s="284">
        <f>IF($T$2="2018年",'Offer Statistics'!FL32,IF($T$2="2019年",'Offer Statistics'!FL78,IF($T$2="2020年",'Offer Statistics'!FL124)))</f>
        <v>4</v>
      </c>
      <c r="AA32" s="513"/>
      <c r="AB32" s="333">
        <f>IF($T$2="2018年",'Offer Statistics'!FE32,IF($T$2="2019年",'Offer Statistics'!FE78,IF($T$2="2020年",'Offer Statistics'!FE124)))</f>
        <v>2341</v>
      </c>
      <c r="AC32" s="284">
        <f>IF($T$2="2018年",'Offer Statistics'!EZ32,IF($T$2="2019年",'Offer Statistics'!EZ78,IF($T$2="2020年",'Offer Statistics'!EZ124)))</f>
        <v>476</v>
      </c>
      <c r="AD32" s="284">
        <f>IF($T$2="2018年",'Offer Statistics'!FA32,IF($T$2="2019年",'Offer Statistics'!FA78,IF($T$2="2020年",'Offer Statistics'!FA124)))</f>
        <v>491</v>
      </c>
      <c r="AE32" s="284">
        <f>IF($T$2="2018年",'Offer Statistics'!FB32,IF($T$2="2019年",'Offer Statistics'!FB78,IF($T$2="2020年",'Offer Statistics'!FB124)))</f>
        <v>416</v>
      </c>
      <c r="AF32" s="284">
        <f>IF($T$2="2018年",'Offer Statistics'!FC32,IF($T$2="2019年",'Offer Statistics'!FC78,IF($T$2="2020年",'Offer Statistics'!FC124)))</f>
        <v>424</v>
      </c>
      <c r="AG32" s="284">
        <f>IF($T$2="2018年",'Offer Statistics'!FD32,IF($T$2="2019年",'Offer Statistics'!FD78,IF($T$2="2020年",'Offer Statistics'!FD124)))</f>
        <v>534</v>
      </c>
      <c r="AH32" s="175"/>
      <c r="AI32" s="338" t="str">
        <f t="shared" si="0"/>
        <v>JSSU95</v>
      </c>
    </row>
    <row r="33" spans="1:35" ht="18" customHeight="1">
      <c r="A33" s="5" t="s">
        <v>1202</v>
      </c>
      <c r="B33" s="5" t="s">
        <v>1182</v>
      </c>
      <c r="C33" s="5" t="s">
        <v>1203</v>
      </c>
      <c r="D33" s="5" t="s">
        <v>1931</v>
      </c>
      <c r="E33" s="338" t="s">
        <v>189</v>
      </c>
      <c r="F33" s="243" t="s">
        <v>792</v>
      </c>
      <c r="G33" s="176">
        <v>18</v>
      </c>
      <c r="H33" s="176">
        <v>16</v>
      </c>
      <c r="I33" s="71">
        <f>計分版!D408</f>
        <v>3.9500000000000006E-9</v>
      </c>
      <c r="J33" s="39">
        <f t="shared" si="4"/>
        <v>-17.999999996050001</v>
      </c>
      <c r="K33" s="40">
        <f t="shared" si="5"/>
        <v>-4556962024.3164549</v>
      </c>
      <c r="L33" s="251">
        <v>40</v>
      </c>
      <c r="M33" s="381">
        <f>入學要求!S395</f>
        <v>0</v>
      </c>
      <c r="N33" s="371" t="s">
        <v>360</v>
      </c>
      <c r="O33" s="82">
        <v>3</v>
      </c>
      <c r="P33" s="82">
        <v>3</v>
      </c>
      <c r="Q33" s="82">
        <v>2</v>
      </c>
      <c r="R33" s="82">
        <v>2</v>
      </c>
      <c r="S33" s="82">
        <v>2</v>
      </c>
      <c r="T33" s="501"/>
      <c r="U33" s="333">
        <f>IF($T$2="2018年",'Offer Statistics'!FM33,IF($T$2="2019年",'Offer Statistics'!FM79,IF($T$2="2020年",'Offer Statistics'!FM125)))</f>
        <v>54</v>
      </c>
      <c r="V33" s="284">
        <f>IF($T$2="2018年",'Offer Statistics'!FH33,IF($T$2="2019年",'Offer Statistics'!FH79,IF($T$2="2020年",'Offer Statistics'!FH125)))</f>
        <v>23</v>
      </c>
      <c r="W33" s="284">
        <f>IF($T$2="2018年",'Offer Statistics'!FI33,IF($T$2="2019年",'Offer Statistics'!FI79,IF($T$2="2020年",'Offer Statistics'!FI125)))</f>
        <v>13</v>
      </c>
      <c r="X33" s="284">
        <f>IF($T$2="2018年",'Offer Statistics'!FJ33,IF($T$2="2019年",'Offer Statistics'!FJ79,IF($T$2="2020年",'Offer Statistics'!FJ125)))</f>
        <v>6</v>
      </c>
      <c r="Y33" s="284">
        <f>IF($T$2="2018年",'Offer Statistics'!FK33,IF($T$2="2019年",'Offer Statistics'!FK79,IF($T$2="2020年",'Offer Statistics'!FK125)))</f>
        <v>5</v>
      </c>
      <c r="Z33" s="284">
        <f>IF($T$2="2018年",'Offer Statistics'!FL33,IF($T$2="2019年",'Offer Statistics'!FL79,IF($T$2="2020年",'Offer Statistics'!FL125)))</f>
        <v>7</v>
      </c>
      <c r="AA33" s="513"/>
      <c r="AB33" s="333">
        <f>IF($T$2="2018年",'Offer Statistics'!FE33,IF($T$2="2019年",'Offer Statistics'!FE79,IF($T$2="2020年",'Offer Statistics'!FE125)))</f>
        <v>1730</v>
      </c>
      <c r="AC33" s="284">
        <f>IF($T$2="2018年",'Offer Statistics'!EZ33,IF($T$2="2019年",'Offer Statistics'!EZ79,IF($T$2="2020年",'Offer Statistics'!EZ125)))</f>
        <v>179</v>
      </c>
      <c r="AD33" s="284">
        <f>IF($T$2="2018年",'Offer Statistics'!FA33,IF($T$2="2019年",'Offer Statistics'!FA79,IF($T$2="2020年",'Offer Statistics'!FA125)))</f>
        <v>306</v>
      </c>
      <c r="AE33" s="284">
        <f>IF($T$2="2018年",'Offer Statistics'!FB33,IF($T$2="2019年",'Offer Statistics'!FB79,IF($T$2="2020年",'Offer Statistics'!FB125)))</f>
        <v>330</v>
      </c>
      <c r="AF33" s="284">
        <f>IF($T$2="2018年",'Offer Statistics'!FC33,IF($T$2="2019年",'Offer Statistics'!FC79,IF($T$2="2020年",'Offer Statistics'!FC125)))</f>
        <v>402</v>
      </c>
      <c r="AG33" s="284">
        <f>IF($T$2="2018年",'Offer Statistics'!FD33,IF($T$2="2019年",'Offer Statistics'!FD79,IF($T$2="2020年",'Offer Statistics'!FD125)))</f>
        <v>513</v>
      </c>
      <c r="AH33" s="175"/>
      <c r="AI33" s="338" t="str">
        <f t="shared" si="0"/>
        <v>JSSU96</v>
      </c>
    </row>
    <row r="34" spans="1:35" ht="18" customHeight="1">
      <c r="A34" s="5" t="s">
        <v>1204</v>
      </c>
      <c r="B34" s="5" t="s">
        <v>1182</v>
      </c>
      <c r="C34" s="5" t="s">
        <v>1205</v>
      </c>
      <c r="D34" s="5" t="s">
        <v>1934</v>
      </c>
      <c r="E34" s="338" t="s">
        <v>189</v>
      </c>
      <c r="F34" s="243" t="s">
        <v>792</v>
      </c>
      <c r="G34" s="176">
        <v>16</v>
      </c>
      <c r="H34" s="176">
        <v>15</v>
      </c>
      <c r="I34" s="71">
        <f>計分版!D409</f>
        <v>3.9500000000000006E-9</v>
      </c>
      <c r="J34" s="39">
        <f t="shared" si="4"/>
        <v>-15.999999996050001</v>
      </c>
      <c r="K34" s="40">
        <f t="shared" si="5"/>
        <v>-4050632910.3924046</v>
      </c>
      <c r="L34" s="251">
        <v>50</v>
      </c>
      <c r="M34" s="381">
        <f>入學要求!S396</f>
        <v>0</v>
      </c>
      <c r="N34" s="371" t="s">
        <v>360</v>
      </c>
      <c r="O34" s="82">
        <v>3</v>
      </c>
      <c r="P34" s="82">
        <v>3</v>
      </c>
      <c r="Q34" s="82">
        <v>2</v>
      </c>
      <c r="R34" s="82">
        <v>2</v>
      </c>
      <c r="S34" s="82">
        <v>2</v>
      </c>
      <c r="T34" s="501"/>
      <c r="U34" s="333">
        <f>IF($T$2="2018年",'Offer Statistics'!FM34,IF($T$2="2019年",'Offer Statistics'!FM80,IF($T$2="2020年",'Offer Statistics'!FM126)))</f>
        <v>84</v>
      </c>
      <c r="V34" s="284">
        <f>IF($T$2="2018年",'Offer Statistics'!FH34,IF($T$2="2019年",'Offer Statistics'!FH80,IF($T$2="2020年",'Offer Statistics'!FH126)))</f>
        <v>34</v>
      </c>
      <c r="W34" s="284">
        <f>IF($T$2="2018年",'Offer Statistics'!FI34,IF($T$2="2019年",'Offer Statistics'!FI80,IF($T$2="2020年",'Offer Statistics'!FI126)))</f>
        <v>19</v>
      </c>
      <c r="X34" s="284">
        <f>IF($T$2="2018年",'Offer Statistics'!FJ34,IF($T$2="2019年",'Offer Statistics'!FJ80,IF($T$2="2020年",'Offer Statistics'!FJ126)))</f>
        <v>11</v>
      </c>
      <c r="Y34" s="284">
        <f>IF($T$2="2018年",'Offer Statistics'!FK34,IF($T$2="2019年",'Offer Statistics'!FK80,IF($T$2="2020年",'Offer Statistics'!FK126)))</f>
        <v>5</v>
      </c>
      <c r="Z34" s="284">
        <f>IF($T$2="2018年",'Offer Statistics'!FL34,IF($T$2="2019年",'Offer Statistics'!FL80,IF($T$2="2020年",'Offer Statistics'!FL126)))</f>
        <v>15</v>
      </c>
      <c r="AA34" s="513"/>
      <c r="AB34" s="333">
        <f>IF($T$2="2018年",'Offer Statistics'!FE34,IF($T$2="2019年",'Offer Statistics'!FE80,IF($T$2="2020年",'Offer Statistics'!FE126)))</f>
        <v>2443</v>
      </c>
      <c r="AC34" s="284">
        <f>IF($T$2="2018年",'Offer Statistics'!EZ34,IF($T$2="2019年",'Offer Statistics'!EZ80,IF($T$2="2020年",'Offer Statistics'!EZ126)))</f>
        <v>226</v>
      </c>
      <c r="AD34" s="284">
        <f>IF($T$2="2018年",'Offer Statistics'!FA34,IF($T$2="2019年",'Offer Statistics'!FA80,IF($T$2="2020年",'Offer Statistics'!FA126)))</f>
        <v>429</v>
      </c>
      <c r="AE34" s="284">
        <f>IF($T$2="2018年",'Offer Statistics'!FB34,IF($T$2="2019年",'Offer Statistics'!FB80,IF($T$2="2020年",'Offer Statistics'!FB126)))</f>
        <v>510</v>
      </c>
      <c r="AF34" s="284">
        <f>IF($T$2="2018年",'Offer Statistics'!FC34,IF($T$2="2019年",'Offer Statistics'!FC80,IF($T$2="2020年",'Offer Statistics'!FC126)))</f>
        <v>544</v>
      </c>
      <c r="AG34" s="284">
        <f>IF($T$2="2018年",'Offer Statistics'!FD34,IF($T$2="2019年",'Offer Statistics'!FD80,IF($T$2="2020年",'Offer Statistics'!FD126)))</f>
        <v>734</v>
      </c>
      <c r="AH34" s="175"/>
      <c r="AI34" s="338" t="str">
        <f t="shared" si="0"/>
        <v>JSSU97</v>
      </c>
    </row>
    <row r="35" spans="1:35" ht="18" customHeight="1">
      <c r="A35" s="5" t="s">
        <v>1206</v>
      </c>
      <c r="B35" s="5" t="s">
        <v>1243</v>
      </c>
      <c r="C35" s="5" t="s">
        <v>1207</v>
      </c>
      <c r="D35" s="5" t="s">
        <v>1937</v>
      </c>
      <c r="E35" s="338" t="s">
        <v>189</v>
      </c>
      <c r="F35" s="243" t="s">
        <v>792</v>
      </c>
      <c r="G35" s="67">
        <v>16</v>
      </c>
      <c r="H35" s="176" t="s">
        <v>792</v>
      </c>
      <c r="I35" s="71">
        <f>計分版!D410</f>
        <v>3.9500000000000006E-9</v>
      </c>
      <c r="J35" s="39">
        <f t="shared" ref="J35:J40" si="10">I35-G35</f>
        <v>-15.999999996050001</v>
      </c>
      <c r="K35" s="40">
        <f t="shared" ref="K35:K40" si="11">(I35-G35)/I35</f>
        <v>-4050632910.3924046</v>
      </c>
      <c r="L35" s="251">
        <v>50</v>
      </c>
      <c r="M35" s="381">
        <f>入學要求!S397</f>
        <v>0</v>
      </c>
      <c r="N35" s="371" t="s">
        <v>2234</v>
      </c>
      <c r="O35" s="82">
        <v>3</v>
      </c>
      <c r="P35" s="82">
        <v>3</v>
      </c>
      <c r="Q35" s="82">
        <v>2</v>
      </c>
      <c r="R35" s="82">
        <v>2</v>
      </c>
      <c r="S35" s="82">
        <v>2</v>
      </c>
      <c r="T35" s="501"/>
      <c r="U35" s="333">
        <f>IF($T$2="2018年",'Offer Statistics'!FM35,IF($T$2="2019年",'Offer Statistics'!FM81,IF($T$2="2020年",'Offer Statistics'!FM127)))</f>
        <v>56</v>
      </c>
      <c r="V35" s="284">
        <f>IF($T$2="2018年",'Offer Statistics'!FH35,IF($T$2="2019年",'Offer Statistics'!FH81,IF($T$2="2020年",'Offer Statistics'!FH127)))</f>
        <v>36</v>
      </c>
      <c r="W35" s="284">
        <f>IF($T$2="2018年",'Offer Statistics'!FI35,IF($T$2="2019年",'Offer Statistics'!FI81,IF($T$2="2020年",'Offer Statistics'!FI127)))</f>
        <v>5</v>
      </c>
      <c r="X35" s="284">
        <f>IF($T$2="2018年",'Offer Statistics'!FJ35,IF($T$2="2019年",'Offer Statistics'!FJ81,IF($T$2="2020年",'Offer Statistics'!FJ127)))</f>
        <v>6</v>
      </c>
      <c r="Y35" s="284">
        <f>IF($T$2="2018年",'Offer Statistics'!FK35,IF($T$2="2019年",'Offer Statistics'!FK81,IF($T$2="2020年",'Offer Statistics'!FK127)))</f>
        <v>6</v>
      </c>
      <c r="Z35" s="284">
        <f>IF($T$2="2018年",'Offer Statistics'!FL35,IF($T$2="2019年",'Offer Statistics'!FL81,IF($T$2="2020年",'Offer Statistics'!FL127)))</f>
        <v>3</v>
      </c>
      <c r="AA35" s="513"/>
      <c r="AB35" s="333">
        <f>IF($T$2="2018年",'Offer Statistics'!FE35,IF($T$2="2019年",'Offer Statistics'!FE81,IF($T$2="2020年",'Offer Statistics'!FE127)))</f>
        <v>1822</v>
      </c>
      <c r="AC35" s="284">
        <f>IF($T$2="2018年",'Offer Statistics'!EZ35,IF($T$2="2019年",'Offer Statistics'!EZ81,IF($T$2="2020年",'Offer Statistics'!EZ127)))</f>
        <v>319</v>
      </c>
      <c r="AD35" s="284">
        <f>IF($T$2="2018年",'Offer Statistics'!FA35,IF($T$2="2019年",'Offer Statistics'!FA81,IF($T$2="2020年",'Offer Statistics'!FA127)))</f>
        <v>301</v>
      </c>
      <c r="AE35" s="284">
        <f>IF($T$2="2018年",'Offer Statistics'!FB35,IF($T$2="2019年",'Offer Statistics'!FB81,IF($T$2="2020年",'Offer Statistics'!FB127)))</f>
        <v>359</v>
      </c>
      <c r="AF35" s="284">
        <f>IF($T$2="2018年",'Offer Statistics'!FC35,IF($T$2="2019年",'Offer Statistics'!FC81,IF($T$2="2020年",'Offer Statistics'!FC127)))</f>
        <v>374</v>
      </c>
      <c r="AG35" s="284">
        <f>IF($T$2="2018年",'Offer Statistics'!FD35,IF($T$2="2019年",'Offer Statistics'!FD81,IF($T$2="2020年",'Offer Statistics'!FD127)))</f>
        <v>469</v>
      </c>
      <c r="AH35" s="175"/>
      <c r="AI35" s="338" t="str">
        <f t="shared" si="0"/>
        <v>JSSV01</v>
      </c>
    </row>
    <row r="36" spans="1:35" ht="18" customHeight="1">
      <c r="A36" s="5" t="s">
        <v>1208</v>
      </c>
      <c r="B36" s="5" t="s">
        <v>1243</v>
      </c>
      <c r="C36" s="5" t="s">
        <v>1209</v>
      </c>
      <c r="D36" s="5" t="s">
        <v>1940</v>
      </c>
      <c r="E36" s="338" t="s">
        <v>1155</v>
      </c>
      <c r="F36" s="243" t="s">
        <v>792</v>
      </c>
      <c r="G36" s="67">
        <v>17</v>
      </c>
      <c r="H36" s="176" t="s">
        <v>792</v>
      </c>
      <c r="I36" s="71">
        <f>計分版!D411</f>
        <v>1.9500000000000001E-9</v>
      </c>
      <c r="J36" s="39">
        <f t="shared" si="10"/>
        <v>-16.999999998050001</v>
      </c>
      <c r="K36" s="40">
        <f t="shared" si="11"/>
        <v>-8717948716.9487171</v>
      </c>
      <c r="L36" s="251">
        <v>45</v>
      </c>
      <c r="M36" s="381">
        <f>入學要求!S398</f>
        <v>0</v>
      </c>
      <c r="N36" s="379" t="s">
        <v>2234</v>
      </c>
      <c r="O36" s="82">
        <v>3</v>
      </c>
      <c r="P36" s="82">
        <v>3</v>
      </c>
      <c r="Q36" s="82">
        <v>2</v>
      </c>
      <c r="R36" s="82">
        <v>2</v>
      </c>
      <c r="S36" s="82">
        <v>2</v>
      </c>
      <c r="T36" s="501"/>
      <c r="U36" s="333">
        <f>IF($T$2="2018年",'Offer Statistics'!FM36,IF($T$2="2019年",'Offer Statistics'!FM82,IF($T$2="2020年",'Offer Statistics'!FM128)))</f>
        <v>45</v>
      </c>
      <c r="V36" s="284">
        <f>IF($T$2="2018年",'Offer Statistics'!FH36,IF($T$2="2019年",'Offer Statistics'!FH82,IF($T$2="2020年",'Offer Statistics'!FH128)))</f>
        <v>21</v>
      </c>
      <c r="W36" s="284">
        <f>IF($T$2="2018年",'Offer Statistics'!FI36,IF($T$2="2019年",'Offer Statistics'!FI82,IF($T$2="2020年",'Offer Statistics'!FI128)))</f>
        <v>8</v>
      </c>
      <c r="X36" s="284">
        <f>IF($T$2="2018年",'Offer Statistics'!FJ36,IF($T$2="2019年",'Offer Statistics'!FJ82,IF($T$2="2020年",'Offer Statistics'!FJ128)))</f>
        <v>5</v>
      </c>
      <c r="Y36" s="284">
        <f>IF($T$2="2018年",'Offer Statistics'!FK36,IF($T$2="2019年",'Offer Statistics'!FK82,IF($T$2="2020年",'Offer Statistics'!FK128)))</f>
        <v>4</v>
      </c>
      <c r="Z36" s="284">
        <f>IF($T$2="2018年",'Offer Statistics'!FL36,IF($T$2="2019年",'Offer Statistics'!FL82,IF($T$2="2020年",'Offer Statistics'!FL128)))</f>
        <v>7</v>
      </c>
      <c r="AA36" s="513"/>
      <c r="AB36" s="333">
        <f>IF($T$2="2018年",'Offer Statistics'!FE36,IF($T$2="2019年",'Offer Statistics'!FE82,IF($T$2="2020年",'Offer Statistics'!FE128)))</f>
        <v>2141</v>
      </c>
      <c r="AC36" s="284">
        <f>IF($T$2="2018年",'Offer Statistics'!EZ36,IF($T$2="2019年",'Offer Statistics'!EZ82,IF($T$2="2020年",'Offer Statistics'!EZ128)))</f>
        <v>285</v>
      </c>
      <c r="AD36" s="284">
        <f>IF($T$2="2018年",'Offer Statistics'!FA36,IF($T$2="2019年",'Offer Statistics'!FA82,IF($T$2="2020年",'Offer Statistics'!FA128)))</f>
        <v>364</v>
      </c>
      <c r="AE36" s="284">
        <f>IF($T$2="2018年",'Offer Statistics'!FB36,IF($T$2="2019年",'Offer Statistics'!FB82,IF($T$2="2020年",'Offer Statistics'!FB128)))</f>
        <v>460</v>
      </c>
      <c r="AF36" s="284">
        <f>IF($T$2="2018年",'Offer Statistics'!FC36,IF($T$2="2019年",'Offer Statistics'!FC82,IF($T$2="2020年",'Offer Statistics'!FC128)))</f>
        <v>458</v>
      </c>
      <c r="AG36" s="284">
        <f>IF($T$2="2018年",'Offer Statistics'!FD36,IF($T$2="2019年",'Offer Statistics'!FD82,IF($T$2="2020年",'Offer Statistics'!FD128)))</f>
        <v>574</v>
      </c>
      <c r="AH36" s="175"/>
      <c r="AI36" s="338" t="str">
        <f t="shared" si="0"/>
        <v>JSSV02</v>
      </c>
    </row>
    <row r="37" spans="1:35" ht="18" customHeight="1">
      <c r="A37" s="5" t="s">
        <v>1210</v>
      </c>
      <c r="B37" s="5" t="s">
        <v>1243</v>
      </c>
      <c r="C37" s="5" t="s">
        <v>1211</v>
      </c>
      <c r="D37" s="5" t="s">
        <v>1943</v>
      </c>
      <c r="E37" s="338" t="s">
        <v>1155</v>
      </c>
      <c r="F37" s="243" t="s">
        <v>792</v>
      </c>
      <c r="G37" s="67">
        <v>17</v>
      </c>
      <c r="H37" s="176" t="s">
        <v>792</v>
      </c>
      <c r="I37" s="71">
        <f>計分版!D412</f>
        <v>1.9500000000000001E-9</v>
      </c>
      <c r="J37" s="39">
        <f t="shared" si="10"/>
        <v>-16.999999998050001</v>
      </c>
      <c r="K37" s="40">
        <f t="shared" si="11"/>
        <v>-8717948716.9487171</v>
      </c>
      <c r="L37" s="251">
        <v>40</v>
      </c>
      <c r="M37" s="381">
        <f>入學要求!S399</f>
        <v>0</v>
      </c>
      <c r="N37" s="379" t="s">
        <v>2234</v>
      </c>
      <c r="O37" s="82">
        <v>3</v>
      </c>
      <c r="P37" s="82">
        <v>3</v>
      </c>
      <c r="Q37" s="82">
        <v>2</v>
      </c>
      <c r="R37" s="82">
        <v>2</v>
      </c>
      <c r="S37" s="82">
        <v>2</v>
      </c>
      <c r="T37" s="501"/>
      <c r="U37" s="333">
        <f>IF($T$2="2018年",'Offer Statistics'!FM37,IF($T$2="2019年",'Offer Statistics'!FM83,IF($T$2="2020年",'Offer Statistics'!FM129)))</f>
        <v>25</v>
      </c>
      <c r="V37" s="284">
        <f>IF($T$2="2018年",'Offer Statistics'!FH37,IF($T$2="2019年",'Offer Statistics'!FH83,IF($T$2="2020年",'Offer Statistics'!FH129)))</f>
        <v>17</v>
      </c>
      <c r="W37" s="284">
        <f>IF($T$2="2018年",'Offer Statistics'!FI37,IF($T$2="2019年",'Offer Statistics'!FI83,IF($T$2="2020年",'Offer Statistics'!FI129)))</f>
        <v>2</v>
      </c>
      <c r="X37" s="284">
        <f>IF($T$2="2018年",'Offer Statistics'!FJ37,IF($T$2="2019年",'Offer Statistics'!FJ83,IF($T$2="2020年",'Offer Statistics'!FJ129)))</f>
        <v>3</v>
      </c>
      <c r="Y37" s="284">
        <f>IF($T$2="2018年",'Offer Statistics'!FK37,IF($T$2="2019年",'Offer Statistics'!FK83,IF($T$2="2020年",'Offer Statistics'!FK129)))</f>
        <v>0</v>
      </c>
      <c r="Z37" s="284">
        <f>IF($T$2="2018年",'Offer Statistics'!FL37,IF($T$2="2019年",'Offer Statistics'!FL83,IF($T$2="2020年",'Offer Statistics'!FL129)))</f>
        <v>3</v>
      </c>
      <c r="AA37" s="513"/>
      <c r="AB37" s="333">
        <f>IF($T$2="2018年",'Offer Statistics'!FE37,IF($T$2="2019年",'Offer Statistics'!FE83,IF($T$2="2020年",'Offer Statistics'!FE129)))</f>
        <v>1022</v>
      </c>
      <c r="AC37" s="284">
        <f>IF($T$2="2018年",'Offer Statistics'!EZ37,IF($T$2="2019年",'Offer Statistics'!EZ83,IF($T$2="2020年",'Offer Statistics'!EZ129)))</f>
        <v>101</v>
      </c>
      <c r="AD37" s="284">
        <f>IF($T$2="2018年",'Offer Statistics'!FA37,IF($T$2="2019年",'Offer Statistics'!FA83,IF($T$2="2020年",'Offer Statistics'!FA129)))</f>
        <v>164</v>
      </c>
      <c r="AE37" s="284">
        <f>IF($T$2="2018年",'Offer Statistics'!FB37,IF($T$2="2019年",'Offer Statistics'!FB83,IF($T$2="2020年",'Offer Statistics'!FB129)))</f>
        <v>206</v>
      </c>
      <c r="AF37" s="284">
        <f>IF($T$2="2018年",'Offer Statistics'!FC37,IF($T$2="2019年",'Offer Statistics'!FC83,IF($T$2="2020年",'Offer Statistics'!FC129)))</f>
        <v>213</v>
      </c>
      <c r="AG37" s="284">
        <f>IF($T$2="2018年",'Offer Statistics'!FD37,IF($T$2="2019年",'Offer Statistics'!FD83,IF($T$2="2020年",'Offer Statistics'!FD129)))</f>
        <v>338</v>
      </c>
      <c r="AH37" s="175"/>
      <c r="AI37" s="338" t="str">
        <f t="shared" si="0"/>
        <v>JSSV03</v>
      </c>
    </row>
    <row r="38" spans="1:35" ht="18" customHeight="1">
      <c r="A38" s="5" t="s">
        <v>1212</v>
      </c>
      <c r="B38" s="5" t="s">
        <v>1243</v>
      </c>
      <c r="C38" s="5" t="s">
        <v>1213</v>
      </c>
      <c r="D38" s="5" t="s">
        <v>1946</v>
      </c>
      <c r="E38" s="338" t="s">
        <v>1155</v>
      </c>
      <c r="F38" s="243" t="s">
        <v>792</v>
      </c>
      <c r="G38" s="67">
        <v>15</v>
      </c>
      <c r="H38" s="176" t="s">
        <v>792</v>
      </c>
      <c r="I38" s="71">
        <f>計分版!D413</f>
        <v>1.9500000000000001E-9</v>
      </c>
      <c r="J38" s="39">
        <f t="shared" si="10"/>
        <v>-14.999999998050001</v>
      </c>
      <c r="K38" s="40">
        <f t="shared" si="11"/>
        <v>-7692307691.3076925</v>
      </c>
      <c r="L38" s="251">
        <v>30</v>
      </c>
      <c r="M38" s="381">
        <f>入學要求!S400</f>
        <v>0</v>
      </c>
      <c r="N38" s="379" t="s">
        <v>2234</v>
      </c>
      <c r="O38" s="82">
        <v>3</v>
      </c>
      <c r="P38" s="82">
        <v>3</v>
      </c>
      <c r="Q38" s="82">
        <v>2</v>
      </c>
      <c r="R38" s="82">
        <v>2</v>
      </c>
      <c r="S38" s="82">
        <v>2</v>
      </c>
      <c r="T38" s="501"/>
      <c r="U38" s="333">
        <f>IF($T$2="2018年",'Offer Statistics'!FM38,IF($T$2="2019年",'Offer Statistics'!FM84,IF($T$2="2020年",'Offer Statistics'!FM130)))</f>
        <v>37</v>
      </c>
      <c r="V38" s="284">
        <f>IF($T$2="2018年",'Offer Statistics'!FH38,IF($T$2="2019年",'Offer Statistics'!FH84,IF($T$2="2020年",'Offer Statistics'!FH130)))</f>
        <v>19</v>
      </c>
      <c r="W38" s="284">
        <f>IF($T$2="2018年",'Offer Statistics'!FI38,IF($T$2="2019年",'Offer Statistics'!FI84,IF($T$2="2020年",'Offer Statistics'!FI130)))</f>
        <v>6</v>
      </c>
      <c r="X38" s="284">
        <f>IF($T$2="2018年",'Offer Statistics'!FJ38,IF($T$2="2019年",'Offer Statistics'!FJ84,IF($T$2="2020年",'Offer Statistics'!FJ130)))</f>
        <v>6</v>
      </c>
      <c r="Y38" s="284">
        <f>IF($T$2="2018年",'Offer Statistics'!FK38,IF($T$2="2019年",'Offer Statistics'!FK84,IF($T$2="2020年",'Offer Statistics'!FK130)))</f>
        <v>2</v>
      </c>
      <c r="Z38" s="284">
        <f>IF($T$2="2018年",'Offer Statistics'!FL38,IF($T$2="2019年",'Offer Statistics'!FL84,IF($T$2="2020年",'Offer Statistics'!FL130)))</f>
        <v>4</v>
      </c>
      <c r="AA38" s="513"/>
      <c r="AB38" s="333">
        <f>IF($T$2="2018年",'Offer Statistics'!FE38,IF($T$2="2019年",'Offer Statistics'!FE84,IF($T$2="2020年",'Offer Statistics'!FE130)))</f>
        <v>1941</v>
      </c>
      <c r="AC38" s="284">
        <f>IF($T$2="2018年",'Offer Statistics'!EZ38,IF($T$2="2019年",'Offer Statistics'!EZ84,IF($T$2="2020年",'Offer Statistics'!EZ130)))</f>
        <v>349</v>
      </c>
      <c r="AD38" s="284">
        <f>IF($T$2="2018年",'Offer Statistics'!FA38,IF($T$2="2019年",'Offer Statistics'!FA84,IF($T$2="2020年",'Offer Statistics'!FA130)))</f>
        <v>265</v>
      </c>
      <c r="AE38" s="284">
        <f>IF($T$2="2018年",'Offer Statistics'!FB38,IF($T$2="2019年",'Offer Statistics'!FB84,IF($T$2="2020年",'Offer Statistics'!FB130)))</f>
        <v>334</v>
      </c>
      <c r="AF38" s="284">
        <f>IF($T$2="2018年",'Offer Statistics'!FC38,IF($T$2="2019年",'Offer Statistics'!FC84,IF($T$2="2020年",'Offer Statistics'!FC130)))</f>
        <v>424</v>
      </c>
      <c r="AG38" s="284">
        <f>IF($T$2="2018年",'Offer Statistics'!FD38,IF($T$2="2019年",'Offer Statistics'!FD84,IF($T$2="2020年",'Offer Statistics'!FD130)))</f>
        <v>569</v>
      </c>
      <c r="AH38" s="175"/>
      <c r="AI38" s="338" t="str">
        <f t="shared" si="0"/>
        <v>JSSV04</v>
      </c>
    </row>
    <row r="39" spans="1:35" ht="18" customHeight="1">
      <c r="A39" s="5" t="s">
        <v>1214</v>
      </c>
      <c r="B39" s="5" t="s">
        <v>1243</v>
      </c>
      <c r="C39" s="5" t="s">
        <v>1215</v>
      </c>
      <c r="D39" s="5" t="s">
        <v>1949</v>
      </c>
      <c r="E39" s="338" t="s">
        <v>1155</v>
      </c>
      <c r="F39" s="243" t="s">
        <v>792</v>
      </c>
      <c r="G39" s="67">
        <v>17</v>
      </c>
      <c r="H39" s="176" t="s">
        <v>792</v>
      </c>
      <c r="I39" s="71">
        <f>計分版!D414</f>
        <v>1.9500000000000001E-9</v>
      </c>
      <c r="J39" s="39">
        <f t="shared" si="10"/>
        <v>-16.999999998050001</v>
      </c>
      <c r="K39" s="40">
        <f t="shared" si="11"/>
        <v>-8717948716.9487171</v>
      </c>
      <c r="L39" s="251">
        <v>50</v>
      </c>
      <c r="M39" s="381">
        <f>入學要求!S401</f>
        <v>0</v>
      </c>
      <c r="N39" s="379" t="s">
        <v>2234</v>
      </c>
      <c r="O39" s="82">
        <v>3</v>
      </c>
      <c r="P39" s="82">
        <v>3</v>
      </c>
      <c r="Q39" s="82">
        <v>2</v>
      </c>
      <c r="R39" s="82">
        <v>2</v>
      </c>
      <c r="S39" s="82">
        <v>2</v>
      </c>
      <c r="T39" s="501"/>
      <c r="U39" s="333">
        <f>IF($T$2="2018年",'Offer Statistics'!FM39,IF($T$2="2019年",'Offer Statistics'!FM85,IF($T$2="2020年",'Offer Statistics'!FM131)))</f>
        <v>29</v>
      </c>
      <c r="V39" s="284">
        <f>IF($T$2="2018年",'Offer Statistics'!FH39,IF($T$2="2019年",'Offer Statistics'!FH85,IF($T$2="2020年",'Offer Statistics'!FH131)))</f>
        <v>18</v>
      </c>
      <c r="W39" s="284">
        <f>IF($T$2="2018年",'Offer Statistics'!FI39,IF($T$2="2019年",'Offer Statistics'!FI85,IF($T$2="2020年",'Offer Statistics'!FI131)))</f>
        <v>6</v>
      </c>
      <c r="X39" s="284">
        <f>IF($T$2="2018年",'Offer Statistics'!FJ39,IF($T$2="2019年",'Offer Statistics'!FJ85,IF($T$2="2020年",'Offer Statistics'!FJ131)))</f>
        <v>2</v>
      </c>
      <c r="Y39" s="284">
        <f>IF($T$2="2018年",'Offer Statistics'!FK39,IF($T$2="2019年",'Offer Statistics'!FK85,IF($T$2="2020年",'Offer Statistics'!FK131)))</f>
        <v>2</v>
      </c>
      <c r="Z39" s="284">
        <f>IF($T$2="2018年",'Offer Statistics'!FL39,IF($T$2="2019年",'Offer Statistics'!FL85,IF($T$2="2020年",'Offer Statistics'!FL131)))</f>
        <v>1</v>
      </c>
      <c r="AA39" s="513"/>
      <c r="AB39" s="333">
        <f>IF($T$2="2018年",'Offer Statistics'!FE39,IF($T$2="2019年",'Offer Statistics'!FE85,IF($T$2="2020年",'Offer Statistics'!FE131)))</f>
        <v>1300</v>
      </c>
      <c r="AC39" s="284">
        <f>IF($T$2="2018年",'Offer Statistics'!EZ39,IF($T$2="2019年",'Offer Statistics'!EZ85,IF($T$2="2020年",'Offer Statistics'!EZ131)))</f>
        <v>145</v>
      </c>
      <c r="AD39" s="284">
        <f>IF($T$2="2018年",'Offer Statistics'!FA39,IF($T$2="2019年",'Offer Statistics'!FA85,IF($T$2="2020年",'Offer Statistics'!FA131)))</f>
        <v>207</v>
      </c>
      <c r="AE39" s="284">
        <f>IF($T$2="2018年",'Offer Statistics'!FB39,IF($T$2="2019年",'Offer Statistics'!FB85,IF($T$2="2020年",'Offer Statistics'!FB131)))</f>
        <v>235</v>
      </c>
      <c r="AF39" s="284">
        <f>IF($T$2="2018年",'Offer Statistics'!FC39,IF($T$2="2019年",'Offer Statistics'!FC85,IF($T$2="2020年",'Offer Statistics'!FC131)))</f>
        <v>308</v>
      </c>
      <c r="AG39" s="284">
        <f>IF($T$2="2018年",'Offer Statistics'!FD39,IF($T$2="2019年",'Offer Statistics'!FD85,IF($T$2="2020年",'Offer Statistics'!FD131)))</f>
        <v>405</v>
      </c>
      <c r="AH39" s="175"/>
      <c r="AI39" s="338" t="str">
        <f t="shared" si="0"/>
        <v>JSSV05</v>
      </c>
    </row>
    <row r="40" spans="1:35" ht="18" customHeight="1">
      <c r="A40" s="5" t="s">
        <v>1216</v>
      </c>
      <c r="B40" s="5" t="s">
        <v>1243</v>
      </c>
      <c r="C40" s="5" t="s">
        <v>1217</v>
      </c>
      <c r="D40" s="5" t="s">
        <v>1952</v>
      </c>
      <c r="E40" s="338" t="s">
        <v>1155</v>
      </c>
      <c r="F40" s="243" t="s">
        <v>792</v>
      </c>
      <c r="G40" s="67">
        <v>19</v>
      </c>
      <c r="H40" s="176" t="s">
        <v>792</v>
      </c>
      <c r="I40" s="71">
        <f>計分版!D415</f>
        <v>1.9500000000000001E-9</v>
      </c>
      <c r="J40" s="39">
        <f t="shared" si="10"/>
        <v>-18.999999998050001</v>
      </c>
      <c r="K40" s="40">
        <f t="shared" si="11"/>
        <v>-9743589742.5897427</v>
      </c>
      <c r="L40" s="251">
        <v>50</v>
      </c>
      <c r="M40" s="381">
        <f>入學要求!S402</f>
        <v>0</v>
      </c>
      <c r="N40" s="379" t="s">
        <v>2234</v>
      </c>
      <c r="O40" s="82">
        <v>3</v>
      </c>
      <c r="P40" s="82">
        <v>3</v>
      </c>
      <c r="Q40" s="82">
        <v>2</v>
      </c>
      <c r="R40" s="82">
        <v>2</v>
      </c>
      <c r="S40" s="82">
        <v>2</v>
      </c>
      <c r="T40" s="501"/>
      <c r="U40" s="333">
        <f>IF($T$2="2018年",'Offer Statistics'!FM40,IF($T$2="2019年",'Offer Statistics'!FM86,IF($T$2="2020年",'Offer Statistics'!FM132)))</f>
        <v>19</v>
      </c>
      <c r="V40" s="284">
        <f>IF($T$2="2018年",'Offer Statistics'!FH40,IF($T$2="2019年",'Offer Statistics'!FH86,IF($T$2="2020年",'Offer Statistics'!FH132)))</f>
        <v>12</v>
      </c>
      <c r="W40" s="284">
        <f>IF($T$2="2018年",'Offer Statistics'!FI40,IF($T$2="2019年",'Offer Statistics'!FI86,IF($T$2="2020年",'Offer Statistics'!FI132)))</f>
        <v>2</v>
      </c>
      <c r="X40" s="284">
        <f>IF($T$2="2018年",'Offer Statistics'!FJ40,IF($T$2="2019年",'Offer Statistics'!FJ86,IF($T$2="2020年",'Offer Statistics'!FJ132)))</f>
        <v>1</v>
      </c>
      <c r="Y40" s="284">
        <f>IF($T$2="2018年",'Offer Statistics'!FK40,IF($T$2="2019年",'Offer Statistics'!FK86,IF($T$2="2020年",'Offer Statistics'!FK132)))</f>
        <v>1</v>
      </c>
      <c r="Z40" s="284">
        <f>IF($T$2="2018年",'Offer Statistics'!FL40,IF($T$2="2019年",'Offer Statistics'!FL86,IF($T$2="2020年",'Offer Statistics'!FL132)))</f>
        <v>3</v>
      </c>
      <c r="AA40" s="513"/>
      <c r="AB40" s="333">
        <f>IF($T$2="2018年",'Offer Statistics'!FE40,IF($T$2="2019年",'Offer Statistics'!FE86,IF($T$2="2020年",'Offer Statistics'!FE132)))</f>
        <v>1111</v>
      </c>
      <c r="AC40" s="284">
        <f>IF($T$2="2018年",'Offer Statistics'!EZ40,IF($T$2="2019年",'Offer Statistics'!EZ86,IF($T$2="2020年",'Offer Statistics'!EZ132)))</f>
        <v>135</v>
      </c>
      <c r="AD40" s="284">
        <f>IF($T$2="2018年",'Offer Statistics'!FA40,IF($T$2="2019年",'Offer Statistics'!FA86,IF($T$2="2020年",'Offer Statistics'!FA132)))</f>
        <v>160</v>
      </c>
      <c r="AE40" s="284">
        <f>IF($T$2="2018年",'Offer Statistics'!FB40,IF($T$2="2019年",'Offer Statistics'!FB86,IF($T$2="2020年",'Offer Statistics'!FB132)))</f>
        <v>213</v>
      </c>
      <c r="AF40" s="284">
        <f>IF($T$2="2018年",'Offer Statistics'!FC40,IF($T$2="2019年",'Offer Statistics'!FC86,IF($T$2="2020年",'Offer Statistics'!FC132)))</f>
        <v>246</v>
      </c>
      <c r="AG40" s="284">
        <f>IF($T$2="2018年",'Offer Statistics'!FD40,IF($T$2="2019年",'Offer Statistics'!FD86,IF($T$2="2020年",'Offer Statistics'!FD132)))</f>
        <v>357</v>
      </c>
      <c r="AH40" s="175"/>
      <c r="AI40" s="338" t="str">
        <f t="shared" si="0"/>
        <v>JSSV07</v>
      </c>
    </row>
    <row r="41" spans="1:35" ht="18" customHeight="1">
      <c r="A41" s="5" t="s">
        <v>1218</v>
      </c>
      <c r="B41" s="5" t="s">
        <v>1243</v>
      </c>
      <c r="C41" s="5" t="s">
        <v>1219</v>
      </c>
      <c r="D41" s="5" t="s">
        <v>1955</v>
      </c>
      <c r="E41" s="338" t="s">
        <v>1155</v>
      </c>
      <c r="F41" s="243" t="s">
        <v>792</v>
      </c>
      <c r="G41" s="67">
        <v>18</v>
      </c>
      <c r="H41" s="176" t="s">
        <v>792</v>
      </c>
      <c r="I41" s="71">
        <f>計分版!D416</f>
        <v>1.9500000000000001E-9</v>
      </c>
      <c r="J41" s="39">
        <f t="shared" ref="J41:J44" si="12">I41-G41</f>
        <v>-17.999999998050001</v>
      </c>
      <c r="K41" s="40">
        <f t="shared" ref="K41:K44" si="13">(I41-G41)/I41</f>
        <v>-9230769229.7692299</v>
      </c>
      <c r="L41" s="251">
        <v>50</v>
      </c>
      <c r="M41" s="381">
        <f>入學要求!S403</f>
        <v>0</v>
      </c>
      <c r="N41" s="379" t="s">
        <v>2234</v>
      </c>
      <c r="O41" s="82">
        <v>3</v>
      </c>
      <c r="P41" s="82">
        <v>3</v>
      </c>
      <c r="Q41" s="82">
        <v>2</v>
      </c>
      <c r="R41" s="82">
        <v>2</v>
      </c>
      <c r="S41" s="82">
        <v>2</v>
      </c>
      <c r="T41" s="501"/>
      <c r="U41" s="333">
        <f>IF($T$2="2018年",'Offer Statistics'!FM41,IF($T$2="2019年",'Offer Statistics'!FM87,IF($T$2="2020年",'Offer Statistics'!FM133)))</f>
        <v>21</v>
      </c>
      <c r="V41" s="284">
        <f>IF($T$2="2018年",'Offer Statistics'!FH41,IF($T$2="2019年",'Offer Statistics'!FH87,IF($T$2="2020年",'Offer Statistics'!FH133)))</f>
        <v>12</v>
      </c>
      <c r="W41" s="284">
        <f>IF($T$2="2018年",'Offer Statistics'!FI41,IF($T$2="2019年",'Offer Statistics'!FI87,IF($T$2="2020年",'Offer Statistics'!FI133)))</f>
        <v>4</v>
      </c>
      <c r="X41" s="284">
        <f>IF($T$2="2018年",'Offer Statistics'!FJ41,IF($T$2="2019年",'Offer Statistics'!FJ87,IF($T$2="2020年",'Offer Statistics'!FJ133)))</f>
        <v>0</v>
      </c>
      <c r="Y41" s="284">
        <f>IF($T$2="2018年",'Offer Statistics'!FK41,IF($T$2="2019年",'Offer Statistics'!FK87,IF($T$2="2020年",'Offer Statistics'!FK133)))</f>
        <v>3</v>
      </c>
      <c r="Z41" s="284">
        <f>IF($T$2="2018年",'Offer Statistics'!FL41,IF($T$2="2019年",'Offer Statistics'!FL87,IF($T$2="2020年",'Offer Statistics'!FL133)))</f>
        <v>2</v>
      </c>
      <c r="AA41" s="513"/>
      <c r="AB41" s="333">
        <f>IF($T$2="2018年",'Offer Statistics'!FE41,IF($T$2="2019年",'Offer Statistics'!FE87,IF($T$2="2020年",'Offer Statistics'!FE133)))</f>
        <v>913</v>
      </c>
      <c r="AC41" s="284">
        <f>IF($T$2="2018年",'Offer Statistics'!EZ41,IF($T$2="2019年",'Offer Statistics'!EZ87,IF($T$2="2020年",'Offer Statistics'!EZ133)))</f>
        <v>96</v>
      </c>
      <c r="AD41" s="284">
        <f>IF($T$2="2018年",'Offer Statistics'!FA41,IF($T$2="2019年",'Offer Statistics'!FA87,IF($T$2="2020年",'Offer Statistics'!FA133)))</f>
        <v>132</v>
      </c>
      <c r="AE41" s="284">
        <f>IF($T$2="2018年",'Offer Statistics'!FB41,IF($T$2="2019年",'Offer Statistics'!FB87,IF($T$2="2020年",'Offer Statistics'!FB133)))</f>
        <v>177</v>
      </c>
      <c r="AF41" s="284">
        <f>IF($T$2="2018年",'Offer Statistics'!FC41,IF($T$2="2019年",'Offer Statistics'!FC87,IF($T$2="2020年",'Offer Statistics'!FC133)))</f>
        <v>224</v>
      </c>
      <c r="AG41" s="284">
        <f>IF($T$2="2018年",'Offer Statistics'!FD41,IF($T$2="2019年",'Offer Statistics'!FD87,IF($T$2="2020年",'Offer Statistics'!FD133)))</f>
        <v>284</v>
      </c>
      <c r="AH41" s="175"/>
      <c r="AI41" s="338" t="str">
        <f t="shared" si="0"/>
        <v>JSSV08</v>
      </c>
    </row>
    <row r="42" spans="1:35" ht="18" customHeight="1">
      <c r="A42" s="34" t="s">
        <v>2293</v>
      </c>
      <c r="B42" s="34" t="s">
        <v>1243</v>
      </c>
      <c r="C42" s="34" t="s">
        <v>2292</v>
      </c>
      <c r="D42" s="34" t="s">
        <v>1958</v>
      </c>
      <c r="E42" s="437" t="s">
        <v>1155</v>
      </c>
      <c r="F42" s="243" t="s">
        <v>792</v>
      </c>
      <c r="G42" s="67">
        <v>16</v>
      </c>
      <c r="H42" s="176" t="s">
        <v>792</v>
      </c>
      <c r="I42" s="71">
        <f>計分版!D417</f>
        <v>1.9500000000000001E-9</v>
      </c>
      <c r="J42" s="39">
        <f t="shared" si="12"/>
        <v>-15.999999998050001</v>
      </c>
      <c r="K42" s="40">
        <f t="shared" si="13"/>
        <v>-8205128204.1282053</v>
      </c>
      <c r="L42" s="251">
        <v>50</v>
      </c>
      <c r="M42" s="381">
        <f>入學要求!S404</f>
        <v>0</v>
      </c>
      <c r="N42" s="379" t="s">
        <v>2234</v>
      </c>
      <c r="O42" s="82">
        <v>3</v>
      </c>
      <c r="P42" s="82">
        <v>3</v>
      </c>
      <c r="Q42" s="82">
        <v>2</v>
      </c>
      <c r="R42" s="82">
        <v>2</v>
      </c>
      <c r="S42" s="82">
        <v>2</v>
      </c>
      <c r="T42" s="501"/>
      <c r="U42" s="333">
        <f>IF($T$2="2018年",'Offer Statistics'!FM42,IF($T$2="2019年",'Offer Statistics'!FM88,IF($T$2="2020年",'Offer Statistics'!FM134)))</f>
        <v>57</v>
      </c>
      <c r="V42" s="284">
        <f>IF($T$2="2018年",'Offer Statistics'!FH42,IF($T$2="2019年",'Offer Statistics'!FH88,IF($T$2="2020年",'Offer Statistics'!FH134)))</f>
        <v>32</v>
      </c>
      <c r="W42" s="284">
        <f>IF($T$2="2018年",'Offer Statistics'!FI42,IF($T$2="2019年",'Offer Statistics'!FI88,IF($T$2="2020年",'Offer Statistics'!FI134)))</f>
        <v>15</v>
      </c>
      <c r="X42" s="284">
        <f>IF($T$2="2018年",'Offer Statistics'!FJ42,IF($T$2="2019年",'Offer Statistics'!FJ88,IF($T$2="2020年",'Offer Statistics'!FJ134)))</f>
        <v>5</v>
      </c>
      <c r="Y42" s="284">
        <f>IF($T$2="2018年",'Offer Statistics'!FK42,IF($T$2="2019年",'Offer Statistics'!FK88,IF($T$2="2020年",'Offer Statistics'!FK134)))</f>
        <v>2</v>
      </c>
      <c r="Z42" s="284">
        <f>IF($T$2="2018年",'Offer Statistics'!FL42,IF($T$2="2019年",'Offer Statistics'!FL88,IF($T$2="2020年",'Offer Statistics'!FL134)))</f>
        <v>3</v>
      </c>
      <c r="AA42" s="513"/>
      <c r="AB42" s="333">
        <f>IF($T$2="2018年",'Offer Statistics'!FE42,IF($T$2="2019年",'Offer Statistics'!FE88,IF($T$2="2020年",'Offer Statistics'!FE134)))</f>
        <v>1941</v>
      </c>
      <c r="AC42" s="284">
        <f>IF($T$2="2018年",'Offer Statistics'!EZ42,IF($T$2="2019年",'Offer Statistics'!EZ88,IF($T$2="2020年",'Offer Statistics'!EZ134)))</f>
        <v>372</v>
      </c>
      <c r="AD42" s="284">
        <f>IF($T$2="2018年",'Offer Statistics'!FA42,IF($T$2="2019年",'Offer Statistics'!FA88,IF($T$2="2020年",'Offer Statistics'!FA134)))</f>
        <v>398</v>
      </c>
      <c r="AE42" s="284">
        <f>IF($T$2="2018年",'Offer Statistics'!FB42,IF($T$2="2019年",'Offer Statistics'!FB88,IF($T$2="2020年",'Offer Statistics'!FB134)))</f>
        <v>343</v>
      </c>
      <c r="AF42" s="284">
        <f>IF($T$2="2018年",'Offer Statistics'!FC42,IF($T$2="2019年",'Offer Statistics'!FC88,IF($T$2="2020年",'Offer Statistics'!FC134)))</f>
        <v>352</v>
      </c>
      <c r="AG42" s="284">
        <f>IF($T$2="2018年",'Offer Statistics'!FD42,IF($T$2="2019年",'Offer Statistics'!FD88,IF($T$2="2020年",'Offer Statistics'!FD134)))</f>
        <v>476</v>
      </c>
      <c r="AH42" s="175"/>
      <c r="AI42" s="338" t="str">
        <f t="shared" si="0"/>
        <v>JSSV09</v>
      </c>
    </row>
    <row r="43" spans="1:35" s="360" customFormat="1" ht="18" customHeight="1">
      <c r="A43" s="34" t="s">
        <v>1222</v>
      </c>
      <c r="B43" s="34" t="s">
        <v>1243</v>
      </c>
      <c r="C43" s="34" t="s">
        <v>1223</v>
      </c>
      <c r="D43" s="34" t="s">
        <v>1961</v>
      </c>
      <c r="E43" s="338" t="s">
        <v>1155</v>
      </c>
      <c r="F43" s="243" t="s">
        <v>792</v>
      </c>
      <c r="G43" s="67">
        <v>16</v>
      </c>
      <c r="H43" s="176" t="s">
        <v>792</v>
      </c>
      <c r="I43" s="71">
        <f>計分版!D418</f>
        <v>1.9500000000000001E-9</v>
      </c>
      <c r="J43" s="39">
        <f t="shared" si="12"/>
        <v>-15.999999998050001</v>
      </c>
      <c r="K43" s="40">
        <f t="shared" si="13"/>
        <v>-8205128204.1282053</v>
      </c>
      <c r="L43" s="251">
        <v>30</v>
      </c>
      <c r="M43" s="381">
        <f>入學要求!S405</f>
        <v>0</v>
      </c>
      <c r="N43" s="379" t="s">
        <v>2234</v>
      </c>
      <c r="O43" s="82">
        <v>3</v>
      </c>
      <c r="P43" s="82">
        <v>3</v>
      </c>
      <c r="Q43" s="82">
        <v>2</v>
      </c>
      <c r="R43" s="82">
        <v>2</v>
      </c>
      <c r="S43" s="82">
        <v>2</v>
      </c>
      <c r="T43" s="501"/>
      <c r="U43" s="333">
        <f>IF($T$2="2018年",'Offer Statistics'!FM43,IF($T$2="2019年",'Offer Statistics'!FM89,IF($T$2="2020年",'Offer Statistics'!FM135)))</f>
        <v>17</v>
      </c>
      <c r="V43" s="284">
        <f>IF($T$2="2018年",'Offer Statistics'!FH43,IF($T$2="2019年",'Offer Statistics'!FH89,IF($T$2="2020年",'Offer Statistics'!FH135)))</f>
        <v>9</v>
      </c>
      <c r="W43" s="284">
        <f>IF($T$2="2018年",'Offer Statistics'!FI43,IF($T$2="2019年",'Offer Statistics'!FI89,IF($T$2="2020年",'Offer Statistics'!FI135)))</f>
        <v>4</v>
      </c>
      <c r="X43" s="284">
        <f>IF($T$2="2018年",'Offer Statistics'!FJ43,IF($T$2="2019年",'Offer Statistics'!FJ89,IF($T$2="2020年",'Offer Statistics'!FJ135)))</f>
        <v>1</v>
      </c>
      <c r="Y43" s="284">
        <f>IF($T$2="2018年",'Offer Statistics'!FK43,IF($T$2="2019年",'Offer Statistics'!FK89,IF($T$2="2020年",'Offer Statistics'!FK135)))</f>
        <v>1</v>
      </c>
      <c r="Z43" s="284">
        <f>IF($T$2="2018年",'Offer Statistics'!FL43,IF($T$2="2019年",'Offer Statistics'!FL89,IF($T$2="2020年",'Offer Statistics'!FL135)))</f>
        <v>2</v>
      </c>
      <c r="AA43" s="513"/>
      <c r="AB43" s="333">
        <f>IF($T$2="2018年",'Offer Statistics'!FE43,IF($T$2="2019年",'Offer Statistics'!FE89,IF($T$2="2020年",'Offer Statistics'!FE135)))</f>
        <v>1908</v>
      </c>
      <c r="AC43" s="284">
        <f>IF($T$2="2018年",'Offer Statistics'!EZ43,IF($T$2="2019年",'Offer Statistics'!EZ89,IF($T$2="2020年",'Offer Statistics'!EZ135)))</f>
        <v>172</v>
      </c>
      <c r="AD43" s="284">
        <f>IF($T$2="2018年",'Offer Statistics'!FA43,IF($T$2="2019年",'Offer Statistics'!FA89,IF($T$2="2020年",'Offer Statistics'!FA135)))</f>
        <v>285</v>
      </c>
      <c r="AE43" s="284">
        <f>IF($T$2="2018年",'Offer Statistics'!FB43,IF($T$2="2019年",'Offer Statistics'!FB89,IF($T$2="2020年",'Offer Statistics'!FB135)))</f>
        <v>396</v>
      </c>
      <c r="AF43" s="284">
        <f>IF($T$2="2018年",'Offer Statistics'!FC43,IF($T$2="2019年",'Offer Statistics'!FC89,IF($T$2="2020年",'Offer Statistics'!FC135)))</f>
        <v>461</v>
      </c>
      <c r="AG43" s="284">
        <f>IF($T$2="2018年",'Offer Statistics'!FD43,IF($T$2="2019年",'Offer Statistics'!FD89,IF($T$2="2020年",'Offer Statistics'!FD135)))</f>
        <v>594</v>
      </c>
      <c r="AH43" s="187"/>
      <c r="AI43" s="338" t="str">
        <f t="shared" si="0"/>
        <v>JSSV11</v>
      </c>
    </row>
    <row r="44" spans="1:35" s="360" customFormat="1" ht="18" customHeight="1">
      <c r="A44" s="34" t="s">
        <v>1224</v>
      </c>
      <c r="B44" s="34" t="s">
        <v>1243</v>
      </c>
      <c r="C44" s="34" t="s">
        <v>1225</v>
      </c>
      <c r="D44" s="34" t="s">
        <v>1964</v>
      </c>
      <c r="E44" s="338" t="s">
        <v>1155</v>
      </c>
      <c r="F44" s="243" t="s">
        <v>792</v>
      </c>
      <c r="G44" s="67">
        <v>17</v>
      </c>
      <c r="H44" s="176" t="s">
        <v>792</v>
      </c>
      <c r="I44" s="71">
        <f>計分版!D419</f>
        <v>1.9500000000000001E-9</v>
      </c>
      <c r="J44" s="39">
        <f t="shared" si="12"/>
        <v>-16.999999998050001</v>
      </c>
      <c r="K44" s="40">
        <f t="shared" si="13"/>
        <v>-8717948716.9487171</v>
      </c>
      <c r="L44" s="251">
        <v>40</v>
      </c>
      <c r="M44" s="381">
        <f>入學要求!S406</f>
        <v>0</v>
      </c>
      <c r="N44" s="379" t="s">
        <v>2234</v>
      </c>
      <c r="O44" s="82">
        <v>3</v>
      </c>
      <c r="P44" s="82">
        <v>3</v>
      </c>
      <c r="Q44" s="82">
        <v>2</v>
      </c>
      <c r="R44" s="82">
        <v>2</v>
      </c>
      <c r="S44" s="82">
        <v>2</v>
      </c>
      <c r="T44" s="501"/>
      <c r="U44" s="333">
        <f>IF($T$2="2018年",'Offer Statistics'!FM44,IF($T$2="2019年",'Offer Statistics'!FM90,IF($T$2="2020年",'Offer Statistics'!FM136)))</f>
        <v>9</v>
      </c>
      <c r="V44" s="284">
        <f>IF($T$2="2018年",'Offer Statistics'!FH44,IF($T$2="2019年",'Offer Statistics'!FH90,IF($T$2="2020年",'Offer Statistics'!FH136)))</f>
        <v>7</v>
      </c>
      <c r="W44" s="284">
        <f>IF($T$2="2018年",'Offer Statistics'!FI44,IF($T$2="2019年",'Offer Statistics'!FI90,IF($T$2="2020年",'Offer Statistics'!FI136)))</f>
        <v>1</v>
      </c>
      <c r="X44" s="284">
        <f>IF($T$2="2018年",'Offer Statistics'!FJ44,IF($T$2="2019年",'Offer Statistics'!FJ90,IF($T$2="2020年",'Offer Statistics'!FJ136)))</f>
        <v>0</v>
      </c>
      <c r="Y44" s="284">
        <f>IF($T$2="2018年",'Offer Statistics'!FK44,IF($T$2="2019年",'Offer Statistics'!FK90,IF($T$2="2020年",'Offer Statistics'!FK136)))</f>
        <v>1</v>
      </c>
      <c r="Z44" s="284">
        <f>IF($T$2="2018年",'Offer Statistics'!FL44,IF($T$2="2019年",'Offer Statistics'!FL90,IF($T$2="2020年",'Offer Statistics'!FL136)))</f>
        <v>0</v>
      </c>
      <c r="AA44" s="513"/>
      <c r="AB44" s="333">
        <f>IF($T$2="2018年",'Offer Statistics'!FE44,IF($T$2="2019年",'Offer Statistics'!FE90,IF($T$2="2020年",'Offer Statistics'!FE136)))</f>
        <v>1581</v>
      </c>
      <c r="AC44" s="284">
        <f>IF($T$2="2018年",'Offer Statistics'!EZ44,IF($T$2="2019年",'Offer Statistics'!EZ90,IF($T$2="2020年",'Offer Statistics'!EZ136)))</f>
        <v>175</v>
      </c>
      <c r="AD44" s="284">
        <f>IF($T$2="2018年",'Offer Statistics'!FA44,IF($T$2="2019年",'Offer Statistics'!FA90,IF($T$2="2020年",'Offer Statistics'!FA136)))</f>
        <v>227</v>
      </c>
      <c r="AE44" s="284">
        <f>IF($T$2="2018年",'Offer Statistics'!FB44,IF($T$2="2019年",'Offer Statistics'!FB90,IF($T$2="2020年",'Offer Statistics'!FB136)))</f>
        <v>313</v>
      </c>
      <c r="AF44" s="284">
        <f>IF($T$2="2018年",'Offer Statistics'!FC44,IF($T$2="2019年",'Offer Statistics'!FC90,IF($T$2="2020年",'Offer Statistics'!FC136)))</f>
        <v>365</v>
      </c>
      <c r="AG44" s="284">
        <f>IF($T$2="2018年",'Offer Statistics'!FD44,IF($T$2="2019年",'Offer Statistics'!FD90,IF($T$2="2020年",'Offer Statistics'!FD136)))</f>
        <v>501</v>
      </c>
      <c r="AH44" s="187"/>
      <c r="AI44" s="338" t="str">
        <f t="shared" si="0"/>
        <v>JSSV12</v>
      </c>
    </row>
    <row r="45" spans="1:35" s="360" customFormat="1" ht="18" customHeight="1">
      <c r="A45" s="187" t="s">
        <v>1988</v>
      </c>
      <c r="B45" s="187" t="s">
        <v>1987</v>
      </c>
      <c r="C45" s="187" t="s">
        <v>1982</v>
      </c>
      <c r="D45" s="187" t="s">
        <v>1968</v>
      </c>
      <c r="E45" s="377" t="s">
        <v>1990</v>
      </c>
      <c r="F45" s="243" t="s">
        <v>792</v>
      </c>
      <c r="G45" s="176" t="s">
        <v>360</v>
      </c>
      <c r="H45" s="176" t="s">
        <v>792</v>
      </c>
      <c r="I45" s="193" t="s">
        <v>360</v>
      </c>
      <c r="J45" s="177" t="s">
        <v>360</v>
      </c>
      <c r="K45" s="178" t="s">
        <v>360</v>
      </c>
      <c r="L45" s="251">
        <v>25</v>
      </c>
      <c r="M45" s="381">
        <f>入學要求!S407</f>
        <v>0</v>
      </c>
      <c r="N45" s="379" t="s">
        <v>2226</v>
      </c>
      <c r="O45" s="181">
        <v>3</v>
      </c>
      <c r="P45" s="181">
        <v>3</v>
      </c>
      <c r="Q45" s="181">
        <v>2</v>
      </c>
      <c r="R45" s="181">
        <v>2</v>
      </c>
      <c r="S45" s="181">
        <v>2</v>
      </c>
      <c r="T45" s="501"/>
      <c r="U45" s="333" t="str">
        <f>IF($T$2="2018年",'Offer Statistics'!FM45,IF($T$2="2019年",'Offer Statistics'!FM91,IF($T$2="2020年",'Offer Statistics'!FM137)))</f>
        <v>/</v>
      </c>
      <c r="V45" s="284" t="str">
        <f>IF($T$2="2018年",'Offer Statistics'!FH45,IF($T$2="2019年",'Offer Statistics'!FH91,IF($T$2="2020年",'Offer Statistics'!FH137)))</f>
        <v>/</v>
      </c>
      <c r="W45" s="284" t="str">
        <f>IF($T$2="2018年",'Offer Statistics'!FI45,IF($T$2="2019年",'Offer Statistics'!FI91,IF($T$2="2020年",'Offer Statistics'!FI137)))</f>
        <v>/</v>
      </c>
      <c r="X45" s="284" t="str">
        <f>IF($T$2="2018年",'Offer Statistics'!FJ45,IF($T$2="2019年",'Offer Statistics'!FJ91,IF($T$2="2020年",'Offer Statistics'!FJ137)))</f>
        <v>/</v>
      </c>
      <c r="Y45" s="284" t="str">
        <f>IF($T$2="2018年",'Offer Statistics'!FK45,IF($T$2="2019年",'Offer Statistics'!FK91,IF($T$2="2020年",'Offer Statistics'!FK137)))</f>
        <v>/</v>
      </c>
      <c r="Z45" s="284" t="str">
        <f>IF($T$2="2018年",'Offer Statistics'!FL45,IF($T$2="2019年",'Offer Statistics'!FL91,IF($T$2="2020年",'Offer Statistics'!FL137)))</f>
        <v>/</v>
      </c>
      <c r="AA45" s="513"/>
      <c r="AB45" s="333" t="str">
        <f>IF($T$2="2018年",'Offer Statistics'!FE45,IF($T$2="2019年",'Offer Statistics'!FE91,IF($T$2="2020年",'Offer Statistics'!FE137)))</f>
        <v>/</v>
      </c>
      <c r="AC45" s="284" t="str">
        <f>IF($T$2="2018年",'Offer Statistics'!EZ45,IF($T$2="2019年",'Offer Statistics'!EZ91,IF($T$2="2020年",'Offer Statistics'!EZ137)))</f>
        <v>/</v>
      </c>
      <c r="AD45" s="284" t="str">
        <f>IF($T$2="2018年",'Offer Statistics'!FA45,IF($T$2="2019年",'Offer Statistics'!FA91,IF($T$2="2020年",'Offer Statistics'!FA137)))</f>
        <v>/</v>
      </c>
      <c r="AE45" s="284" t="str">
        <f>IF($T$2="2018年",'Offer Statistics'!FB45,IF($T$2="2019年",'Offer Statistics'!FB91,IF($T$2="2020年",'Offer Statistics'!FB137)))</f>
        <v>/</v>
      </c>
      <c r="AF45" s="284" t="str">
        <f>IF($T$2="2018年",'Offer Statistics'!FC45,IF($T$2="2019年",'Offer Statistics'!FC91,IF($T$2="2020年",'Offer Statistics'!FC137)))</f>
        <v>/</v>
      </c>
      <c r="AG45" s="284" t="str">
        <f>IF($T$2="2018年",'Offer Statistics'!FD45,IF($T$2="2019年",'Offer Statistics'!FD91,IF($T$2="2020年",'Offer Statistics'!FD137)))</f>
        <v>/</v>
      </c>
      <c r="AH45" s="187"/>
      <c r="AI45" s="338" t="str">
        <f t="shared" si="0"/>
        <v>JSSW01</v>
      </c>
    </row>
    <row r="46" spans="1:35" s="360" customFormat="1" ht="18" customHeight="1">
      <c r="A46" s="187" t="s">
        <v>1970</v>
      </c>
      <c r="B46" s="187" t="s">
        <v>1986</v>
      </c>
      <c r="C46" s="187" t="s">
        <v>1984</v>
      </c>
      <c r="D46" s="187" t="s">
        <v>1971</v>
      </c>
      <c r="E46" s="377" t="s">
        <v>1156</v>
      </c>
      <c r="F46" s="243" t="s">
        <v>792</v>
      </c>
      <c r="G46" s="67">
        <v>17.399999999999999</v>
      </c>
      <c r="H46" s="176" t="s">
        <v>792</v>
      </c>
      <c r="I46" s="193">
        <f>計分版!D421</f>
        <v>1.9500000000000001E-9</v>
      </c>
      <c r="J46" s="188">
        <f t="shared" ref="J46" si="14">I46-G46</f>
        <v>-17.399999998049999</v>
      </c>
      <c r="K46" s="189">
        <f t="shared" ref="K46" si="15">(I46-G46)/I46</f>
        <v>-8923076922.0769215</v>
      </c>
      <c r="L46" s="251">
        <v>30</v>
      </c>
      <c r="M46" s="381">
        <f>入學要求!S408</f>
        <v>0</v>
      </c>
      <c r="N46" s="379" t="s">
        <v>2234</v>
      </c>
      <c r="O46" s="181">
        <v>3</v>
      </c>
      <c r="P46" s="181">
        <v>3</v>
      </c>
      <c r="Q46" s="181">
        <v>2</v>
      </c>
      <c r="R46" s="181">
        <v>2</v>
      </c>
      <c r="S46" s="181">
        <v>2</v>
      </c>
      <c r="T46" s="501"/>
      <c r="U46" s="333" t="str">
        <f>IF($T$2="2018年",'Offer Statistics'!FM46,IF($T$2="2019年",'Offer Statistics'!FM92,IF($T$2="2020年",'Offer Statistics'!FM138)))</f>
        <v>/</v>
      </c>
      <c r="V46" s="284" t="str">
        <f>IF($T$2="2018年",'Offer Statistics'!FH46,IF($T$2="2019年",'Offer Statistics'!FH92,IF($T$2="2020年",'Offer Statistics'!FH138)))</f>
        <v>/</v>
      </c>
      <c r="W46" s="284" t="str">
        <f>IF($T$2="2018年",'Offer Statistics'!FI46,IF($T$2="2019年",'Offer Statistics'!FI92,IF($T$2="2020年",'Offer Statistics'!FI138)))</f>
        <v>/</v>
      </c>
      <c r="X46" s="284" t="str">
        <f>IF($T$2="2018年",'Offer Statistics'!FJ46,IF($T$2="2019年",'Offer Statistics'!FJ92,IF($T$2="2020年",'Offer Statistics'!FJ138)))</f>
        <v>/</v>
      </c>
      <c r="Y46" s="284" t="str">
        <f>IF($T$2="2018年",'Offer Statistics'!FK46,IF($T$2="2019年",'Offer Statistics'!FK92,IF($T$2="2020年",'Offer Statistics'!FK138)))</f>
        <v>/</v>
      </c>
      <c r="Z46" s="284" t="str">
        <f>IF($T$2="2018年",'Offer Statistics'!FL46,IF($T$2="2019年",'Offer Statistics'!FL92,IF($T$2="2020年",'Offer Statistics'!FL138)))</f>
        <v>/</v>
      </c>
      <c r="AA46" s="513"/>
      <c r="AB46" s="333" t="str">
        <f>IF($T$2="2018年",'Offer Statistics'!FE46,IF($T$2="2019年",'Offer Statistics'!FE92,IF($T$2="2020年",'Offer Statistics'!FE138)))</f>
        <v>/</v>
      </c>
      <c r="AC46" s="284" t="str">
        <f>IF($T$2="2018年",'Offer Statistics'!EZ46,IF($T$2="2019年",'Offer Statistics'!EZ92,IF($T$2="2020年",'Offer Statistics'!EZ138)))</f>
        <v>/</v>
      </c>
      <c r="AD46" s="284" t="str">
        <f>IF($T$2="2018年",'Offer Statistics'!FA46,IF($T$2="2019年",'Offer Statistics'!FA92,IF($T$2="2020年",'Offer Statistics'!FA138)))</f>
        <v>/</v>
      </c>
      <c r="AE46" s="284" t="str">
        <f>IF($T$2="2018年",'Offer Statistics'!FB46,IF($T$2="2019年",'Offer Statistics'!FB92,IF($T$2="2020年",'Offer Statistics'!FB138)))</f>
        <v>/</v>
      </c>
      <c r="AF46" s="284" t="str">
        <f>IF($T$2="2018年",'Offer Statistics'!FC46,IF($T$2="2019年",'Offer Statistics'!FC92,IF($T$2="2020年",'Offer Statistics'!FC138)))</f>
        <v>/</v>
      </c>
      <c r="AG46" s="284" t="str">
        <f>IF($T$2="2018年",'Offer Statistics'!FD46,IF($T$2="2019年",'Offer Statistics'!FD92,IF($T$2="2020年",'Offer Statistics'!FD138)))</f>
        <v>/</v>
      </c>
      <c r="AH46" s="187"/>
      <c r="AI46" s="338" t="str">
        <f t="shared" si="0"/>
        <v>JSSY01</v>
      </c>
    </row>
    <row r="47" spans="1:35" ht="18" customHeight="1">
      <c r="B47" s="34"/>
      <c r="C47" s="34"/>
      <c r="D47" s="34"/>
      <c r="E47" s="272"/>
      <c r="F47" s="272"/>
      <c r="G47" s="35"/>
      <c r="H47" s="35"/>
      <c r="U47" s="338"/>
      <c r="AA47" s="338"/>
      <c r="AB47" s="338"/>
      <c r="AC47" s="338"/>
      <c r="AD47" s="338"/>
      <c r="AE47" s="338"/>
      <c r="AF47" s="338"/>
      <c r="AG47" s="338"/>
      <c r="AH47" s="175"/>
      <c r="AI47" s="338"/>
    </row>
    <row r="48" spans="1:35" s="360" customFormat="1" ht="18" customHeight="1">
      <c r="A48" s="34" t="s">
        <v>2206</v>
      </c>
      <c r="B48" s="6"/>
      <c r="C48" s="6"/>
      <c r="D48" s="6"/>
      <c r="E48" s="333"/>
      <c r="F48" s="333"/>
      <c r="G48" s="17"/>
      <c r="H48" s="17"/>
      <c r="I48" s="35"/>
      <c r="J48" s="36"/>
      <c r="K48" s="37"/>
      <c r="L48" s="35"/>
      <c r="M48" s="35"/>
      <c r="N48" s="35"/>
      <c r="O48" s="35"/>
      <c r="P48" s="35"/>
      <c r="Q48" s="35"/>
      <c r="R48" s="35"/>
      <c r="S48" s="35"/>
      <c r="T48" s="35"/>
      <c r="U48" s="35"/>
      <c r="V48" s="35"/>
      <c r="W48" s="35"/>
      <c r="X48" s="35"/>
      <c r="Y48" s="35"/>
      <c r="Z48" s="35"/>
      <c r="AA48" s="35"/>
      <c r="AB48" s="35"/>
      <c r="AC48" s="35"/>
      <c r="AD48" s="35"/>
      <c r="AE48" s="35"/>
      <c r="AF48" s="35"/>
      <c r="AG48" s="35"/>
      <c r="AH48" s="187"/>
      <c r="AI48" s="35"/>
    </row>
    <row r="49" spans="1:36" s="360" customFormat="1" ht="18" customHeight="1">
      <c r="A49" s="34" t="s">
        <v>1274</v>
      </c>
      <c r="B49" s="29"/>
      <c r="C49" s="29"/>
      <c r="D49" s="34"/>
      <c r="E49" s="272"/>
      <c r="F49" s="272"/>
      <c r="G49" s="35"/>
      <c r="H49" s="35"/>
      <c r="I49" s="35"/>
      <c r="J49" s="36"/>
      <c r="K49" s="37"/>
      <c r="L49" s="35"/>
      <c r="M49" s="35"/>
      <c r="N49" s="35"/>
      <c r="O49" s="35"/>
      <c r="P49" s="35"/>
      <c r="Q49" s="35"/>
      <c r="R49" s="35"/>
      <c r="S49" s="35"/>
      <c r="T49" s="35"/>
      <c r="U49" s="35"/>
      <c r="V49" s="35"/>
      <c r="W49" s="35"/>
      <c r="X49" s="35"/>
      <c r="Y49" s="35"/>
      <c r="Z49" s="35"/>
      <c r="AA49" s="35"/>
      <c r="AB49" s="35"/>
      <c r="AC49" s="35"/>
      <c r="AD49" s="35"/>
      <c r="AE49" s="35"/>
      <c r="AF49" s="35"/>
      <c r="AG49" s="35"/>
      <c r="AH49" s="187"/>
      <c r="AI49" s="35"/>
    </row>
    <row r="50" spans="1:36" s="175" customFormat="1" ht="18" customHeight="1">
      <c r="C50" s="186"/>
      <c r="E50" s="438"/>
      <c r="H50" s="438"/>
      <c r="K50" s="437"/>
      <c r="L50" s="438"/>
    </row>
    <row r="51" spans="1:36" s="187" customFormat="1" ht="18" customHeight="1">
      <c r="A51" s="187" t="s">
        <v>2352</v>
      </c>
      <c r="E51" s="272"/>
      <c r="F51" s="35"/>
      <c r="G51" s="35"/>
      <c r="H51" s="35"/>
      <c r="I51" s="35"/>
      <c r="J51" s="36"/>
      <c r="K51" s="37"/>
      <c r="L51" s="35"/>
      <c r="N51" s="35"/>
      <c r="O51" s="35"/>
      <c r="P51" s="35"/>
      <c r="Q51" s="35"/>
      <c r="R51" s="35"/>
      <c r="S51" s="35"/>
      <c r="T51" s="35"/>
      <c r="U51" s="35"/>
      <c r="V51" s="35"/>
      <c r="W51" s="35"/>
      <c r="X51" s="35"/>
      <c r="Y51" s="35"/>
      <c r="Z51" s="35"/>
      <c r="AA51" s="35"/>
      <c r="AB51" s="35"/>
      <c r="AC51" s="35"/>
      <c r="AD51" s="35"/>
      <c r="AE51" s="35"/>
      <c r="AF51" s="35"/>
      <c r="AG51" s="35"/>
      <c r="AH51" s="35"/>
      <c r="AJ51" s="35"/>
    </row>
    <row r="52" spans="1:36" s="360" customFormat="1" ht="18" customHeight="1">
      <c r="A52" s="187"/>
      <c r="B52" s="29"/>
      <c r="C52" s="29"/>
      <c r="D52" s="187"/>
      <c r="E52" s="272"/>
      <c r="F52" s="272"/>
      <c r="G52" s="35"/>
      <c r="H52" s="35"/>
      <c r="I52" s="35"/>
      <c r="J52" s="36"/>
      <c r="K52" s="37"/>
      <c r="L52" s="35"/>
      <c r="M52" s="35"/>
      <c r="N52" s="35"/>
      <c r="O52" s="35"/>
      <c r="P52" s="35"/>
      <c r="Q52" s="35"/>
      <c r="R52" s="35"/>
      <c r="S52" s="35"/>
      <c r="T52" s="35"/>
      <c r="U52" s="35"/>
      <c r="V52" s="35"/>
      <c r="W52" s="35"/>
      <c r="X52" s="35"/>
      <c r="Y52" s="35"/>
      <c r="Z52" s="35"/>
      <c r="AA52" s="35"/>
      <c r="AB52" s="35"/>
      <c r="AC52" s="35"/>
      <c r="AD52" s="35"/>
      <c r="AE52" s="35"/>
      <c r="AF52" s="35"/>
      <c r="AG52" s="35"/>
      <c r="AH52" s="187"/>
      <c r="AI52" s="35"/>
    </row>
    <row r="53" spans="1:36" s="360" customFormat="1" ht="18" customHeight="1">
      <c r="A53" s="31" t="s">
        <v>2284</v>
      </c>
      <c r="B53" s="29"/>
      <c r="C53" s="29"/>
      <c r="D53" s="187"/>
      <c r="E53" s="272"/>
      <c r="F53" s="272"/>
      <c r="G53" s="35"/>
      <c r="H53" s="35"/>
      <c r="I53" s="35"/>
      <c r="J53" s="36"/>
      <c r="K53" s="37"/>
      <c r="L53" s="35"/>
      <c r="M53" s="35"/>
      <c r="N53" s="35"/>
      <c r="O53" s="35"/>
      <c r="P53" s="35"/>
      <c r="Q53" s="35"/>
      <c r="R53" s="35"/>
      <c r="S53" s="35"/>
      <c r="T53" s="35"/>
      <c r="U53" s="35"/>
      <c r="V53" s="35"/>
      <c r="W53" s="35"/>
      <c r="X53" s="35"/>
      <c r="Y53" s="35"/>
      <c r="Z53" s="35"/>
      <c r="AA53" s="35"/>
      <c r="AB53" s="35"/>
      <c r="AC53" s="35"/>
      <c r="AD53" s="35"/>
      <c r="AE53" s="35"/>
      <c r="AF53" s="35"/>
      <c r="AG53" s="35"/>
      <c r="AH53" s="187"/>
      <c r="AI53" s="35"/>
    </row>
    <row r="54" spans="1:36" s="360" customFormat="1" ht="18" customHeight="1">
      <c r="A54" s="360" t="s">
        <v>2287</v>
      </c>
      <c r="B54" s="29"/>
      <c r="C54" s="29"/>
      <c r="D54" s="187"/>
      <c r="E54" s="272"/>
      <c r="F54" s="272"/>
      <c r="G54" s="35"/>
      <c r="H54" s="35"/>
      <c r="I54" s="35"/>
      <c r="J54" s="36"/>
      <c r="K54" s="37"/>
      <c r="L54" s="35"/>
      <c r="M54" s="35"/>
      <c r="N54" s="35"/>
      <c r="O54" s="35"/>
      <c r="P54" s="35"/>
      <c r="Q54" s="35"/>
      <c r="R54" s="35"/>
      <c r="S54" s="35"/>
      <c r="T54" s="35"/>
      <c r="U54" s="35"/>
      <c r="V54" s="35"/>
      <c r="W54" s="35"/>
      <c r="X54" s="35"/>
      <c r="Y54" s="35"/>
      <c r="Z54" s="35"/>
      <c r="AA54" s="35"/>
      <c r="AB54" s="35"/>
      <c r="AC54" s="35"/>
      <c r="AD54" s="35"/>
      <c r="AE54" s="35"/>
      <c r="AF54" s="35"/>
      <c r="AG54" s="35"/>
      <c r="AH54" s="187"/>
      <c r="AI54" s="35"/>
    </row>
    <row r="55" spans="1:36" s="360" customFormat="1" ht="18" customHeight="1">
      <c r="A55" s="397" t="s">
        <v>1992</v>
      </c>
      <c r="B55" s="186" t="s">
        <v>2288</v>
      </c>
      <c r="C55" s="29"/>
      <c r="D55" s="187"/>
      <c r="E55" s="272"/>
      <c r="F55" s="272"/>
      <c r="G55" s="35"/>
      <c r="H55" s="35"/>
      <c r="I55" s="35"/>
      <c r="J55" s="36"/>
      <c r="K55" s="37"/>
      <c r="L55" s="35"/>
      <c r="M55" s="35"/>
      <c r="N55" s="35"/>
      <c r="O55" s="35"/>
      <c r="P55" s="35"/>
      <c r="Q55" s="35"/>
      <c r="R55" s="35"/>
      <c r="S55" s="35"/>
      <c r="T55" s="35"/>
      <c r="U55" s="35"/>
      <c r="V55" s="35"/>
      <c r="W55" s="35"/>
      <c r="X55" s="35"/>
      <c r="Y55" s="35"/>
      <c r="Z55" s="35"/>
      <c r="AA55" s="35"/>
      <c r="AB55" s="35"/>
      <c r="AC55" s="35"/>
      <c r="AD55" s="35"/>
      <c r="AE55" s="35"/>
      <c r="AF55" s="35"/>
      <c r="AG55" s="35"/>
      <c r="AH55" s="187"/>
      <c r="AI55" s="35"/>
    </row>
    <row r="56" spans="1:36" s="360" customFormat="1" ht="18" customHeight="1">
      <c r="A56" s="398" t="s">
        <v>1993</v>
      </c>
      <c r="B56" s="186" t="s">
        <v>2289</v>
      </c>
      <c r="C56" s="29"/>
      <c r="D56" s="187"/>
      <c r="E56" s="272"/>
      <c r="F56" s="272"/>
      <c r="G56" s="35"/>
      <c r="H56" s="35"/>
      <c r="I56" s="35"/>
      <c r="J56" s="36"/>
      <c r="K56" s="37"/>
      <c r="L56" s="35"/>
      <c r="M56" s="35"/>
      <c r="N56" s="35"/>
      <c r="O56" s="35"/>
      <c r="P56" s="35"/>
      <c r="Q56" s="35"/>
      <c r="R56" s="35"/>
      <c r="S56" s="35"/>
      <c r="T56" s="35"/>
      <c r="U56" s="35"/>
      <c r="V56" s="35"/>
      <c r="W56" s="35"/>
      <c r="X56" s="35"/>
      <c r="Y56" s="35"/>
      <c r="Z56" s="35"/>
      <c r="AA56" s="35"/>
      <c r="AB56" s="35"/>
      <c r="AC56" s="35"/>
      <c r="AD56" s="35"/>
      <c r="AE56" s="35"/>
      <c r="AF56" s="35"/>
      <c r="AG56" s="35"/>
      <c r="AH56" s="187"/>
      <c r="AI56" s="35"/>
    </row>
    <row r="57" spans="1:36" s="360" customFormat="1" ht="18" customHeight="1">
      <c r="A57" s="397" t="s">
        <v>1996</v>
      </c>
      <c r="B57" s="187" t="s">
        <v>2290</v>
      </c>
      <c r="C57" s="29"/>
      <c r="D57" s="187"/>
      <c r="E57" s="272"/>
      <c r="F57" s="272"/>
      <c r="G57" s="35"/>
      <c r="H57" s="35"/>
      <c r="I57" s="35"/>
      <c r="J57" s="36"/>
      <c r="K57" s="37"/>
      <c r="L57" s="35"/>
      <c r="M57" s="35"/>
      <c r="N57" s="35"/>
      <c r="O57" s="35"/>
      <c r="P57" s="35"/>
      <c r="Q57" s="35"/>
      <c r="R57" s="35"/>
      <c r="S57" s="35"/>
      <c r="T57" s="35"/>
      <c r="U57" s="35"/>
      <c r="V57" s="35"/>
      <c r="W57" s="35"/>
      <c r="X57" s="35"/>
      <c r="Y57" s="35"/>
      <c r="Z57" s="35"/>
      <c r="AA57" s="35"/>
      <c r="AB57" s="35"/>
      <c r="AC57" s="35"/>
      <c r="AD57" s="35"/>
      <c r="AE57" s="35"/>
      <c r="AF57" s="35"/>
      <c r="AG57" s="35"/>
      <c r="AH57" s="187"/>
      <c r="AI57" s="35"/>
    </row>
    <row r="58" spans="1:36" s="360" customFormat="1" ht="18" customHeight="1">
      <c r="A58" s="398" t="s">
        <v>1997</v>
      </c>
      <c r="B58" s="186" t="s">
        <v>2288</v>
      </c>
      <c r="C58" s="29"/>
      <c r="D58" s="187"/>
      <c r="E58" s="272"/>
      <c r="F58" s="272"/>
      <c r="G58" s="35"/>
      <c r="H58" s="35"/>
      <c r="I58" s="35"/>
      <c r="J58" s="36"/>
      <c r="K58" s="37"/>
      <c r="L58" s="35"/>
      <c r="M58" s="35"/>
      <c r="N58" s="35"/>
      <c r="O58" s="35"/>
      <c r="P58" s="35"/>
      <c r="Q58" s="35"/>
      <c r="R58" s="35"/>
      <c r="S58" s="35"/>
      <c r="T58" s="35"/>
      <c r="U58" s="35"/>
      <c r="V58" s="35"/>
      <c r="W58" s="35"/>
      <c r="X58" s="35"/>
      <c r="Y58" s="35"/>
      <c r="Z58" s="35"/>
      <c r="AA58" s="35"/>
      <c r="AB58" s="35"/>
      <c r="AC58" s="35"/>
      <c r="AD58" s="35"/>
      <c r="AE58" s="35"/>
      <c r="AF58" s="35"/>
      <c r="AG58" s="35"/>
      <c r="AH58" s="187"/>
      <c r="AI58" s="35"/>
    </row>
    <row r="59" spans="1:36" s="360" customFormat="1" ht="18" customHeight="1">
      <c r="A59" s="397" t="s">
        <v>1998</v>
      </c>
      <c r="B59" s="175" t="s">
        <v>2291</v>
      </c>
      <c r="C59" s="29"/>
      <c r="D59" s="187"/>
      <c r="E59" s="272"/>
      <c r="F59" s="272"/>
      <c r="G59" s="35"/>
      <c r="H59" s="35"/>
      <c r="I59" s="35"/>
      <c r="J59" s="36"/>
      <c r="K59" s="37"/>
      <c r="L59" s="35"/>
      <c r="M59" s="35"/>
      <c r="N59" s="35"/>
      <c r="O59" s="35"/>
      <c r="P59" s="35"/>
      <c r="Q59" s="35"/>
      <c r="R59" s="35"/>
      <c r="S59" s="35"/>
      <c r="T59" s="35"/>
      <c r="U59" s="35"/>
      <c r="V59" s="35"/>
      <c r="W59" s="35"/>
      <c r="X59" s="35"/>
      <c r="Y59" s="35"/>
      <c r="Z59" s="35"/>
      <c r="AA59" s="35"/>
      <c r="AB59" s="35"/>
      <c r="AC59" s="35"/>
      <c r="AD59" s="35"/>
      <c r="AE59" s="35"/>
      <c r="AF59" s="35"/>
      <c r="AG59" s="35"/>
      <c r="AH59" s="187"/>
      <c r="AI59" s="35"/>
    </row>
    <row r="60" spans="1:36" s="360" customFormat="1" ht="18" customHeight="1">
      <c r="A60" s="398" t="s">
        <v>1999</v>
      </c>
      <c r="B60" s="187" t="s">
        <v>2290</v>
      </c>
      <c r="C60" s="29"/>
      <c r="D60" s="187"/>
      <c r="E60" s="272"/>
      <c r="F60" s="272"/>
      <c r="G60" s="35"/>
      <c r="H60" s="35"/>
      <c r="I60" s="35"/>
      <c r="J60" s="36"/>
      <c r="K60" s="37"/>
      <c r="L60" s="35"/>
      <c r="M60" s="35"/>
      <c r="N60" s="35"/>
      <c r="O60" s="35"/>
      <c r="P60" s="35"/>
      <c r="Q60" s="35"/>
      <c r="R60" s="35"/>
      <c r="S60" s="35"/>
      <c r="T60" s="35"/>
      <c r="U60" s="35"/>
      <c r="V60" s="35"/>
      <c r="W60" s="35"/>
      <c r="X60" s="35"/>
      <c r="Y60" s="35"/>
      <c r="Z60" s="35"/>
      <c r="AA60" s="35"/>
      <c r="AB60" s="35"/>
      <c r="AC60" s="35"/>
      <c r="AD60" s="35"/>
      <c r="AE60" s="35"/>
      <c r="AF60" s="35"/>
      <c r="AG60" s="35"/>
      <c r="AH60" s="187"/>
      <c r="AI60" s="35"/>
    </row>
    <row r="61" spans="1:36" s="360" customFormat="1" ht="18" customHeight="1">
      <c r="A61" s="398" t="s">
        <v>2000</v>
      </c>
      <c r="B61" s="255" t="s">
        <v>2294</v>
      </c>
      <c r="C61" s="29"/>
      <c r="D61" s="187"/>
      <c r="E61" s="272"/>
      <c r="F61" s="272"/>
      <c r="G61" s="35"/>
      <c r="H61" s="35"/>
      <c r="I61" s="35"/>
      <c r="J61" s="36"/>
      <c r="K61" s="37"/>
      <c r="L61" s="35"/>
      <c r="M61" s="35"/>
      <c r="N61" s="35"/>
      <c r="O61" s="35"/>
      <c r="P61" s="35"/>
      <c r="Q61" s="35"/>
      <c r="R61" s="35"/>
      <c r="S61" s="35"/>
      <c r="T61" s="35"/>
      <c r="U61" s="35"/>
      <c r="V61" s="35"/>
      <c r="W61" s="35"/>
      <c r="X61" s="35"/>
      <c r="Y61" s="35"/>
      <c r="Z61" s="35"/>
      <c r="AA61" s="35"/>
      <c r="AB61" s="35"/>
      <c r="AC61" s="35"/>
      <c r="AD61" s="35"/>
      <c r="AE61" s="35"/>
      <c r="AF61" s="35"/>
      <c r="AG61" s="35"/>
      <c r="AH61" s="187"/>
      <c r="AI61" s="35"/>
    </row>
    <row r="62" spans="1:36" s="360" customFormat="1" ht="18" customHeight="1">
      <c r="A62" s="398" t="s">
        <v>2001</v>
      </c>
      <c r="B62" s="186" t="s">
        <v>2288</v>
      </c>
      <c r="C62" s="29"/>
      <c r="D62" s="187"/>
      <c r="E62" s="272"/>
      <c r="F62" s="272"/>
      <c r="G62" s="35"/>
      <c r="H62" s="35"/>
      <c r="I62" s="35"/>
      <c r="J62" s="36"/>
      <c r="K62" s="37"/>
      <c r="L62" s="35"/>
      <c r="M62" s="35"/>
      <c r="N62" s="35"/>
      <c r="O62" s="35"/>
      <c r="P62" s="35"/>
      <c r="Q62" s="35"/>
      <c r="R62" s="35"/>
      <c r="S62" s="35"/>
      <c r="T62" s="35"/>
      <c r="U62" s="35"/>
      <c r="V62" s="35"/>
      <c r="W62" s="35"/>
      <c r="X62" s="35"/>
      <c r="Y62" s="35"/>
      <c r="Z62" s="35"/>
      <c r="AA62" s="35"/>
      <c r="AB62" s="35"/>
      <c r="AC62" s="35"/>
      <c r="AD62" s="35"/>
      <c r="AE62" s="35"/>
      <c r="AF62" s="35"/>
      <c r="AG62" s="35"/>
      <c r="AH62" s="187"/>
      <c r="AI62" s="35"/>
    </row>
    <row r="63" spans="1:36" s="360" customFormat="1" ht="18" customHeight="1">
      <c r="A63" s="187"/>
      <c r="B63" s="187"/>
      <c r="C63" s="29"/>
      <c r="D63" s="34"/>
      <c r="E63" s="272"/>
      <c r="F63" s="272"/>
      <c r="G63" s="35"/>
      <c r="H63" s="35"/>
      <c r="I63" s="35"/>
      <c r="J63" s="36"/>
      <c r="K63" s="37"/>
      <c r="L63" s="35"/>
      <c r="M63" s="35"/>
      <c r="N63" s="35"/>
      <c r="O63" s="35"/>
      <c r="P63" s="35"/>
      <c r="Q63" s="35"/>
      <c r="R63" s="35"/>
      <c r="S63" s="35"/>
      <c r="T63" s="35"/>
      <c r="U63" s="35"/>
      <c r="V63" s="35"/>
      <c r="W63" s="35"/>
      <c r="X63" s="35"/>
      <c r="Y63" s="35"/>
      <c r="Z63" s="35"/>
      <c r="AA63" s="35"/>
      <c r="AB63" s="35"/>
      <c r="AC63" s="35"/>
      <c r="AD63" s="35"/>
      <c r="AE63" s="35"/>
      <c r="AF63" s="35"/>
      <c r="AG63" s="35"/>
      <c r="AH63" s="187"/>
      <c r="AI63" s="35"/>
    </row>
    <row r="64" spans="1:36" ht="18" customHeight="1">
      <c r="A64" s="31" t="s">
        <v>1147</v>
      </c>
      <c r="B64" s="187"/>
      <c r="C64" s="34"/>
      <c r="D64" s="34"/>
      <c r="E64" s="272"/>
      <c r="F64" s="272"/>
      <c r="G64" s="30"/>
      <c r="H64" s="30"/>
      <c r="I64" s="30"/>
      <c r="J64" s="32"/>
      <c r="K64" s="33"/>
      <c r="L64" s="30"/>
      <c r="M64" s="30"/>
      <c r="N64" s="30"/>
      <c r="O64" s="30"/>
      <c r="P64" s="30"/>
      <c r="Q64" s="30"/>
      <c r="R64" s="30"/>
      <c r="S64" s="30"/>
      <c r="U64" s="338"/>
      <c r="AA64" s="338"/>
      <c r="AB64" s="338"/>
      <c r="AC64" s="338"/>
      <c r="AD64" s="338"/>
      <c r="AE64" s="338"/>
      <c r="AF64" s="338"/>
      <c r="AG64" s="338"/>
      <c r="AH64" s="175"/>
      <c r="AI64" s="338"/>
    </row>
    <row r="65" spans="1:35" ht="18" customHeight="1">
      <c r="A65" s="27" t="s">
        <v>1995</v>
      </c>
      <c r="B65" s="194" t="s">
        <v>2452</v>
      </c>
      <c r="C65" s="187"/>
      <c r="D65" s="187"/>
      <c r="E65" s="272"/>
      <c r="F65" s="272"/>
      <c r="G65" s="30"/>
      <c r="H65" s="30"/>
      <c r="I65" s="30"/>
      <c r="J65" s="32"/>
      <c r="K65" s="33"/>
      <c r="L65" s="30"/>
      <c r="M65" s="30"/>
      <c r="N65" s="30"/>
      <c r="O65" s="30"/>
      <c r="P65" s="30"/>
      <c r="Q65" s="30"/>
      <c r="R65" s="30"/>
      <c r="S65" s="30"/>
      <c r="U65" s="338"/>
      <c r="AA65" s="338"/>
      <c r="AB65" s="338"/>
      <c r="AC65" s="338"/>
      <c r="AD65" s="338"/>
      <c r="AE65" s="338"/>
      <c r="AF65" s="338"/>
      <c r="AG65" s="338"/>
      <c r="AH65" s="175"/>
      <c r="AI65" s="338"/>
    </row>
    <row r="66" spans="1:35" ht="18" customHeight="1">
      <c r="A66" s="395" t="s">
        <v>1994</v>
      </c>
      <c r="B66" s="194" t="s">
        <v>2453</v>
      </c>
      <c r="C66" s="34"/>
      <c r="D66" s="29"/>
      <c r="E66" s="272"/>
      <c r="F66" s="272"/>
      <c r="G66" s="30"/>
      <c r="H66" s="30"/>
      <c r="I66" s="30"/>
      <c r="J66" s="32"/>
      <c r="K66" s="33"/>
      <c r="L66" s="30"/>
      <c r="M66" s="30"/>
      <c r="N66" s="30"/>
      <c r="O66" s="30"/>
      <c r="P66" s="30"/>
      <c r="Q66" s="30"/>
      <c r="R66" s="30"/>
      <c r="S66" s="30"/>
      <c r="U66" s="338"/>
      <c r="AA66" s="338"/>
      <c r="AB66" s="338"/>
      <c r="AC66" s="338"/>
      <c r="AD66" s="338"/>
      <c r="AE66" s="338"/>
      <c r="AF66" s="338"/>
      <c r="AG66" s="338"/>
      <c r="AH66" s="175"/>
      <c r="AI66" s="338"/>
    </row>
    <row r="67" spans="1:35" ht="18" customHeight="1">
      <c r="A67" s="396"/>
      <c r="B67" s="175"/>
      <c r="C67" s="187"/>
      <c r="D67" s="29"/>
      <c r="E67" s="272"/>
      <c r="F67" s="272"/>
      <c r="G67" s="30"/>
      <c r="H67" s="30"/>
      <c r="I67" s="30"/>
      <c r="J67" s="32"/>
      <c r="K67" s="33"/>
      <c r="L67" s="30"/>
      <c r="M67" s="30"/>
      <c r="N67" s="30"/>
      <c r="O67" s="30"/>
      <c r="P67" s="30"/>
      <c r="Q67" s="30"/>
      <c r="R67" s="30"/>
      <c r="S67" s="30"/>
      <c r="U67" s="338"/>
      <c r="AA67" s="338"/>
      <c r="AB67" s="338"/>
      <c r="AC67" s="338"/>
      <c r="AD67" s="338"/>
      <c r="AE67" s="338"/>
      <c r="AF67" s="338"/>
      <c r="AG67" s="338"/>
      <c r="AH67" s="175"/>
      <c r="AI67" s="338"/>
    </row>
    <row r="68" spans="1:35" ht="18" customHeight="1">
      <c r="A68" s="27" t="s">
        <v>1992</v>
      </c>
      <c r="B68" s="194" t="s">
        <v>1991</v>
      </c>
      <c r="C68" s="187"/>
      <c r="D68" s="29"/>
      <c r="E68" s="272"/>
      <c r="F68" s="272"/>
      <c r="G68" s="30"/>
      <c r="H68" s="30"/>
      <c r="I68" s="30"/>
      <c r="J68" s="32"/>
      <c r="K68" s="33"/>
      <c r="L68" s="30"/>
      <c r="M68" s="30"/>
      <c r="N68" s="30"/>
      <c r="O68" s="30"/>
      <c r="P68" s="30"/>
      <c r="Q68" s="30"/>
      <c r="R68" s="30"/>
      <c r="S68" s="30"/>
      <c r="U68" s="338"/>
      <c r="AA68" s="338"/>
      <c r="AB68" s="338"/>
      <c r="AC68" s="338"/>
      <c r="AD68" s="338"/>
      <c r="AE68" s="338"/>
      <c r="AF68" s="338"/>
      <c r="AG68" s="338"/>
      <c r="AH68" s="175"/>
      <c r="AI68" s="338"/>
    </row>
    <row r="69" spans="1:35" ht="18" customHeight="1">
      <c r="A69" s="395" t="s">
        <v>1993</v>
      </c>
      <c r="B69" s="194" t="s">
        <v>2447</v>
      </c>
      <c r="C69" s="187"/>
      <c r="D69" s="29"/>
      <c r="E69" s="272"/>
      <c r="F69" s="272"/>
      <c r="G69" s="30"/>
      <c r="H69" s="30"/>
      <c r="I69" s="30"/>
      <c r="J69" s="32"/>
      <c r="K69" s="33"/>
      <c r="L69" s="30"/>
      <c r="M69" s="30"/>
      <c r="N69" s="30"/>
      <c r="O69" s="30"/>
      <c r="P69" s="30"/>
      <c r="Q69" s="30"/>
      <c r="R69" s="30"/>
      <c r="S69" s="30"/>
      <c r="U69" s="338"/>
      <c r="AA69" s="338"/>
      <c r="AB69" s="338"/>
      <c r="AC69" s="338"/>
      <c r="AD69" s="338"/>
      <c r="AE69" s="338"/>
      <c r="AF69" s="338"/>
      <c r="AG69" s="338"/>
      <c r="AH69" s="175"/>
      <c r="AI69" s="338"/>
    </row>
    <row r="70" spans="1:35" ht="18" customHeight="1">
      <c r="A70" s="27" t="s">
        <v>1996</v>
      </c>
      <c r="B70" s="194" t="s">
        <v>2448</v>
      </c>
      <c r="C70" s="187"/>
      <c r="D70" s="29"/>
      <c r="E70" s="272"/>
      <c r="F70" s="272"/>
      <c r="G70" s="30"/>
      <c r="H70" s="30"/>
      <c r="I70" s="30"/>
      <c r="J70" s="32"/>
      <c r="K70" s="33"/>
      <c r="L70" s="30"/>
      <c r="M70" s="30"/>
      <c r="N70" s="30"/>
      <c r="O70" s="30"/>
      <c r="P70" s="30"/>
      <c r="Q70" s="30"/>
      <c r="R70" s="30"/>
      <c r="S70" s="30"/>
      <c r="U70" s="338"/>
      <c r="AA70" s="338"/>
      <c r="AB70" s="338"/>
      <c r="AC70" s="338"/>
      <c r="AD70" s="338"/>
      <c r="AE70" s="338"/>
      <c r="AF70" s="338"/>
      <c r="AG70" s="338"/>
      <c r="AH70" s="175"/>
      <c r="AI70" s="338"/>
    </row>
    <row r="71" spans="1:35" ht="18" customHeight="1">
      <c r="A71" s="395" t="s">
        <v>1997</v>
      </c>
      <c r="B71" s="194" t="s">
        <v>2446</v>
      </c>
      <c r="C71" s="187"/>
      <c r="D71" s="29"/>
      <c r="E71" s="272"/>
      <c r="F71" s="272"/>
      <c r="G71" s="30"/>
      <c r="H71" s="30"/>
      <c r="I71" s="30"/>
      <c r="J71" s="32"/>
      <c r="K71" s="33"/>
      <c r="L71" s="30"/>
      <c r="M71" s="30"/>
      <c r="N71" s="30"/>
      <c r="O71" s="30"/>
      <c r="P71" s="30"/>
      <c r="Q71" s="30"/>
      <c r="R71" s="30"/>
      <c r="S71" s="30"/>
      <c r="U71" s="338"/>
      <c r="AA71" s="338"/>
      <c r="AB71" s="338"/>
      <c r="AC71" s="338"/>
      <c r="AD71" s="338"/>
      <c r="AE71" s="338"/>
      <c r="AF71" s="338"/>
      <c r="AG71" s="338"/>
      <c r="AH71" s="175"/>
      <c r="AI71" s="338"/>
    </row>
    <row r="72" spans="1:35" ht="18" customHeight="1">
      <c r="A72" s="27" t="s">
        <v>1998</v>
      </c>
      <c r="B72" s="194" t="s">
        <v>1310</v>
      </c>
      <c r="C72" s="187"/>
      <c r="D72" s="29"/>
      <c r="E72" s="272"/>
      <c r="F72" s="272"/>
      <c r="G72" s="30"/>
      <c r="H72" s="30"/>
      <c r="I72" s="30"/>
      <c r="J72" s="32"/>
      <c r="K72" s="33"/>
      <c r="L72" s="30"/>
      <c r="M72" s="30"/>
      <c r="N72" s="30"/>
      <c r="O72" s="30"/>
      <c r="P72" s="30"/>
      <c r="Q72" s="30"/>
      <c r="R72" s="30"/>
      <c r="S72" s="30"/>
      <c r="U72" s="338"/>
      <c r="AA72" s="338"/>
      <c r="AB72" s="338"/>
      <c r="AC72" s="338"/>
      <c r="AD72" s="338"/>
      <c r="AE72" s="338"/>
      <c r="AF72" s="338"/>
      <c r="AG72" s="338"/>
      <c r="AH72" s="175"/>
      <c r="AI72" s="338"/>
    </row>
    <row r="73" spans="1:35" ht="18" customHeight="1">
      <c r="A73" s="395" t="s">
        <v>1999</v>
      </c>
      <c r="B73" s="194" t="s">
        <v>2449</v>
      </c>
      <c r="C73" s="29"/>
      <c r="D73" s="29"/>
      <c r="E73" s="272"/>
      <c r="F73" s="272"/>
      <c r="G73" s="30"/>
      <c r="H73" s="30"/>
      <c r="I73" s="30"/>
      <c r="J73" s="32"/>
      <c r="K73" s="33"/>
      <c r="L73" s="30"/>
      <c r="M73" s="30"/>
      <c r="N73" s="30"/>
      <c r="O73" s="30"/>
      <c r="P73" s="30"/>
      <c r="Q73" s="30"/>
      <c r="R73" s="30"/>
      <c r="S73" s="30"/>
      <c r="U73" s="338"/>
      <c r="AA73" s="338"/>
      <c r="AB73" s="338"/>
      <c r="AC73" s="338"/>
      <c r="AD73" s="338"/>
      <c r="AE73" s="338"/>
      <c r="AF73" s="338"/>
      <c r="AG73" s="338"/>
      <c r="AH73" s="175"/>
      <c r="AI73" s="338"/>
    </row>
    <row r="74" spans="1:35" ht="18" customHeight="1">
      <c r="A74" s="395" t="s">
        <v>2000</v>
      </c>
      <c r="B74" s="194" t="s">
        <v>2450</v>
      </c>
      <c r="C74" s="29"/>
      <c r="D74" s="29"/>
      <c r="E74" s="272"/>
      <c r="F74" s="272"/>
      <c r="G74" s="30"/>
      <c r="H74" s="30"/>
      <c r="I74" s="30"/>
      <c r="J74" s="32"/>
      <c r="K74" s="33"/>
      <c r="L74" s="30"/>
      <c r="M74" s="30"/>
      <c r="N74" s="30"/>
      <c r="O74" s="30"/>
      <c r="P74" s="30"/>
      <c r="Q74" s="30"/>
      <c r="R74" s="30"/>
      <c r="S74" s="30"/>
      <c r="U74" s="338"/>
      <c r="AA74" s="338"/>
      <c r="AB74" s="338"/>
      <c r="AC74" s="338"/>
      <c r="AD74" s="338"/>
      <c r="AE74" s="338"/>
      <c r="AF74" s="338"/>
      <c r="AG74" s="338"/>
      <c r="AH74" s="175"/>
      <c r="AI74" s="338"/>
    </row>
    <row r="75" spans="1:35" ht="18" customHeight="1">
      <c r="A75" s="395" t="s">
        <v>2001</v>
      </c>
      <c r="B75" s="194" t="s">
        <v>2451</v>
      </c>
      <c r="C75" s="29"/>
      <c r="D75" s="29"/>
      <c r="E75" s="272"/>
      <c r="F75" s="272"/>
      <c r="G75" s="30"/>
      <c r="H75" s="30"/>
      <c r="I75" s="30"/>
      <c r="J75" s="32"/>
      <c r="K75" s="33"/>
      <c r="L75" s="30"/>
      <c r="M75" s="30"/>
      <c r="N75" s="30"/>
      <c r="O75" s="30"/>
      <c r="P75" s="30"/>
      <c r="Q75" s="30"/>
      <c r="R75" s="30"/>
      <c r="S75" s="30"/>
      <c r="U75" s="338"/>
      <c r="AA75" s="338"/>
      <c r="AB75" s="338"/>
      <c r="AC75" s="338"/>
      <c r="AD75" s="338"/>
      <c r="AE75" s="338"/>
      <c r="AF75" s="338"/>
      <c r="AG75" s="338"/>
      <c r="AH75" s="175"/>
      <c r="AI75" s="338"/>
    </row>
    <row r="76" spans="1:35" ht="18" customHeight="1">
      <c r="A76" s="29"/>
      <c r="B76" s="187"/>
      <c r="U76" s="338"/>
      <c r="AA76" s="338"/>
      <c r="AB76" s="338"/>
      <c r="AC76" s="338"/>
      <c r="AD76" s="338"/>
      <c r="AE76" s="338"/>
      <c r="AF76" s="338"/>
      <c r="AG76" s="338"/>
      <c r="AH76" s="175"/>
      <c r="AI76" s="338"/>
    </row>
    <row r="77" spans="1:35" ht="18" hidden="1" customHeight="1"/>
    <row r="78" spans="1:35" ht="18" hidden="1" customHeight="1"/>
    <row r="79" spans="1:35" ht="18" hidden="1" customHeight="1"/>
    <row r="80" spans="1:35" ht="18" hidden="1" customHeight="1"/>
    <row r="81" ht="18" hidden="1" customHeight="1"/>
    <row r="82" ht="18" hidden="1" customHeight="1"/>
    <row r="83" ht="18" hidden="1" customHeight="1"/>
    <row r="84" ht="18" hidden="1" customHeight="1"/>
    <row r="85" ht="18" hidden="1" customHeight="1"/>
    <row r="86" ht="18" hidden="1" customHeight="1"/>
    <row r="87" ht="18" hidden="1" customHeight="1"/>
    <row r="88" ht="18" hidden="1" customHeight="1"/>
    <row r="89" ht="18" hidden="1" customHeight="1"/>
    <row r="90" ht="18" hidden="1" customHeight="1"/>
    <row r="91" ht="18" hidden="1" customHeight="1"/>
    <row r="92" ht="18" hidden="1" customHeight="1"/>
    <row r="93" ht="18" hidden="1" customHeight="1"/>
    <row r="94" ht="18" hidden="1" customHeight="1"/>
    <row r="95" ht="18" hidden="1" customHeight="1"/>
    <row r="96" ht="18" hidden="1" customHeight="1"/>
    <row r="97" ht="18" hidden="1" customHeight="1"/>
    <row r="98" ht="18" hidden="1" customHeight="1"/>
    <row r="99" ht="18" hidden="1" customHeight="1"/>
    <row r="100" ht="18" hidden="1" customHeight="1"/>
    <row r="101" ht="18" hidden="1" customHeight="1"/>
    <row r="102" ht="18" hidden="1" customHeight="1"/>
    <row r="103" ht="18" hidden="1" customHeight="1"/>
    <row r="104" ht="18" hidden="1" customHeight="1"/>
    <row r="105" ht="18" hidden="1" customHeight="1"/>
    <row r="106" ht="18" hidden="1" customHeight="1"/>
    <row r="107" ht="18" hidden="1" customHeight="1"/>
    <row r="108" ht="18" hidden="1" customHeight="1"/>
    <row r="109" ht="18" hidden="1" customHeight="1"/>
    <row r="110" ht="18" hidden="1" customHeight="1"/>
    <row r="111" ht="18" hidden="1" customHeight="1"/>
    <row r="112" ht="18" hidden="1" customHeight="1"/>
    <row r="113" ht="18" hidden="1" customHeight="1"/>
    <row r="114" ht="18" hidden="1" customHeight="1"/>
    <row r="115" ht="18" hidden="1" customHeight="1"/>
    <row r="116" ht="18" hidden="1" customHeight="1"/>
    <row r="117" ht="18" hidden="1" customHeight="1"/>
    <row r="118" ht="18" hidden="1" customHeight="1"/>
    <row r="119" ht="18" hidden="1" customHeight="1"/>
    <row r="120" ht="18" hidden="1" customHeight="1"/>
    <row r="121" ht="18" hidden="1" customHeight="1"/>
    <row r="122" ht="18" hidden="1" customHeight="1"/>
    <row r="123" ht="18" hidden="1" customHeight="1"/>
    <row r="124" ht="18" hidden="1" customHeight="1"/>
    <row r="125" ht="18" hidden="1" customHeight="1"/>
    <row r="126" ht="18" hidden="1" customHeight="1"/>
    <row r="127" ht="18" hidden="1" customHeight="1"/>
    <row r="128" ht="18" hidden="1" customHeight="1"/>
    <row r="129" ht="18" hidden="1" customHeight="1"/>
    <row r="130" ht="18" hidden="1" customHeight="1"/>
    <row r="131" ht="18" hidden="1" customHeight="1"/>
    <row r="132" ht="18" hidden="1" customHeight="1"/>
    <row r="133" ht="18" hidden="1" customHeight="1"/>
    <row r="134" ht="18" hidden="1" customHeight="1"/>
    <row r="135" ht="18" hidden="1" customHeight="1"/>
    <row r="136" ht="16.2" hidden="1"/>
    <row r="137" ht="16.2" hidden="1"/>
    <row r="138" ht="18" hidden="1" customHeight="1"/>
    <row r="139" ht="18" hidden="1" customHeight="1"/>
    <row r="140" ht="18" hidden="1" customHeight="1"/>
    <row r="141" ht="18" hidden="1" customHeight="1"/>
    <row r="142" ht="18" hidden="1" customHeight="1"/>
    <row r="143" ht="18" hidden="1" customHeight="1"/>
    <row r="144" ht="18" hidden="1" customHeight="1"/>
    <row r="145" ht="18" hidden="1" customHeight="1"/>
    <row r="146" ht="18" hidden="1" customHeight="1"/>
    <row r="147" ht="18" hidden="1" customHeight="1"/>
    <row r="148" ht="18" hidden="1" customHeight="1"/>
    <row r="149" ht="18" hidden="1" customHeight="1"/>
    <row r="150" ht="18" hidden="1" customHeight="1"/>
    <row r="151" ht="18" hidden="1" customHeight="1"/>
  </sheetData>
  <mergeCells count="4">
    <mergeCell ref="J1:K1"/>
    <mergeCell ref="T2:T46"/>
    <mergeCell ref="AA2:AA46"/>
    <mergeCell ref="N6:N8"/>
  </mergeCells>
  <phoneticPr fontId="2" type="noConversion"/>
  <conditionalFormatting sqref="J2:K46">
    <cfRule type="cellIs" dxfId="158" priority="45" operator="equal">
      <formula>"/"</formula>
    </cfRule>
    <cfRule type="cellIs" dxfId="157" priority="46" operator="lessThan">
      <formula>0</formula>
    </cfRule>
    <cfRule type="cellIs" dxfId="156" priority="47" operator="greaterThan">
      <formula>0</formula>
    </cfRule>
  </conditionalFormatting>
  <conditionalFormatting sqref="G20:G34">
    <cfRule type="expression" dxfId="155" priority="44">
      <formula>OR($J$1="差距(Median)",$J$1="差距(UQ)")</formula>
    </cfRule>
  </conditionalFormatting>
  <conditionalFormatting sqref="H6:H8 H20:H34">
    <cfRule type="expression" dxfId="154" priority="43">
      <formula>$J$1="差距(LQ)"</formula>
    </cfRule>
  </conditionalFormatting>
  <conditionalFormatting sqref="M2:M46">
    <cfRule type="cellIs" dxfId="153" priority="40" operator="equal">
      <formula>2</formula>
    </cfRule>
    <cfRule type="cellIs" dxfId="152" priority="41" operator="equal">
      <formula>1</formula>
    </cfRule>
    <cfRule type="cellIs" dxfId="151" priority="42" operator="equal">
      <formula>0</formula>
    </cfRule>
  </conditionalFormatting>
  <conditionalFormatting sqref="H30">
    <cfRule type="expression" dxfId="150" priority="34">
      <formula>$J$1="差距(LQ)"</formula>
    </cfRule>
  </conditionalFormatting>
  <conditionalFormatting sqref="F6:F8">
    <cfRule type="expression" dxfId="149" priority="21">
      <formula>OR($J$1="差距(UQ)",$J$1="差距(Median)")</formula>
    </cfRule>
  </conditionalFormatting>
  <conditionalFormatting sqref="A2:N6 A7:M8 A9:N46 T2:AI46">
    <cfRule type="expression" dxfId="148" priority="1236">
      <formula>MOD(ROW(),2)=0</formula>
    </cfRule>
  </conditionalFormatting>
  <conditionalFormatting sqref="T2">
    <cfRule type="expression" dxfId="147" priority="19">
      <formula>MOD(ROW(),2)=0</formula>
    </cfRule>
  </conditionalFormatting>
  <conditionalFormatting sqref="T2 AA2 AH2:AH46">
    <cfRule type="expression" dxfId="146" priority="18">
      <formula>TRUE</formula>
    </cfRule>
  </conditionalFormatting>
  <hyperlinks>
    <hyperlink ref="B68" r:id="rId1" xr:uid="{00000000-0004-0000-1100-000000000000}"/>
    <hyperlink ref="B71" r:id="rId2" xr:uid="{00000000-0004-0000-1100-000001000000}"/>
    <hyperlink ref="B69" r:id="rId3" xr:uid="{00000000-0004-0000-1100-000002000000}"/>
    <hyperlink ref="B70" r:id="rId4" xr:uid="{00000000-0004-0000-1100-000003000000}"/>
    <hyperlink ref="B72" r:id="rId5" xr:uid="{00000000-0004-0000-1100-000004000000}"/>
    <hyperlink ref="B73" r:id="rId6" xr:uid="{00000000-0004-0000-1100-000005000000}"/>
    <hyperlink ref="B74" r:id="rId7" xr:uid="{00000000-0004-0000-1100-000006000000}"/>
    <hyperlink ref="B75" r:id="rId8" xr:uid="{00000000-0004-0000-1100-000007000000}"/>
    <hyperlink ref="B65" r:id="rId9" xr:uid="{00000000-0004-0000-1100-000008000000}"/>
    <hyperlink ref="B66" r:id="rId10" xr:uid="{00000000-0004-0000-1100-000009000000}"/>
  </hyperlinks>
  <pageMargins left="0.7" right="0.7" top="0.75" bottom="0.75" header="0.3" footer="0.3"/>
  <pageSetup paperSize="9" orientation="portrait" r:id="rId11"/>
  <legacyDrawing r:id="rId12"/>
  <extLst>
    <ext xmlns:x14="http://schemas.microsoft.com/office/spreadsheetml/2009/9/main" uri="{78C0D931-6437-407d-A8EE-F0AAD7539E65}">
      <x14:conditionalFormattings>
        <x14:conditionalFormatting xmlns:xm="http://schemas.microsoft.com/office/excel/2006/main">
          <x14:cfRule type="expression" priority="1" id="{1766E465-D837-43E7-A8D6-BB9086A44C00}">
            <xm:f>入學要求!L364=0</xm:f>
            <x14:dxf>
              <font>
                <color rgb="FF9C0006"/>
              </font>
              <fill>
                <patternFill>
                  <bgColor rgb="FFFFC7CE"/>
                </patternFill>
              </fill>
            </x14:dxf>
          </x14:cfRule>
          <x14:cfRule type="expression" priority="2" id="{8ABC3086-BCAD-4EB3-A787-F76B0CAD7E75}">
            <xm:f>入學要求!L364=2</xm:f>
            <x14:dxf>
              <font>
                <color rgb="FF9C5700"/>
              </font>
              <fill>
                <patternFill>
                  <bgColor rgb="FFFFEB9C"/>
                </patternFill>
              </fill>
            </x14:dxf>
          </x14:cfRule>
          <x14:cfRule type="expression" priority="3" id="{ECB77FD5-7882-4253-B8C7-617370B6843C}">
            <xm:f>入學要求!L364=1</xm:f>
            <x14:dxf>
              <font>
                <color rgb="FF006100"/>
              </font>
              <fill>
                <patternFill>
                  <bgColor rgb="FFC6EFCE"/>
                </patternFill>
              </fill>
            </x14:dxf>
          </x14:cfRule>
          <xm:sqref>O2:S46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100-000000000000}">
          <x14:formula1>
            <xm:f>選單!$J$1:$J$3</xm:f>
          </x14:formula1>
          <xm:sqref>J1</xm:sqref>
        </x14:dataValidation>
        <x14:dataValidation type="list" allowBlank="1" showInputMessage="1" showErrorMessage="1" xr:uid="{00000000-0002-0000-1100-000001000000}">
          <x14:formula1>
            <xm:f>選單!$I$1:$I$3</xm:f>
          </x14:formula1>
          <xm:sqref>T2</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工作表19"/>
  <dimension ref="A1:AN143"/>
  <sheetViews>
    <sheetView topLeftCell="C1" zoomScaleNormal="100" workbookViewId="0">
      <pane ySplit="2" topLeftCell="A3" activePane="bottomLeft" state="frozen"/>
      <selection activeCell="C1" sqref="C1"/>
      <selection pane="bottomLeft" activeCell="AJ8" sqref="AJ8"/>
    </sheetView>
  </sheetViews>
  <sheetFormatPr defaultColWidth="0" defaultRowHeight="13.8" zeroHeight="1"/>
  <cols>
    <col min="1" max="1" width="9" style="365" customWidth="1"/>
    <col min="2" max="2" width="17" style="433" customWidth="1"/>
    <col min="3" max="5" width="9" style="365" customWidth="1"/>
    <col min="6" max="13" width="4.6640625" style="365" customWidth="1"/>
    <col min="14" max="14" width="2.5546875" style="365" customWidth="1"/>
    <col min="15" max="22" width="4.6640625" style="365" customWidth="1"/>
    <col min="23" max="23" width="2.6640625" style="365" customWidth="1"/>
    <col min="24" max="24" width="9" style="365" customWidth="1"/>
    <col min="25" max="32" width="4.6640625" style="365" customWidth="1"/>
    <col min="33" max="33" width="9.88671875" style="365" customWidth="1"/>
    <col min="34" max="34" width="9" style="433" customWidth="1"/>
    <col min="35" max="37" width="9" style="365" customWidth="1"/>
    <col min="38" max="38" width="27.5546875" style="365" customWidth="1"/>
    <col min="39" max="39" width="0" style="365" hidden="1" customWidth="1"/>
    <col min="40" max="40" width="0" style="365" hidden="1"/>
    <col min="41" max="16384" width="9" style="365" hidden="1"/>
  </cols>
  <sheetData>
    <row r="1" spans="1:35" s="35" customFormat="1" ht="18">
      <c r="A1" s="451" t="s">
        <v>2355</v>
      </c>
      <c r="B1" s="37"/>
      <c r="S1" s="514" t="s">
        <v>2332</v>
      </c>
      <c r="AH1" s="37"/>
    </row>
    <row r="2" spans="1:35" s="431" customFormat="1">
      <c r="A2" s="431" t="s">
        <v>203</v>
      </c>
      <c r="B2" s="432" t="s">
        <v>367</v>
      </c>
      <c r="C2" s="431" t="s">
        <v>204</v>
      </c>
      <c r="F2" s="431" t="s">
        <v>369</v>
      </c>
      <c r="G2" s="431" t="s">
        <v>370</v>
      </c>
      <c r="H2" s="431" t="s">
        <v>371</v>
      </c>
      <c r="I2" s="431" t="s">
        <v>372</v>
      </c>
      <c r="J2" s="431" t="s">
        <v>2329</v>
      </c>
      <c r="K2" s="431" t="s">
        <v>2330</v>
      </c>
      <c r="L2" s="431" t="s">
        <v>2331</v>
      </c>
      <c r="M2" s="431" t="s">
        <v>64</v>
      </c>
      <c r="O2" s="431" t="s">
        <v>369</v>
      </c>
      <c r="P2" s="431" t="s">
        <v>370</v>
      </c>
      <c r="Q2" s="431" t="s">
        <v>371</v>
      </c>
      <c r="R2" s="431" t="s">
        <v>372</v>
      </c>
      <c r="S2" s="431" t="s">
        <v>2329</v>
      </c>
      <c r="T2" s="431" t="s">
        <v>2330</v>
      </c>
      <c r="U2" s="431" t="s">
        <v>2331</v>
      </c>
      <c r="V2" s="431" t="s">
        <v>64</v>
      </c>
      <c r="X2" s="431" t="s">
        <v>204</v>
      </c>
      <c r="Y2" s="431" t="s">
        <v>369</v>
      </c>
      <c r="Z2" s="431" t="s">
        <v>370</v>
      </c>
      <c r="AA2" s="431" t="s">
        <v>371</v>
      </c>
      <c r="AB2" s="431" t="s">
        <v>372</v>
      </c>
      <c r="AC2" s="431" t="s">
        <v>2329</v>
      </c>
      <c r="AD2" s="431" t="s">
        <v>2330</v>
      </c>
      <c r="AE2" s="431" t="s">
        <v>2331</v>
      </c>
      <c r="AF2" s="431" t="s">
        <v>64</v>
      </c>
      <c r="AG2" s="431" t="s">
        <v>2482</v>
      </c>
      <c r="AH2" s="435" t="s">
        <v>2483</v>
      </c>
    </row>
    <row r="3" spans="1:35" s="35" customFormat="1">
      <c r="A3" s="35" t="s">
        <v>395</v>
      </c>
      <c r="B3" s="37" t="s">
        <v>485</v>
      </c>
      <c r="C3" s="35" t="s">
        <v>190</v>
      </c>
      <c r="D3" s="35" t="s">
        <v>395</v>
      </c>
      <c r="E3" s="35" t="s">
        <v>994</v>
      </c>
      <c r="F3" s="35">
        <v>7</v>
      </c>
      <c r="G3" s="35">
        <v>4</v>
      </c>
      <c r="H3" s="35">
        <v>4</v>
      </c>
      <c r="I3" s="35">
        <v>4</v>
      </c>
      <c r="J3" s="35">
        <v>4</v>
      </c>
      <c r="K3" s="35">
        <v>4</v>
      </c>
      <c r="L3" s="35">
        <v>3</v>
      </c>
      <c r="M3" s="35">
        <v>0</v>
      </c>
      <c r="O3" s="35">
        <v>10</v>
      </c>
      <c r="P3" s="35">
        <v>10</v>
      </c>
      <c r="Q3" s="35">
        <v>10</v>
      </c>
      <c r="R3" s="35">
        <v>10</v>
      </c>
      <c r="S3" s="35">
        <v>10</v>
      </c>
      <c r="T3" s="35">
        <v>5</v>
      </c>
      <c r="U3" s="35">
        <v>5</v>
      </c>
      <c r="V3" s="35">
        <v>5</v>
      </c>
      <c r="X3" s="35" t="s">
        <v>190</v>
      </c>
      <c r="Y3" s="272">
        <f>(F3+0.0000000000001)*O3</f>
        <v>70.000000000001009</v>
      </c>
      <c r="Z3" s="272">
        <f>(G3+0.0000000000002)*P3</f>
        <v>40.000000000001997</v>
      </c>
      <c r="AA3" s="272">
        <f>(H3+0.0000000000003)*Q3</f>
        <v>40.000000000002998</v>
      </c>
      <c r="AB3" s="272">
        <f>(I3+0.0000000000004)*R3</f>
        <v>40.000000000003993</v>
      </c>
      <c r="AC3" s="272">
        <f>(J3+0.0000000000005)*S3</f>
        <v>40.000000000005002</v>
      </c>
      <c r="AD3" s="272">
        <f>(K3+0.0000000000006)*T3</f>
        <v>20.000000000003002</v>
      </c>
      <c r="AE3" s="35">
        <f>(L3+0.0000000000007)*U3</f>
        <v>15.000000000003499</v>
      </c>
      <c r="AF3" s="35">
        <f>(M3+0.0000000000008)*V3</f>
        <v>3.9999999999999999E-12</v>
      </c>
      <c r="AG3" s="35">
        <f>SUM(Y3:AB3)+LARGE(AC3:AF3,1)+LARGE(AC3:AF3,2)</f>
        <v>250.00000000001802</v>
      </c>
      <c r="AH3" s="37"/>
    </row>
    <row r="4" spans="1:35" s="35" customFormat="1">
      <c r="B4" s="37"/>
      <c r="E4" s="35" t="s">
        <v>995</v>
      </c>
      <c r="F4" s="35">
        <v>4</v>
      </c>
      <c r="G4" s="35">
        <v>4</v>
      </c>
      <c r="H4" s="35">
        <v>4</v>
      </c>
      <c r="I4" s="35">
        <v>4</v>
      </c>
      <c r="J4" s="35">
        <v>5.5</v>
      </c>
      <c r="K4" s="35">
        <v>5.5</v>
      </c>
      <c r="L4" s="35">
        <v>0</v>
      </c>
      <c r="M4" s="35">
        <v>0</v>
      </c>
      <c r="O4" s="35">
        <v>10</v>
      </c>
      <c r="P4" s="35">
        <v>10</v>
      </c>
      <c r="Q4" s="35">
        <v>10</v>
      </c>
      <c r="R4" s="35">
        <v>10</v>
      </c>
      <c r="S4" s="35">
        <v>10</v>
      </c>
      <c r="T4" s="35">
        <v>5</v>
      </c>
      <c r="U4" s="35">
        <v>5</v>
      </c>
      <c r="V4" s="35">
        <v>5</v>
      </c>
      <c r="Y4" s="272">
        <f>(F4+0.0000000000001)*O4</f>
        <v>40.000000000001002</v>
      </c>
      <c r="Z4" s="272">
        <f>(G4+0.0000000000002)*P4</f>
        <v>40.000000000001997</v>
      </c>
      <c r="AA4" s="272">
        <f>(H4+0.0000000000003)*Q4</f>
        <v>40.000000000002998</v>
      </c>
      <c r="AB4" s="272">
        <f>(I4+0.0000000000004)*R4</f>
        <v>40.000000000003993</v>
      </c>
      <c r="AC4" s="272">
        <f>(J4+0.0000000000005)*S4</f>
        <v>55.000000000005002</v>
      </c>
      <c r="AD4" s="272">
        <f>(K4+0.0000000000006)*T4</f>
        <v>27.500000000003002</v>
      </c>
      <c r="AE4" s="35">
        <f>(L4+0.0000000000007)*U4</f>
        <v>3.5E-12</v>
      </c>
      <c r="AF4" s="35">
        <f>(M4+0.0000000000008)*V4</f>
        <v>3.9999999999999999E-12</v>
      </c>
      <c r="AG4" s="35">
        <f>SUM(Y4:AB4)+LARGE(AC4:AF4,1)+LARGE(AC4:AF4,2)</f>
        <v>242.50000000001802</v>
      </c>
      <c r="AH4" s="37"/>
    </row>
    <row r="5" spans="1:35" s="35" customFormat="1">
      <c r="B5" s="37"/>
      <c r="Y5" s="272"/>
      <c r="Z5" s="272"/>
      <c r="AA5" s="272"/>
      <c r="AB5" s="272"/>
      <c r="AC5" s="272"/>
      <c r="AD5" s="272"/>
      <c r="AH5" s="37"/>
    </row>
    <row r="6" spans="1:35" s="35" customFormat="1">
      <c r="A6" s="35" t="s">
        <v>396</v>
      </c>
      <c r="B6" s="37" t="s">
        <v>486</v>
      </c>
      <c r="C6" s="35" t="s">
        <v>189</v>
      </c>
      <c r="D6" s="35" t="s">
        <v>396</v>
      </c>
      <c r="E6" s="35" t="s">
        <v>994</v>
      </c>
      <c r="F6" s="35">
        <v>4</v>
      </c>
      <c r="G6" s="35">
        <v>4</v>
      </c>
      <c r="H6" s="35">
        <v>5.5</v>
      </c>
      <c r="I6" s="35">
        <v>4</v>
      </c>
      <c r="J6" s="35">
        <v>4</v>
      </c>
      <c r="K6" s="35">
        <v>4</v>
      </c>
      <c r="L6" s="35">
        <v>0</v>
      </c>
      <c r="M6" s="35">
        <v>0</v>
      </c>
      <c r="O6" s="35">
        <v>7</v>
      </c>
      <c r="P6" s="35">
        <v>10</v>
      </c>
      <c r="Q6" s="35">
        <v>10</v>
      </c>
      <c r="R6" s="35">
        <v>7</v>
      </c>
      <c r="S6" s="35">
        <v>10</v>
      </c>
      <c r="T6" s="35">
        <v>10</v>
      </c>
      <c r="U6" s="35">
        <v>10</v>
      </c>
      <c r="V6" s="35">
        <v>10</v>
      </c>
      <c r="X6" s="35" t="s">
        <v>189</v>
      </c>
      <c r="Y6" s="35">
        <f>(F6+0.0000000000001)*O6</f>
        <v>28.000000000000703</v>
      </c>
      <c r="Z6" s="272">
        <f>(G6+0.0000000000002)*P6</f>
        <v>40.000000000001997</v>
      </c>
      <c r="AA6" s="272">
        <f>(H6+0.0000000000003)*Q6</f>
        <v>55.000000000002998</v>
      </c>
      <c r="AB6" s="272">
        <f>(I6+0.0000000000004)*R6</f>
        <v>28.0000000000028</v>
      </c>
      <c r="AC6" s="272">
        <f>(J6+0.0000000000005)*S6</f>
        <v>40.000000000005002</v>
      </c>
      <c r="AD6" s="272">
        <f>(K6+0.0000000000006)*T6</f>
        <v>40.000000000006004</v>
      </c>
      <c r="AE6" s="35">
        <f>(L6+0.0000000000007)*U6</f>
        <v>7.0000000000000001E-12</v>
      </c>
      <c r="AF6" s="35">
        <f>(M6+0.0000000000008)*V6</f>
        <v>7.9999999999999998E-12</v>
      </c>
      <c r="AG6" s="35">
        <f>LARGE(Y6:AF6,1)+LARGE(Y6:AF6,2)+LARGE(Y6:AF6,3)+LARGE(Y6:AF6,4)+LARGE(Y6:AF6,5)</f>
        <v>203.00000000001882</v>
      </c>
      <c r="AH6" s="37"/>
    </row>
    <row r="7" spans="1:35" s="35" customFormat="1">
      <c r="B7" s="37"/>
      <c r="E7" s="35" t="s">
        <v>995</v>
      </c>
      <c r="F7" s="494">
        <v>4</v>
      </c>
      <c r="G7" s="494">
        <v>4</v>
      </c>
      <c r="H7" s="494">
        <v>4</v>
      </c>
      <c r="I7" s="494">
        <v>3</v>
      </c>
      <c r="J7" s="494">
        <v>4</v>
      </c>
      <c r="K7" s="494">
        <v>4</v>
      </c>
      <c r="L7" s="494">
        <v>0</v>
      </c>
      <c r="M7" s="494">
        <v>0</v>
      </c>
      <c r="N7" s="495"/>
      <c r="O7" s="494">
        <v>7</v>
      </c>
      <c r="P7" s="494">
        <v>10</v>
      </c>
      <c r="Q7" s="494">
        <v>10</v>
      </c>
      <c r="R7" s="494">
        <v>7</v>
      </c>
      <c r="S7" s="494">
        <v>10</v>
      </c>
      <c r="T7" s="494">
        <v>10</v>
      </c>
      <c r="U7" s="494">
        <v>10</v>
      </c>
      <c r="V7" s="494">
        <v>10</v>
      </c>
      <c r="Y7" s="35">
        <f>(F7+0.0000000000001)*O7</f>
        <v>28.000000000000703</v>
      </c>
      <c r="Z7" s="272">
        <f>(G7+0.0000000000002)*P7</f>
        <v>40.000000000001997</v>
      </c>
      <c r="AA7" s="272">
        <f>(H7+0.0000000000003)*Q7</f>
        <v>40.000000000002998</v>
      </c>
      <c r="AB7" s="35">
        <f>(I7+0.0000000000004)*R7</f>
        <v>21.0000000000028</v>
      </c>
      <c r="AC7" s="272">
        <f>(J7+0.0000000000005)*S7</f>
        <v>40.000000000005002</v>
      </c>
      <c r="AD7" s="272">
        <f>(K7+0.0000000000006)*T7</f>
        <v>40.000000000006004</v>
      </c>
      <c r="AE7" s="35">
        <f>(L7+0.0000000000007)*U7</f>
        <v>7.0000000000000001E-12</v>
      </c>
      <c r="AF7" s="35">
        <f>(M7+0.0000000000008)*V7</f>
        <v>7.9999999999999998E-12</v>
      </c>
      <c r="AG7" s="35">
        <f>LARGE(Y7:AF7,1)+LARGE(Y7:AF7,2)+LARGE(Y7:AF7,3)+LARGE(Y7:AF7,4)+LARGE(Y7:AF7,5)</f>
        <v>188.00000000001671</v>
      </c>
      <c r="AH7" s="37"/>
    </row>
    <row r="8" spans="1:35" s="35" customFormat="1">
      <c r="B8" s="37"/>
      <c r="Z8" s="272"/>
      <c r="AA8" s="272"/>
      <c r="AB8" s="272"/>
      <c r="AC8" s="272"/>
      <c r="AD8" s="272"/>
      <c r="AH8" s="37"/>
    </row>
    <row r="9" spans="1:35" s="35" customFormat="1">
      <c r="A9" s="35" t="s">
        <v>397</v>
      </c>
      <c r="B9" s="37" t="s">
        <v>487</v>
      </c>
      <c r="C9" s="35" t="s">
        <v>189</v>
      </c>
      <c r="D9" s="35" t="s">
        <v>397</v>
      </c>
      <c r="E9" s="35" t="s">
        <v>994</v>
      </c>
      <c r="F9" s="35">
        <v>3</v>
      </c>
      <c r="G9" s="35">
        <v>3</v>
      </c>
      <c r="H9" s="35">
        <v>5.5</v>
      </c>
      <c r="I9" s="35">
        <v>3</v>
      </c>
      <c r="J9" s="35">
        <v>4</v>
      </c>
      <c r="K9" s="35">
        <v>4</v>
      </c>
      <c r="L9" s="35">
        <v>0</v>
      </c>
      <c r="M9" s="35">
        <v>2</v>
      </c>
      <c r="O9" s="35">
        <v>7</v>
      </c>
      <c r="P9" s="35">
        <v>10</v>
      </c>
      <c r="Q9" s="35">
        <v>10</v>
      </c>
      <c r="R9" s="35">
        <v>7</v>
      </c>
      <c r="S9" s="35">
        <v>10</v>
      </c>
      <c r="T9" s="35">
        <v>10</v>
      </c>
      <c r="U9" s="35">
        <v>10</v>
      </c>
      <c r="V9" s="35">
        <v>10</v>
      </c>
      <c r="X9" s="35" t="s">
        <v>189</v>
      </c>
      <c r="Y9" s="35">
        <f>(F9+0.0000000000001)*O9</f>
        <v>21.0000000000007</v>
      </c>
      <c r="Z9" s="272">
        <f>(G9+0.0000000000002)*P9</f>
        <v>30.000000000001997</v>
      </c>
      <c r="AA9" s="272">
        <f>(H9+0.0000000000003)*Q9</f>
        <v>55.000000000002998</v>
      </c>
      <c r="AB9" s="272">
        <f>(I9+0.0000000000004)*R9</f>
        <v>21.0000000000028</v>
      </c>
      <c r="AC9" s="272">
        <f>(J9+0.0000000000005)*S9</f>
        <v>40.000000000005002</v>
      </c>
      <c r="AD9" s="272">
        <f>(K9+0.0000000000006)*T9</f>
        <v>40.000000000006004</v>
      </c>
      <c r="AE9" s="35">
        <f>(L9+0.0000000000007)*U9</f>
        <v>7.0000000000000001E-12</v>
      </c>
      <c r="AF9" s="35">
        <f>(M9+0.0000000000008)*V9</f>
        <v>20.000000000007997</v>
      </c>
      <c r="AG9" s="35">
        <f>LARGE(Y9:AF9,1)+LARGE(Y9:AF9,2)+LARGE(Y9:AF9,3)+LARGE(Y9:AF9,4)+LARGE(Y9:AF9,5)</f>
        <v>186.00000000001882</v>
      </c>
      <c r="AH9" s="37"/>
    </row>
    <row r="10" spans="1:35" s="35" customFormat="1">
      <c r="B10" s="37"/>
      <c r="E10" s="35" t="s">
        <v>995</v>
      </c>
      <c r="F10" s="494">
        <v>3</v>
      </c>
      <c r="G10" s="494">
        <v>3</v>
      </c>
      <c r="H10" s="494">
        <v>3</v>
      </c>
      <c r="I10" s="494">
        <v>3</v>
      </c>
      <c r="J10" s="494">
        <v>4</v>
      </c>
      <c r="K10" s="494">
        <v>4</v>
      </c>
      <c r="L10" s="494">
        <v>3</v>
      </c>
      <c r="M10" s="494">
        <v>0</v>
      </c>
      <c r="N10" s="495"/>
      <c r="O10" s="494">
        <v>7</v>
      </c>
      <c r="P10" s="494">
        <v>10</v>
      </c>
      <c r="Q10" s="494">
        <v>10</v>
      </c>
      <c r="R10" s="494">
        <v>7</v>
      </c>
      <c r="S10" s="494">
        <v>10</v>
      </c>
      <c r="T10" s="494">
        <v>10</v>
      </c>
      <c r="U10" s="494">
        <v>10</v>
      </c>
      <c r="V10" s="494">
        <v>10</v>
      </c>
      <c r="Y10" s="35">
        <f>(F10+0.0000000000001)*O10</f>
        <v>21.0000000000007</v>
      </c>
      <c r="Z10" s="272">
        <f>(G10+0.0000000000002)*P10</f>
        <v>30.000000000001997</v>
      </c>
      <c r="AA10" s="272">
        <f>(H10+0.0000000000003)*Q10</f>
        <v>30.000000000003002</v>
      </c>
      <c r="AB10" s="35">
        <f>(I10+0.0000000000004)*R10</f>
        <v>21.0000000000028</v>
      </c>
      <c r="AC10" s="272">
        <f>(J10+0.0000000000005)*S10</f>
        <v>40.000000000005002</v>
      </c>
      <c r="AD10" s="272">
        <f>(K10+0.0000000000006)*T10</f>
        <v>40.000000000006004</v>
      </c>
      <c r="AE10" s="272">
        <f>(L10+0.0000000000007)*U10</f>
        <v>30.000000000006999</v>
      </c>
      <c r="AF10" s="35">
        <f>(M10+0.0000000000008)*V10</f>
        <v>7.9999999999999998E-12</v>
      </c>
      <c r="AG10" s="35">
        <f>LARGE(Y10:AF10,1)+LARGE(Y10:AF10,2)+LARGE(Y10:AF10,3)+LARGE(Y10:AF10,4)+LARGE(Y10:AF10,5)</f>
        <v>170.00000000002299</v>
      </c>
      <c r="AH10" s="37"/>
    </row>
    <row r="11" spans="1:35" s="35" customFormat="1">
      <c r="B11" s="37"/>
      <c r="Z11" s="272"/>
      <c r="AA11" s="272"/>
      <c r="AB11" s="272"/>
      <c r="AC11" s="272"/>
      <c r="AD11" s="272"/>
      <c r="AH11" s="37"/>
    </row>
    <row r="12" spans="1:35" s="35" customFormat="1">
      <c r="A12" s="35" t="s">
        <v>398</v>
      </c>
      <c r="B12" s="37" t="s">
        <v>488</v>
      </c>
      <c r="C12" s="434" t="s">
        <v>189</v>
      </c>
      <c r="D12" s="35" t="s">
        <v>398</v>
      </c>
      <c r="E12" s="35" t="s">
        <v>994</v>
      </c>
      <c r="F12" s="35">
        <v>4</v>
      </c>
      <c r="G12" s="35">
        <v>4</v>
      </c>
      <c r="H12" s="35">
        <v>4</v>
      </c>
      <c r="I12" s="35">
        <v>3</v>
      </c>
      <c r="J12" s="35">
        <v>4</v>
      </c>
      <c r="K12" s="35">
        <v>3</v>
      </c>
      <c r="L12" s="35">
        <v>0</v>
      </c>
      <c r="M12" s="35">
        <v>0</v>
      </c>
      <c r="O12" s="35">
        <v>7</v>
      </c>
      <c r="P12" s="35">
        <v>10</v>
      </c>
      <c r="Q12" s="35">
        <v>10</v>
      </c>
      <c r="R12" s="35">
        <v>7</v>
      </c>
      <c r="S12" s="35">
        <v>10</v>
      </c>
      <c r="T12" s="35">
        <v>10</v>
      </c>
      <c r="U12" s="35">
        <v>10</v>
      </c>
      <c r="V12" s="35">
        <v>10</v>
      </c>
      <c r="X12" s="434" t="s">
        <v>189</v>
      </c>
      <c r="Y12" s="272">
        <f>(F12+0.0000000000001)*O12</f>
        <v>28.000000000000703</v>
      </c>
      <c r="Z12" s="272">
        <f>(G12+0.0000000000002)*P12</f>
        <v>40.000000000001997</v>
      </c>
      <c r="AA12" s="272">
        <f>(H12+0.0000000000003)*Q12</f>
        <v>40.000000000002998</v>
      </c>
      <c r="AB12" s="35">
        <f>(I12+0.0000000000004)*R12</f>
        <v>21.0000000000028</v>
      </c>
      <c r="AC12" s="272">
        <f>(J12+0.0000000000005)*S12</f>
        <v>40.000000000005002</v>
      </c>
      <c r="AD12" s="272">
        <f>(K12+0.0000000000006)*T12</f>
        <v>30.000000000006001</v>
      </c>
      <c r="AE12" s="35">
        <f>(L12+0.0000000000007)*U12</f>
        <v>7.0000000000000001E-12</v>
      </c>
      <c r="AF12" s="35">
        <f>(M12+0.0000000000008)*V12</f>
        <v>7.9999999999999998E-12</v>
      </c>
      <c r="AG12" s="35">
        <f>LARGE(Y12:AF12,1)+LARGE(Y12:AF12,2)+LARGE(Y12:AF12,3)+LARGE(Y12:AF12,4)+LARGE(Y12:AF12,5)</f>
        <v>178.00000000001671</v>
      </c>
      <c r="AH12" s="450" t="s">
        <v>2487</v>
      </c>
    </row>
    <row r="13" spans="1:35" s="35" customFormat="1">
      <c r="B13" s="37"/>
      <c r="C13" s="434"/>
      <c r="E13" s="35" t="s">
        <v>995</v>
      </c>
      <c r="F13" s="494">
        <v>3</v>
      </c>
      <c r="G13" s="494">
        <v>4</v>
      </c>
      <c r="H13" s="494">
        <v>4</v>
      </c>
      <c r="I13" s="494">
        <v>3</v>
      </c>
      <c r="J13" s="494">
        <v>4</v>
      </c>
      <c r="K13" s="494">
        <v>3</v>
      </c>
      <c r="L13" s="494">
        <v>3</v>
      </c>
      <c r="M13" s="494">
        <v>0</v>
      </c>
      <c r="N13" s="495"/>
      <c r="O13" s="494">
        <v>7</v>
      </c>
      <c r="P13" s="494">
        <v>10</v>
      </c>
      <c r="Q13" s="494">
        <v>10</v>
      </c>
      <c r="R13" s="494">
        <v>7</v>
      </c>
      <c r="S13" s="494">
        <v>10</v>
      </c>
      <c r="T13" s="494">
        <v>10</v>
      </c>
      <c r="U13" s="493">
        <v>5</v>
      </c>
      <c r="V13" s="494">
        <v>10</v>
      </c>
      <c r="X13" s="434"/>
      <c r="Y13" s="35">
        <f>(F13+0.0000000000001)*O13</f>
        <v>21.0000000000007</v>
      </c>
      <c r="Z13" s="272">
        <f>(G13+0.0000000000002)*P13</f>
        <v>40.000000000001997</v>
      </c>
      <c r="AA13" s="272">
        <f>(H13+0.0000000000003)*Q13</f>
        <v>40.000000000002998</v>
      </c>
      <c r="AB13" s="272">
        <f>(I13+0.0000000000004)*R13</f>
        <v>21.0000000000028</v>
      </c>
      <c r="AC13" s="272">
        <f>(J13+0.0000000000005)*S13</f>
        <v>40.000000000005002</v>
      </c>
      <c r="AD13" s="272">
        <f>(K13+0.0000000000006)*T13</f>
        <v>30.000000000006001</v>
      </c>
      <c r="AE13" s="35">
        <f>(L13+0.0000000000007)*U13</f>
        <v>15.000000000003499</v>
      </c>
      <c r="AF13" s="35">
        <f>(M13+0.0000000000008)*V13</f>
        <v>7.9999999999999998E-12</v>
      </c>
      <c r="AG13" s="35">
        <f>LARGE(Y13:AF13,1)+LARGE(Y13:AF13,2)+LARGE(Y13:AF13,3)+LARGE(Y13:AF13,4)+LARGE(Y13:AF13,5)</f>
        <v>171.00000000001882</v>
      </c>
      <c r="AH13" s="450"/>
      <c r="AI13" s="450" t="s">
        <v>2486</v>
      </c>
    </row>
    <row r="14" spans="1:35" s="35" customFormat="1">
      <c r="B14" s="37"/>
      <c r="C14" s="434"/>
      <c r="X14" s="434"/>
      <c r="Y14" s="272"/>
      <c r="Z14" s="272"/>
      <c r="AA14" s="272"/>
      <c r="AC14" s="272"/>
      <c r="AD14" s="272"/>
      <c r="AH14" s="450"/>
    </row>
    <row r="15" spans="1:35" s="35" customFormat="1">
      <c r="A15" s="35" t="s">
        <v>399</v>
      </c>
      <c r="B15" s="37" t="s">
        <v>489</v>
      </c>
      <c r="C15" s="434" t="s">
        <v>189</v>
      </c>
      <c r="D15" s="35" t="s">
        <v>399</v>
      </c>
      <c r="E15" s="35" t="s">
        <v>994</v>
      </c>
      <c r="F15" s="35">
        <v>4</v>
      </c>
      <c r="G15" s="35">
        <v>3</v>
      </c>
      <c r="H15" s="35">
        <v>4</v>
      </c>
      <c r="I15" s="35">
        <v>4</v>
      </c>
      <c r="J15" s="35">
        <v>5.5</v>
      </c>
      <c r="K15" s="35">
        <v>4</v>
      </c>
      <c r="L15" s="35">
        <v>0</v>
      </c>
      <c r="M15" s="35">
        <v>5.5</v>
      </c>
      <c r="O15" s="35">
        <v>7</v>
      </c>
      <c r="P15" s="35">
        <v>10</v>
      </c>
      <c r="Q15" s="35">
        <v>10</v>
      </c>
      <c r="R15" s="35">
        <v>7</v>
      </c>
      <c r="S15" s="272">
        <v>7</v>
      </c>
      <c r="T15" s="35">
        <v>5</v>
      </c>
      <c r="U15" s="35">
        <v>5</v>
      </c>
      <c r="V15" s="35">
        <v>5</v>
      </c>
      <c r="X15" s="434" t="s">
        <v>189</v>
      </c>
      <c r="Y15" s="272">
        <f>(F15+0.0000000000001)*O15</f>
        <v>28.000000000000703</v>
      </c>
      <c r="Z15" s="272">
        <f>(G15+0.0000000000002)*P15</f>
        <v>30.000000000001997</v>
      </c>
      <c r="AA15" s="272">
        <f>(H15+0.0000000000003)*Q15</f>
        <v>40.000000000002998</v>
      </c>
      <c r="AB15" s="272">
        <f>(I15+0.0000000000004)*R15</f>
        <v>28.0000000000028</v>
      </c>
      <c r="AC15" s="272">
        <f>(J15+0.0000000000005)*S15</f>
        <v>38.500000000003503</v>
      </c>
      <c r="AD15" s="35">
        <f>(K15+0.0000000000006)*T15</f>
        <v>20.000000000003002</v>
      </c>
      <c r="AE15" s="35">
        <f>(L15+0.0000000000007)*U15</f>
        <v>3.5E-12</v>
      </c>
      <c r="AF15" s="35">
        <f>(M15+0.0000000000008)*V15</f>
        <v>27.500000000004</v>
      </c>
      <c r="AG15" s="35">
        <f>LARGE(Y15:AF15,1)+LARGE(Y15:AF15,2)+LARGE(Y15:AF15,3)+LARGE(Y15:AF15,4)+LARGE(Y15:AF15,5)</f>
        <v>164.50000000001202</v>
      </c>
      <c r="AH15" s="37" t="s">
        <v>2485</v>
      </c>
    </row>
    <row r="16" spans="1:35" s="35" customFormat="1">
      <c r="B16" s="37"/>
      <c r="C16" s="434"/>
      <c r="E16" s="35" t="s">
        <v>995</v>
      </c>
      <c r="F16" s="494">
        <v>4</v>
      </c>
      <c r="G16" s="494">
        <v>4</v>
      </c>
      <c r="H16" s="494">
        <v>4</v>
      </c>
      <c r="I16" s="494">
        <v>4</v>
      </c>
      <c r="J16" s="494">
        <v>5.5</v>
      </c>
      <c r="K16" s="494">
        <v>4</v>
      </c>
      <c r="L16" s="494">
        <v>0</v>
      </c>
      <c r="M16" s="494">
        <v>0</v>
      </c>
      <c r="N16" s="495"/>
      <c r="O16" s="494">
        <v>7</v>
      </c>
      <c r="P16" s="494">
        <v>10</v>
      </c>
      <c r="Q16" s="494">
        <v>10</v>
      </c>
      <c r="R16" s="494">
        <v>7</v>
      </c>
      <c r="S16" s="494">
        <v>5</v>
      </c>
      <c r="T16" s="494">
        <v>5</v>
      </c>
      <c r="U16" s="494">
        <v>5</v>
      </c>
      <c r="V16" s="494">
        <v>5</v>
      </c>
      <c r="X16" s="434"/>
      <c r="Y16" s="272">
        <f>(F16+0.0000000000001)*O16</f>
        <v>28.000000000000703</v>
      </c>
      <c r="Z16" s="272">
        <f>(G16+0.0000000000002)*P16</f>
        <v>40.000000000001997</v>
      </c>
      <c r="AA16" s="272">
        <f>(H16+0.0000000000003)*Q16</f>
        <v>40.000000000002998</v>
      </c>
      <c r="AB16" s="272">
        <f>(I16+0.0000000000004)*R16</f>
        <v>28.0000000000028</v>
      </c>
      <c r="AC16" s="272">
        <f>(J16+0.0000000000005)*S16</f>
        <v>27.500000000002501</v>
      </c>
      <c r="AD16" s="35">
        <f>(K16+0.0000000000006)*T16</f>
        <v>20.000000000003002</v>
      </c>
      <c r="AE16" s="35">
        <f>(L16+0.0000000000007)*U16</f>
        <v>3.5E-12</v>
      </c>
      <c r="AF16" s="35">
        <f>(M16+0.0000000000008)*V16</f>
        <v>3.9999999999999999E-12</v>
      </c>
      <c r="AG16" s="35">
        <f>LARGE(Y16:AF16,1)+LARGE(Y16:AF16,2)+LARGE(Y16:AF16,3)+LARGE(Y16:AF16,4)+LARGE(Y16:AF16,5)</f>
        <v>163.500000000011</v>
      </c>
      <c r="AH16" s="37"/>
      <c r="AI16" s="37" t="s">
        <v>2484</v>
      </c>
    </row>
    <row r="17" spans="1:35" s="35" customFormat="1">
      <c r="B17" s="37"/>
      <c r="C17" s="434"/>
      <c r="S17" s="272"/>
      <c r="X17" s="434"/>
      <c r="Y17" s="272"/>
      <c r="Z17" s="272"/>
      <c r="AA17" s="272"/>
      <c r="AB17" s="272"/>
      <c r="AC17" s="272"/>
      <c r="AH17" s="37"/>
    </row>
    <row r="18" spans="1:35" s="35" customFormat="1">
      <c r="A18" s="35" t="s">
        <v>400</v>
      </c>
      <c r="B18" s="37" t="s">
        <v>490</v>
      </c>
      <c r="C18" s="35" t="s">
        <v>189</v>
      </c>
      <c r="D18" s="35" t="s">
        <v>400</v>
      </c>
      <c r="E18" s="35" t="s">
        <v>994</v>
      </c>
      <c r="F18" s="35">
        <v>4</v>
      </c>
      <c r="G18" s="35">
        <v>4</v>
      </c>
      <c r="H18" s="35">
        <v>4</v>
      </c>
      <c r="I18" s="35">
        <v>3</v>
      </c>
      <c r="J18" s="35">
        <v>5.5</v>
      </c>
      <c r="K18" s="35">
        <v>3</v>
      </c>
      <c r="L18" s="35">
        <v>3</v>
      </c>
      <c r="M18" s="35">
        <v>0</v>
      </c>
      <c r="O18" s="35">
        <v>7</v>
      </c>
      <c r="P18" s="35">
        <v>10</v>
      </c>
      <c r="Q18" s="35">
        <v>7</v>
      </c>
      <c r="R18" s="35">
        <v>7</v>
      </c>
      <c r="S18" s="35">
        <v>5</v>
      </c>
      <c r="T18" s="35">
        <v>5</v>
      </c>
      <c r="U18" s="35">
        <v>5</v>
      </c>
      <c r="V18" s="35">
        <v>5</v>
      </c>
      <c r="X18" s="35" t="s">
        <v>189</v>
      </c>
      <c r="Y18" s="272">
        <f>(F18+0.0000000000001)*O18</f>
        <v>28.000000000000703</v>
      </c>
      <c r="Z18" s="272">
        <f>(G18+0.0000000000002)*P18</f>
        <v>40.000000000001997</v>
      </c>
      <c r="AA18" s="272">
        <f>(H18+0.0000000000003)*Q18</f>
        <v>28.000000000002103</v>
      </c>
      <c r="AB18" s="272">
        <f>(I18+0.0000000000004)*R18</f>
        <v>21.0000000000028</v>
      </c>
      <c r="AC18" s="272">
        <f>(J18+0.0000000000005)*S18</f>
        <v>27.500000000002501</v>
      </c>
      <c r="AD18" s="35">
        <f>(K18+0.0000000000006)*T18</f>
        <v>15.000000000003</v>
      </c>
      <c r="AE18" s="35">
        <f>(L18+0.0000000000007)*U18</f>
        <v>15.000000000003499</v>
      </c>
      <c r="AF18" s="35">
        <f>(M18+0.0000000000008)*V18</f>
        <v>3.9999999999999999E-12</v>
      </c>
      <c r="AG18" s="35">
        <f>LARGE(Y18:AF18,1)+LARGE(Y18:AF18,2)+LARGE(Y18:AF18,3)+LARGE(Y18:AF18,4)+LARGE(Y18:AF18,5)</f>
        <v>144.50000000001012</v>
      </c>
      <c r="AH18" s="37"/>
    </row>
    <row r="19" spans="1:35" s="35" customFormat="1">
      <c r="B19" s="37"/>
      <c r="E19" s="35" t="s">
        <v>995</v>
      </c>
      <c r="F19" s="494">
        <v>4</v>
      </c>
      <c r="G19" s="494">
        <v>4</v>
      </c>
      <c r="H19" s="494">
        <v>4</v>
      </c>
      <c r="I19" s="494">
        <v>3</v>
      </c>
      <c r="J19" s="494">
        <v>4</v>
      </c>
      <c r="K19" s="494">
        <v>4</v>
      </c>
      <c r="L19" s="494">
        <v>3</v>
      </c>
      <c r="M19" s="494">
        <v>0</v>
      </c>
      <c r="N19" s="495"/>
      <c r="O19" s="494">
        <v>7</v>
      </c>
      <c r="P19" s="494">
        <v>10</v>
      </c>
      <c r="Q19" s="494">
        <v>7</v>
      </c>
      <c r="R19" s="494">
        <v>7</v>
      </c>
      <c r="S19" s="494">
        <v>5</v>
      </c>
      <c r="T19" s="494">
        <v>5</v>
      </c>
      <c r="U19" s="494">
        <v>5</v>
      </c>
      <c r="V19" s="494">
        <v>5</v>
      </c>
      <c r="Y19" s="272">
        <f>(F19+0.0000000000001)*O19</f>
        <v>28.000000000000703</v>
      </c>
      <c r="Z19" s="272">
        <f>(G19+0.0000000000002)*P19</f>
        <v>40.000000000001997</v>
      </c>
      <c r="AA19" s="272">
        <f>(H19+0.0000000000003)*Q19</f>
        <v>28.000000000002103</v>
      </c>
      <c r="AB19" s="272">
        <f>(I19+0.0000000000004)*R19</f>
        <v>21.0000000000028</v>
      </c>
      <c r="AC19" s="35">
        <f>(J19+0.0000000000005)*S19</f>
        <v>20.000000000002501</v>
      </c>
      <c r="AD19" s="35">
        <f>(K19+0.0000000000006)*T19</f>
        <v>20.000000000003002</v>
      </c>
      <c r="AE19" s="35">
        <f>(L19+0.0000000000007)*U19</f>
        <v>15.000000000003499</v>
      </c>
      <c r="AF19" s="35">
        <f>(M19+0.0000000000008)*V19</f>
        <v>3.9999999999999999E-12</v>
      </c>
      <c r="AG19" s="35">
        <f>LARGE(Y19:AF19,1)+LARGE(Y19:AF19,2)+LARGE(Y19:AF19,3)+LARGE(Y19:AF19,4)+LARGE(Y19:AF19,5)</f>
        <v>137.0000000000106</v>
      </c>
      <c r="AH19" s="37"/>
    </row>
    <row r="20" spans="1:35" s="35" customFormat="1">
      <c r="B20" s="37"/>
      <c r="Y20" s="272"/>
      <c r="Z20" s="272"/>
      <c r="AA20" s="272"/>
      <c r="AB20" s="272"/>
      <c r="AC20" s="272"/>
      <c r="AH20" s="37"/>
    </row>
    <row r="21" spans="1:35" s="35" customFormat="1">
      <c r="A21" s="35" t="s">
        <v>401</v>
      </c>
      <c r="B21" s="37" t="s">
        <v>491</v>
      </c>
      <c r="C21" s="35" t="s">
        <v>189</v>
      </c>
      <c r="D21" s="35" t="s">
        <v>401</v>
      </c>
      <c r="E21" s="35" t="s">
        <v>994</v>
      </c>
      <c r="F21" s="35">
        <v>3</v>
      </c>
      <c r="G21" s="35">
        <v>3</v>
      </c>
      <c r="H21" s="35">
        <v>5.5</v>
      </c>
      <c r="I21" s="35">
        <v>4</v>
      </c>
      <c r="J21" s="35">
        <v>5.5</v>
      </c>
      <c r="K21" s="35">
        <v>4</v>
      </c>
      <c r="L21" s="35">
        <v>0</v>
      </c>
      <c r="M21" s="35">
        <v>4</v>
      </c>
      <c r="O21" s="35">
        <v>7</v>
      </c>
      <c r="P21" s="35">
        <v>10</v>
      </c>
      <c r="Q21" s="35">
        <v>10</v>
      </c>
      <c r="R21" s="35">
        <v>7</v>
      </c>
      <c r="S21" s="272">
        <v>7</v>
      </c>
      <c r="T21" s="35">
        <v>5</v>
      </c>
      <c r="U21" s="35">
        <v>5</v>
      </c>
      <c r="V21" s="35">
        <v>5</v>
      </c>
      <c r="X21" s="35" t="s">
        <v>189</v>
      </c>
      <c r="Y21" s="272">
        <f>(F21+0.0000000000001)*O21</f>
        <v>21.0000000000007</v>
      </c>
      <c r="Z21" s="272">
        <f>(G21+0.0000000000002)*P21</f>
        <v>30.000000000001997</v>
      </c>
      <c r="AA21" s="272">
        <f>(H21+0.0000000000003)*Q21</f>
        <v>55.000000000002998</v>
      </c>
      <c r="AB21" s="272">
        <f>(I21+0.0000000000004)*R21</f>
        <v>28.0000000000028</v>
      </c>
      <c r="AC21" s="272">
        <f>(J21+0.0000000000005)*S21</f>
        <v>38.500000000003503</v>
      </c>
      <c r="AD21" s="35">
        <f>(K21+0.0000000000006)*T21</f>
        <v>20.000000000003002</v>
      </c>
      <c r="AE21" s="35">
        <f>(L21+0.0000000000007)*U21</f>
        <v>3.5E-12</v>
      </c>
      <c r="AF21" s="35">
        <f>(M21+0.0000000000008)*V21</f>
        <v>20.000000000004</v>
      </c>
      <c r="AG21" s="35">
        <f>LARGE(Y21:AF21,1)+LARGE(Y21:AF21,2)+LARGE(Y21:AF21,3)+LARGE(Y21:AF21,4)+LARGE(Y21:AF21,5)</f>
        <v>172.50000000001202</v>
      </c>
      <c r="AH21" s="450" t="s">
        <v>2495</v>
      </c>
    </row>
    <row r="22" spans="1:35" s="35" customFormat="1">
      <c r="B22" s="37"/>
      <c r="E22" s="35" t="s">
        <v>995</v>
      </c>
      <c r="F22" s="494">
        <v>4</v>
      </c>
      <c r="G22" s="494">
        <v>4</v>
      </c>
      <c r="H22" s="494">
        <v>4</v>
      </c>
      <c r="I22" s="494">
        <v>4</v>
      </c>
      <c r="J22" s="494">
        <v>5.5</v>
      </c>
      <c r="K22" s="494">
        <v>4</v>
      </c>
      <c r="L22" s="494">
        <v>0</v>
      </c>
      <c r="M22" s="494">
        <v>0</v>
      </c>
      <c r="N22" s="495"/>
      <c r="O22" s="494">
        <v>7</v>
      </c>
      <c r="P22" s="494">
        <v>10</v>
      </c>
      <c r="Q22" s="494">
        <v>10</v>
      </c>
      <c r="R22" s="494">
        <v>7</v>
      </c>
      <c r="S22" s="494">
        <v>5</v>
      </c>
      <c r="T22" s="494">
        <v>5</v>
      </c>
      <c r="U22" s="494">
        <v>5</v>
      </c>
      <c r="V22" s="494">
        <v>5</v>
      </c>
      <c r="Y22" s="272">
        <f>(F22+0.0000000000001)*O22</f>
        <v>28.000000000000703</v>
      </c>
      <c r="Z22" s="272">
        <f>(G22+0.0000000000002)*P22</f>
        <v>40.000000000001997</v>
      </c>
      <c r="AA22" s="272">
        <f>(H22+0.0000000000003)*Q22</f>
        <v>40.000000000002998</v>
      </c>
      <c r="AB22" s="272">
        <f>(I22+0.0000000000004)*R22</f>
        <v>28.0000000000028</v>
      </c>
      <c r="AC22" s="272">
        <f>(J22+0.0000000000005)*S22</f>
        <v>27.500000000002501</v>
      </c>
      <c r="AD22" s="35">
        <f>(K22+0.0000000000006)*T22</f>
        <v>20.000000000003002</v>
      </c>
      <c r="AE22" s="35">
        <f>(L22+0.0000000000007)*U22</f>
        <v>3.5E-12</v>
      </c>
      <c r="AF22" s="35">
        <f>(M22+0.0000000000008)*V22</f>
        <v>3.9999999999999999E-12</v>
      </c>
      <c r="AG22" s="35">
        <f>LARGE(Y22:AF22,1)+LARGE(Y22:AF22,2)+LARGE(Y22:AF22,3)+LARGE(Y22:AF22,4)+LARGE(Y22:AF22,5)</f>
        <v>163.500000000011</v>
      </c>
      <c r="AH22" s="37"/>
      <c r="AI22" s="37" t="s">
        <v>2484</v>
      </c>
    </row>
    <row r="23" spans="1:35" s="35" customFormat="1">
      <c r="B23" s="37"/>
      <c r="S23" s="272"/>
      <c r="Y23" s="272"/>
      <c r="Z23" s="272"/>
      <c r="AA23" s="272"/>
      <c r="AB23" s="272"/>
      <c r="AC23" s="272"/>
      <c r="AH23" s="37"/>
    </row>
    <row r="24" spans="1:35" s="35" customFormat="1">
      <c r="A24" s="35" t="s">
        <v>402</v>
      </c>
      <c r="B24" s="37" t="s">
        <v>492</v>
      </c>
      <c r="C24" s="35" t="s">
        <v>548</v>
      </c>
      <c r="D24" s="35" t="s">
        <v>402</v>
      </c>
      <c r="E24" s="35" t="s">
        <v>994</v>
      </c>
      <c r="F24" s="35">
        <v>5.5</v>
      </c>
      <c r="G24" s="35">
        <v>5.5</v>
      </c>
      <c r="H24" s="35">
        <v>5.5</v>
      </c>
      <c r="I24" s="35">
        <v>4</v>
      </c>
      <c r="J24" s="35">
        <v>7</v>
      </c>
      <c r="K24" s="35">
        <v>7</v>
      </c>
      <c r="L24" s="35">
        <v>7</v>
      </c>
      <c r="M24" s="35">
        <v>0</v>
      </c>
      <c r="O24" s="35">
        <v>7</v>
      </c>
      <c r="P24" s="35">
        <v>10</v>
      </c>
      <c r="Q24" s="35">
        <v>10</v>
      </c>
      <c r="R24" s="35">
        <v>7</v>
      </c>
      <c r="S24" s="35">
        <v>10</v>
      </c>
      <c r="T24" s="35">
        <v>10</v>
      </c>
      <c r="U24" s="35">
        <v>5</v>
      </c>
      <c r="V24" s="35">
        <v>10</v>
      </c>
      <c r="X24" s="35" t="s">
        <v>548</v>
      </c>
      <c r="Y24" s="272">
        <f>(F24+0.0000000000001)*O24</f>
        <v>38.500000000000703</v>
      </c>
      <c r="Z24" s="272">
        <f>(G24+0.0000000000002)*P24</f>
        <v>55.000000000001997</v>
      </c>
      <c r="AA24" s="272">
        <f>(H24+0.0000000000003)*Q24</f>
        <v>55.000000000002998</v>
      </c>
      <c r="AB24" s="35">
        <f>(I24+0.0000000000004)*R24</f>
        <v>28.0000000000028</v>
      </c>
      <c r="AC24" s="272">
        <f>(J24+0.0000000000005)*S24</f>
        <v>70.000000000005002</v>
      </c>
      <c r="AD24" s="272">
        <f>(K24+0.0000000000006)*T24</f>
        <v>70.000000000005997</v>
      </c>
      <c r="AE24" s="272">
        <f>(L24+0.0000000000007)*U24</f>
        <v>35.000000000003496</v>
      </c>
      <c r="AF24" s="35">
        <f>(M24+0.0000000000008)*V24</f>
        <v>7.9999999999999998E-12</v>
      </c>
      <c r="AG24" s="35">
        <f>LARGE(Y24:AF24,1)+LARGE(Y24:AF24,2)+LARGE(Y24:AF24,3)+LARGE(Y24:AF24,4)+LARGE(Y24:AF24,5)+LARGE(Y24:AF24,6)</f>
        <v>323.50000000002012</v>
      </c>
      <c r="AH24" s="37" t="s">
        <v>2490</v>
      </c>
    </row>
    <row r="25" spans="1:35" s="35" customFormat="1">
      <c r="B25" s="37"/>
      <c r="E25" s="35" t="s">
        <v>995</v>
      </c>
      <c r="F25" s="494">
        <v>4</v>
      </c>
      <c r="G25" s="494">
        <v>4</v>
      </c>
      <c r="H25" s="494">
        <v>7</v>
      </c>
      <c r="I25" s="494">
        <v>5.5</v>
      </c>
      <c r="J25" s="494">
        <v>7</v>
      </c>
      <c r="K25" s="494">
        <v>5.5</v>
      </c>
      <c r="L25" s="494">
        <v>5.5</v>
      </c>
      <c r="M25" s="494">
        <v>7</v>
      </c>
      <c r="N25" s="495"/>
      <c r="O25" s="494">
        <v>7</v>
      </c>
      <c r="P25" s="494">
        <v>10</v>
      </c>
      <c r="Q25" s="494">
        <v>10</v>
      </c>
      <c r="R25" s="494">
        <v>7</v>
      </c>
      <c r="S25" s="494">
        <v>10</v>
      </c>
      <c r="T25" s="493">
        <v>5</v>
      </c>
      <c r="U25" s="494">
        <v>5</v>
      </c>
      <c r="V25" s="494">
        <v>10</v>
      </c>
      <c r="Y25" s="272">
        <f>(F25+0.0000000000001)*O25</f>
        <v>28.000000000000703</v>
      </c>
      <c r="Z25" s="272">
        <f>(G25+0.0000000000002)*P25</f>
        <v>40.000000000001997</v>
      </c>
      <c r="AA25" s="272">
        <f>(H25+0.0000000000003)*Q25</f>
        <v>70.000000000002998</v>
      </c>
      <c r="AB25" s="35">
        <f>(I25+0.0000000000004)*R25</f>
        <v>38.5000000000028</v>
      </c>
      <c r="AC25" s="272">
        <f>(J25+0.0000000000005)*S25</f>
        <v>70.000000000005002</v>
      </c>
      <c r="AD25" s="35">
        <f>(K25+0.0000000000006)*T25</f>
        <v>27.500000000003002</v>
      </c>
      <c r="AE25" s="35">
        <f>(L25+0.0000000000007)*U25</f>
        <v>27.500000000003499</v>
      </c>
      <c r="AF25" s="35">
        <f>(M25+0.0000000000008)*V25</f>
        <v>70.000000000008001</v>
      </c>
      <c r="AG25" s="35">
        <f>LARGE(Y25:AF25,1)+LARGE(Y25:AF25,2)+LARGE(Y25:AF25,3)+LARGE(Y25:AF25,4)+LARGE(Y25:AF25,5)+LARGE(Y25:AF25,6)</f>
        <v>316.50000000002149</v>
      </c>
      <c r="AH25" s="37"/>
      <c r="AI25" s="37" t="s">
        <v>2489</v>
      </c>
    </row>
    <row r="26" spans="1:35" s="35" customFormat="1">
      <c r="B26" s="37"/>
      <c r="Y26" s="272"/>
      <c r="Z26" s="272"/>
      <c r="AA26" s="272"/>
      <c r="AC26" s="272"/>
      <c r="AD26" s="272"/>
      <c r="AE26" s="272"/>
      <c r="AH26" s="37"/>
    </row>
    <row r="27" spans="1:35" s="35" customFormat="1">
      <c r="A27" s="35" t="s">
        <v>403</v>
      </c>
      <c r="B27" s="37" t="s">
        <v>493</v>
      </c>
      <c r="C27" s="35" t="s">
        <v>189</v>
      </c>
      <c r="D27" s="35" t="s">
        <v>403</v>
      </c>
      <c r="E27" s="35" t="s">
        <v>994</v>
      </c>
      <c r="F27" s="35">
        <v>4</v>
      </c>
      <c r="G27" s="35">
        <v>4</v>
      </c>
      <c r="H27" s="35">
        <v>4</v>
      </c>
      <c r="I27" s="35">
        <v>4</v>
      </c>
      <c r="J27" s="35">
        <v>4</v>
      </c>
      <c r="K27" s="35">
        <v>4</v>
      </c>
      <c r="L27" s="35">
        <v>0</v>
      </c>
      <c r="M27" s="35">
        <v>0</v>
      </c>
      <c r="O27" s="35">
        <v>7</v>
      </c>
      <c r="P27" s="35">
        <v>10</v>
      </c>
      <c r="Q27" s="35">
        <v>7</v>
      </c>
      <c r="R27" s="35">
        <v>7</v>
      </c>
      <c r="S27" s="35">
        <v>10</v>
      </c>
      <c r="T27" s="35">
        <v>10</v>
      </c>
      <c r="U27" s="35">
        <v>10</v>
      </c>
      <c r="V27" s="35">
        <v>5</v>
      </c>
      <c r="X27" s="35" t="s">
        <v>189</v>
      </c>
      <c r="Y27" s="35">
        <f>(F27+0.0000000000001)*O27</f>
        <v>28.000000000000703</v>
      </c>
      <c r="Z27" s="272">
        <f>(G27+0.0000000000002)*P27</f>
        <v>40.000000000001997</v>
      </c>
      <c r="AA27" s="272">
        <f>(H27+0.0000000000003)*Q27</f>
        <v>28.000000000002103</v>
      </c>
      <c r="AB27" s="272">
        <f>(I27+0.0000000000004)*R27</f>
        <v>28.0000000000028</v>
      </c>
      <c r="AC27" s="272">
        <f>(J27+0.0000000000005)*S27</f>
        <v>40.000000000005002</v>
      </c>
      <c r="AD27" s="272">
        <f>(K27+0.0000000000006)*T27</f>
        <v>40.000000000006004</v>
      </c>
      <c r="AE27" s="35">
        <f>(L27+0.0000000000007)*U27</f>
        <v>7.0000000000000001E-12</v>
      </c>
      <c r="AF27" s="35">
        <f>(M27+0.0000000000008)*V27</f>
        <v>3.9999999999999999E-12</v>
      </c>
      <c r="AG27" s="35">
        <f>LARGE(Y27:AF27,1)+LARGE(Y27:AF27,2)+LARGE(Y27:AF27,3)+LARGE(Y27:AF27,4)+LARGE(Y27:AF27,5)</f>
        <v>176.00000000001791</v>
      </c>
      <c r="AH27" s="37"/>
    </row>
    <row r="28" spans="1:35" s="35" customFormat="1">
      <c r="B28" s="37"/>
      <c r="E28" s="35" t="s">
        <v>995</v>
      </c>
      <c r="F28" s="494">
        <v>4</v>
      </c>
      <c r="G28" s="494">
        <v>4</v>
      </c>
      <c r="H28" s="494">
        <v>4</v>
      </c>
      <c r="I28" s="494">
        <v>4</v>
      </c>
      <c r="J28" s="494">
        <v>4</v>
      </c>
      <c r="K28" s="494">
        <v>3</v>
      </c>
      <c r="L28" s="494">
        <v>0</v>
      </c>
      <c r="M28" s="494">
        <v>0</v>
      </c>
      <c r="N28" s="495"/>
      <c r="O28" s="494">
        <v>7</v>
      </c>
      <c r="P28" s="494">
        <v>10</v>
      </c>
      <c r="Q28" s="494">
        <v>7</v>
      </c>
      <c r="R28" s="494">
        <v>7</v>
      </c>
      <c r="S28" s="494">
        <v>10</v>
      </c>
      <c r="T28" s="494">
        <v>10</v>
      </c>
      <c r="U28" s="494">
        <v>10</v>
      </c>
      <c r="V28" s="494">
        <v>5</v>
      </c>
      <c r="Y28" s="35">
        <f>(F28+0.0000000000001)*O28</f>
        <v>28.000000000000703</v>
      </c>
      <c r="Z28" s="272">
        <f>(G28+0.0000000000002)*P28</f>
        <v>40.000000000001997</v>
      </c>
      <c r="AA28" s="272">
        <f>(H28+0.0000000000003)*Q28</f>
        <v>28.000000000002103</v>
      </c>
      <c r="AB28" s="272">
        <f>(I28+0.0000000000004)*R28</f>
        <v>28.0000000000028</v>
      </c>
      <c r="AC28" s="272">
        <f>(J28+0.0000000000005)*S28</f>
        <v>40.000000000005002</v>
      </c>
      <c r="AD28" s="272">
        <f>(K28+0.0000000000006)*T28</f>
        <v>30.000000000006001</v>
      </c>
      <c r="AE28" s="35">
        <f>(L28+0.0000000000007)*U28</f>
        <v>7.0000000000000001E-12</v>
      </c>
      <c r="AF28" s="35">
        <f>(M28+0.0000000000008)*V28</f>
        <v>3.9999999999999999E-12</v>
      </c>
      <c r="AG28" s="35">
        <f>LARGE(Y28:AF28,1)+LARGE(Y28:AF28,2)+LARGE(Y28:AF28,3)+LARGE(Y28:AF28,4)+LARGE(Y28:AF28,5)</f>
        <v>166.00000000001791</v>
      </c>
      <c r="AH28" s="37"/>
    </row>
    <row r="29" spans="1:35" s="35" customFormat="1">
      <c r="B29" s="37"/>
      <c r="Z29" s="272"/>
      <c r="AA29" s="272"/>
      <c r="AB29" s="272"/>
      <c r="AC29" s="272"/>
      <c r="AD29" s="272"/>
      <c r="AH29" s="37"/>
    </row>
    <row r="30" spans="1:35" s="35" customFormat="1">
      <c r="A30" s="35" t="s">
        <v>404</v>
      </c>
      <c r="B30" s="37" t="s">
        <v>494</v>
      </c>
      <c r="C30" s="35" t="s">
        <v>189</v>
      </c>
      <c r="D30" s="35" t="s">
        <v>404</v>
      </c>
      <c r="E30" s="35" t="s">
        <v>994</v>
      </c>
      <c r="F30" s="35">
        <v>3</v>
      </c>
      <c r="G30" s="35">
        <v>3</v>
      </c>
      <c r="H30" s="35">
        <v>5.5</v>
      </c>
      <c r="I30" s="35">
        <v>3</v>
      </c>
      <c r="J30" s="35">
        <v>4</v>
      </c>
      <c r="K30" s="35">
        <v>3</v>
      </c>
      <c r="L30" s="35">
        <v>3</v>
      </c>
      <c r="M30" s="35">
        <v>3</v>
      </c>
      <c r="O30" s="35">
        <v>7</v>
      </c>
      <c r="P30" s="35">
        <v>10</v>
      </c>
      <c r="Q30" s="35">
        <v>10</v>
      </c>
      <c r="R30" s="35">
        <v>7</v>
      </c>
      <c r="S30" s="35">
        <v>10</v>
      </c>
      <c r="T30" s="35">
        <v>10</v>
      </c>
      <c r="U30" s="35">
        <v>10</v>
      </c>
      <c r="V30" s="35">
        <v>10</v>
      </c>
      <c r="X30" s="35" t="s">
        <v>189</v>
      </c>
      <c r="Y30" s="35">
        <f>(F30+0.0000000000001)*O30</f>
        <v>21.0000000000007</v>
      </c>
      <c r="Z30" s="35">
        <f>(G30+0.0000000000002)*P30</f>
        <v>30.000000000001997</v>
      </c>
      <c r="AA30" s="272">
        <f>(H30+0.0000000000003)*Q30</f>
        <v>55.000000000002998</v>
      </c>
      <c r="AB30" s="35">
        <f>(I30+0.0000000000004)*R30</f>
        <v>21.0000000000028</v>
      </c>
      <c r="AC30" s="272">
        <f>(J30+0.0000000000005)*S30</f>
        <v>40.000000000005002</v>
      </c>
      <c r="AD30" s="272">
        <f>(K30+0.0000000000006)*T30</f>
        <v>30.000000000006001</v>
      </c>
      <c r="AE30" s="35">
        <f>(L30+0.0000000000007)*U30</f>
        <v>30.000000000006999</v>
      </c>
      <c r="AF30" s="35">
        <f>(M30+0.0000000000008)*V30</f>
        <v>30.000000000007997</v>
      </c>
      <c r="AG30" s="35">
        <f>LARGE(Y30:AF30,1)+LARGE(Y30:AF30,2)+LARGE(Y30:AF30,3)+LARGE(Y30:AF30,4)+LARGE(Y30:AF30,5)</f>
        <v>185.00000000002899</v>
      </c>
      <c r="AH30" s="37"/>
    </row>
    <row r="31" spans="1:35" s="35" customFormat="1">
      <c r="B31" s="37"/>
      <c r="E31" s="35" t="s">
        <v>995</v>
      </c>
      <c r="F31" s="494">
        <v>3</v>
      </c>
      <c r="G31" s="494">
        <v>4</v>
      </c>
      <c r="H31" s="494">
        <v>4</v>
      </c>
      <c r="I31" s="494">
        <v>3</v>
      </c>
      <c r="J31" s="494">
        <v>4</v>
      </c>
      <c r="K31" s="494">
        <v>3</v>
      </c>
      <c r="L31" s="494">
        <v>0</v>
      </c>
      <c r="M31" s="494">
        <v>0</v>
      </c>
      <c r="N31" s="495"/>
      <c r="O31" s="494">
        <v>7</v>
      </c>
      <c r="P31" s="494">
        <v>10</v>
      </c>
      <c r="Q31" s="494">
        <v>10</v>
      </c>
      <c r="R31" s="494">
        <v>7</v>
      </c>
      <c r="S31" s="494">
        <v>10</v>
      </c>
      <c r="T31" s="494">
        <v>10</v>
      </c>
      <c r="U31" s="494">
        <v>10</v>
      </c>
      <c r="V31" s="494">
        <v>10</v>
      </c>
      <c r="Y31" s="35">
        <f>(F31+0.0000000000001)*O31</f>
        <v>21.0000000000007</v>
      </c>
      <c r="Z31" s="272">
        <f>(G31+0.0000000000002)*P31</f>
        <v>40.000000000001997</v>
      </c>
      <c r="AA31" s="272">
        <f>(H31+0.0000000000003)*Q31</f>
        <v>40.000000000002998</v>
      </c>
      <c r="AB31" s="272">
        <f>(I31+0.0000000000004)*R31</f>
        <v>21.0000000000028</v>
      </c>
      <c r="AC31" s="272">
        <f>(J31+0.0000000000005)*S31</f>
        <v>40.000000000005002</v>
      </c>
      <c r="AD31" s="272">
        <f>(K31+0.0000000000006)*T31</f>
        <v>30.000000000006001</v>
      </c>
      <c r="AE31" s="35">
        <f>(L31+0.0000000000007)*U31</f>
        <v>7.0000000000000001E-12</v>
      </c>
      <c r="AF31" s="35">
        <f>(M31+0.0000000000008)*V31</f>
        <v>7.9999999999999998E-12</v>
      </c>
      <c r="AG31" s="35">
        <f>LARGE(Y31:AF31,1)+LARGE(Y31:AF31,2)+LARGE(Y31:AF31,3)+LARGE(Y31:AF31,4)+LARGE(Y31:AF31,5)</f>
        <v>171.00000000001882</v>
      </c>
      <c r="AH31" s="37"/>
    </row>
    <row r="32" spans="1:35" s="35" customFormat="1">
      <c r="B32" s="37"/>
      <c r="Z32" s="272"/>
      <c r="AA32" s="272"/>
      <c r="AB32" s="272"/>
      <c r="AC32" s="272"/>
      <c r="AD32" s="272"/>
      <c r="AH32" s="37"/>
    </row>
    <row r="33" spans="1:35" s="35" customFormat="1">
      <c r="A33" s="35" t="s">
        <v>405</v>
      </c>
      <c r="B33" s="37" t="s">
        <v>495</v>
      </c>
      <c r="C33" s="35" t="s">
        <v>189</v>
      </c>
      <c r="D33" s="35" t="s">
        <v>405</v>
      </c>
      <c r="E33" s="35" t="s">
        <v>994</v>
      </c>
      <c r="F33" s="35">
        <v>4</v>
      </c>
      <c r="G33" s="35">
        <v>4</v>
      </c>
      <c r="H33" s="35">
        <v>4</v>
      </c>
      <c r="I33" s="35">
        <v>3</v>
      </c>
      <c r="J33" s="35">
        <v>4</v>
      </c>
      <c r="K33" s="35">
        <v>3</v>
      </c>
      <c r="L33" s="35">
        <v>3</v>
      </c>
      <c r="M33" s="35">
        <v>4</v>
      </c>
      <c r="O33" s="35">
        <v>7</v>
      </c>
      <c r="P33" s="35">
        <v>10</v>
      </c>
      <c r="Q33" s="35">
        <v>10</v>
      </c>
      <c r="R33" s="35">
        <v>7</v>
      </c>
      <c r="S33" s="35">
        <v>10</v>
      </c>
      <c r="T33" s="35">
        <v>10</v>
      </c>
      <c r="U33" s="35">
        <v>10</v>
      </c>
      <c r="V33" s="35">
        <v>10</v>
      </c>
      <c r="X33" s="35" t="s">
        <v>189</v>
      </c>
      <c r="Y33" s="35">
        <f>(F33+0.0000000000001)*O33</f>
        <v>28.000000000000703</v>
      </c>
      <c r="Z33" s="272">
        <f>(G33+0.0000000000002)*P33</f>
        <v>40.000000000001997</v>
      </c>
      <c r="AA33" s="272">
        <f>(H33+0.0000000000003)*Q33</f>
        <v>40.000000000002998</v>
      </c>
      <c r="AB33" s="35">
        <f>(I33+0.0000000000004)*R33</f>
        <v>21.0000000000028</v>
      </c>
      <c r="AC33" s="272">
        <f>(J33+0.0000000000005)*S33</f>
        <v>40.000000000005002</v>
      </c>
      <c r="AD33" s="35">
        <f>(K33+0.0000000000006)*T33</f>
        <v>30.000000000006001</v>
      </c>
      <c r="AE33" s="35">
        <f>(L33+0.0000000000007)*U33</f>
        <v>30.000000000006999</v>
      </c>
      <c r="AF33" s="35">
        <f>(M33+0.0000000000008)*V33</f>
        <v>40.000000000008001</v>
      </c>
      <c r="AG33" s="35">
        <f>LARGE(Y33:AF33,1)+LARGE(Y33:AF33,2)+LARGE(Y33:AF33,3)+LARGE(Y33:AF33,4)+LARGE(Y33:AF33,5)</f>
        <v>190.00000000002498</v>
      </c>
      <c r="AH33" s="37"/>
    </row>
    <row r="34" spans="1:35" s="35" customFormat="1">
      <c r="B34" s="37"/>
      <c r="E34" s="35" t="s">
        <v>995</v>
      </c>
      <c r="F34" s="494">
        <v>3</v>
      </c>
      <c r="G34" s="494">
        <v>5.5</v>
      </c>
      <c r="H34" s="494">
        <v>3</v>
      </c>
      <c r="I34" s="494">
        <v>3</v>
      </c>
      <c r="J34" s="494">
        <v>3</v>
      </c>
      <c r="K34" s="494">
        <v>3</v>
      </c>
      <c r="L34" s="494">
        <v>0</v>
      </c>
      <c r="M34" s="494">
        <v>3</v>
      </c>
      <c r="N34" s="495"/>
      <c r="O34" s="494">
        <v>7</v>
      </c>
      <c r="P34" s="494">
        <v>10</v>
      </c>
      <c r="Q34" s="494">
        <v>10</v>
      </c>
      <c r="R34" s="494">
        <v>7</v>
      </c>
      <c r="S34" s="494">
        <v>10</v>
      </c>
      <c r="T34" s="494">
        <v>10</v>
      </c>
      <c r="U34" s="494">
        <v>10</v>
      </c>
      <c r="V34" s="494">
        <v>10</v>
      </c>
      <c r="Y34" s="35">
        <f>(F34+0.0000000000001)*O34</f>
        <v>21.0000000000007</v>
      </c>
      <c r="Z34" s="272">
        <f>(G34+0.0000000000002)*P34</f>
        <v>55.000000000001997</v>
      </c>
      <c r="AA34" s="272">
        <f>(H34+0.0000000000003)*Q34</f>
        <v>30.000000000003002</v>
      </c>
      <c r="AB34" s="35">
        <f>(I34+0.0000000000004)*R34</f>
        <v>21.0000000000028</v>
      </c>
      <c r="AC34" s="272">
        <f>(J34+0.0000000000005)*S34</f>
        <v>30.000000000005002</v>
      </c>
      <c r="AD34" s="272">
        <f>(K34+0.0000000000006)*T34</f>
        <v>30.000000000006001</v>
      </c>
      <c r="AE34" s="35">
        <f>(L34+0.0000000000007)*U34</f>
        <v>7.0000000000000001E-12</v>
      </c>
      <c r="AF34" s="35">
        <f>(M34+0.0000000000008)*V34</f>
        <v>30.000000000007997</v>
      </c>
      <c r="AG34" s="35">
        <f>LARGE(Y34:AF34,1)+LARGE(Y34:AF34,2)+LARGE(Y34:AF34,3)+LARGE(Y34:AF34,4)+LARGE(Y34:AF34,5)</f>
        <v>175.00000000002399</v>
      </c>
      <c r="AH34" s="37"/>
    </row>
    <row r="35" spans="1:35" s="35" customFormat="1">
      <c r="B35" s="37"/>
      <c r="Z35" s="272"/>
      <c r="AA35" s="272"/>
      <c r="AB35" s="272"/>
      <c r="AC35" s="272"/>
      <c r="AD35" s="272"/>
      <c r="AH35" s="37"/>
    </row>
    <row r="36" spans="1:35" s="35" customFormat="1">
      <c r="A36" s="35" t="s">
        <v>406</v>
      </c>
      <c r="B36" s="37" t="s">
        <v>496</v>
      </c>
      <c r="C36" s="35" t="s">
        <v>189</v>
      </c>
      <c r="D36" s="35" t="s">
        <v>406</v>
      </c>
      <c r="E36" s="35" t="s">
        <v>994</v>
      </c>
      <c r="F36" s="35">
        <v>3</v>
      </c>
      <c r="G36" s="35">
        <v>3</v>
      </c>
      <c r="H36" s="35">
        <v>4</v>
      </c>
      <c r="I36" s="35">
        <v>2</v>
      </c>
      <c r="J36" s="35">
        <v>5.5</v>
      </c>
      <c r="K36" s="35">
        <v>4</v>
      </c>
      <c r="L36" s="35">
        <v>0</v>
      </c>
      <c r="M36" s="35">
        <v>0</v>
      </c>
      <c r="O36" s="35">
        <v>7</v>
      </c>
      <c r="P36" s="35">
        <v>10</v>
      </c>
      <c r="Q36" s="35">
        <v>10</v>
      </c>
      <c r="R36" s="35">
        <v>7</v>
      </c>
      <c r="S36" s="272">
        <v>7</v>
      </c>
      <c r="T36" s="35">
        <v>5</v>
      </c>
      <c r="U36" s="35">
        <v>5</v>
      </c>
      <c r="V36" s="35">
        <v>5</v>
      </c>
      <c r="X36" s="35" t="s">
        <v>189</v>
      </c>
      <c r="Y36" s="35">
        <f>(F36+0.0000000000001)*O36</f>
        <v>21.0000000000007</v>
      </c>
      <c r="Z36" s="35">
        <f>(G36+0.0000000000002)*P36</f>
        <v>30.000000000001997</v>
      </c>
      <c r="AA36" s="35">
        <f>(H36+0.0000000000003)*Q36</f>
        <v>40.000000000002998</v>
      </c>
      <c r="AB36" s="35">
        <f>(I36+0.0000000000004)*R36</f>
        <v>14.000000000002801</v>
      </c>
      <c r="AC36" s="35">
        <f>(J36+0.0000000000005)*S36</f>
        <v>38.500000000003503</v>
      </c>
      <c r="AD36" s="35">
        <f>(K36+0.0000000000006)*T36</f>
        <v>20.000000000003002</v>
      </c>
      <c r="AE36" s="35">
        <f>(L36+0.0000000000007)*U36</f>
        <v>3.5E-12</v>
      </c>
      <c r="AF36" s="35">
        <f>(M36+0.0000000000008)*V36</f>
        <v>3.9999999999999999E-12</v>
      </c>
      <c r="AG36" s="35">
        <f>LARGE(Y36:AF36,1)+LARGE(Y36:AF36,2)+LARGE(Y36:AF36,3)+LARGE(Y36:AF36,4)+LARGE(Y36:AF36,5)</f>
        <v>149.50000000001222</v>
      </c>
      <c r="AH36" s="37" t="s">
        <v>2491</v>
      </c>
    </row>
    <row r="37" spans="1:35" s="35" customFormat="1">
      <c r="B37" s="37"/>
      <c r="E37" s="35" t="s">
        <v>995</v>
      </c>
      <c r="F37" s="494">
        <v>3</v>
      </c>
      <c r="G37" s="494">
        <v>3</v>
      </c>
      <c r="H37" s="494">
        <v>5.5</v>
      </c>
      <c r="I37" s="494">
        <v>4</v>
      </c>
      <c r="J37" s="494">
        <v>3</v>
      </c>
      <c r="K37" s="494">
        <v>3</v>
      </c>
      <c r="L37" s="494">
        <v>0</v>
      </c>
      <c r="M37" s="494">
        <v>0</v>
      </c>
      <c r="N37" s="495"/>
      <c r="O37" s="494">
        <v>7</v>
      </c>
      <c r="P37" s="494">
        <v>10</v>
      </c>
      <c r="Q37" s="494">
        <v>10</v>
      </c>
      <c r="R37" s="494">
        <v>7</v>
      </c>
      <c r="S37" s="494">
        <v>5</v>
      </c>
      <c r="T37" s="494">
        <v>5</v>
      </c>
      <c r="U37" s="494">
        <v>5</v>
      </c>
      <c r="V37" s="494">
        <v>5</v>
      </c>
      <c r="Y37" s="35">
        <f>(F37+0.0000000000001)*O37</f>
        <v>21.0000000000007</v>
      </c>
      <c r="Z37" s="35">
        <f>(G37+0.0000000000002)*P37</f>
        <v>30.000000000001997</v>
      </c>
      <c r="AA37" s="35">
        <f>(H37+0.0000000000003)*Q37</f>
        <v>55.000000000002998</v>
      </c>
      <c r="AB37" s="35">
        <f>(I37+0.0000000000004)*R37</f>
        <v>28.0000000000028</v>
      </c>
      <c r="AC37" s="35">
        <f>(J37+0.0000000000005)*S37</f>
        <v>15.000000000002501</v>
      </c>
      <c r="AD37" s="35">
        <f>(K37+0.0000000000006)*T37</f>
        <v>15.000000000003</v>
      </c>
      <c r="AE37" s="35">
        <f>(L37+0.0000000000007)*U37</f>
        <v>3.5E-12</v>
      </c>
      <c r="AF37" s="35">
        <f>(M37+0.0000000000008)*V37</f>
        <v>3.9999999999999999E-12</v>
      </c>
      <c r="AG37" s="35">
        <f>LARGE(Y37:AF37,1)+LARGE(Y37:AF37,2)+LARGE(Y37:AF37,3)+LARGE(Y37:AF37,4)+LARGE(Y37:AF37,5)</f>
        <v>149.00000000001151</v>
      </c>
      <c r="AH37" s="37"/>
      <c r="AI37" s="37" t="s">
        <v>2484</v>
      </c>
    </row>
    <row r="38" spans="1:35" s="35" customFormat="1">
      <c r="B38" s="37"/>
      <c r="S38" s="272"/>
      <c r="AH38" s="37"/>
    </row>
    <row r="39" spans="1:35" s="35" customFormat="1">
      <c r="A39" s="35" t="s">
        <v>407</v>
      </c>
      <c r="B39" s="37" t="s">
        <v>497</v>
      </c>
      <c r="C39" s="35" t="s">
        <v>189</v>
      </c>
      <c r="D39" s="35" t="s">
        <v>407</v>
      </c>
      <c r="E39" s="35" t="s">
        <v>994</v>
      </c>
      <c r="F39" s="35">
        <v>3</v>
      </c>
      <c r="G39" s="35">
        <v>4</v>
      </c>
      <c r="H39" s="35">
        <v>4</v>
      </c>
      <c r="I39" s="35">
        <v>4</v>
      </c>
      <c r="J39" s="35">
        <v>4</v>
      </c>
      <c r="K39" s="35">
        <v>4</v>
      </c>
      <c r="L39" s="35">
        <v>4</v>
      </c>
      <c r="M39" s="35">
        <v>0</v>
      </c>
      <c r="O39" s="35">
        <v>10</v>
      </c>
      <c r="P39" s="35">
        <v>10</v>
      </c>
      <c r="Q39" s="35">
        <v>10</v>
      </c>
      <c r="R39" s="35">
        <v>10</v>
      </c>
      <c r="S39" s="35">
        <v>10</v>
      </c>
      <c r="T39" s="35">
        <v>10</v>
      </c>
      <c r="U39" s="35">
        <v>5</v>
      </c>
      <c r="V39" s="35">
        <v>5</v>
      </c>
      <c r="X39" s="35" t="s">
        <v>189</v>
      </c>
      <c r="Y39" s="35">
        <f>(F39+0.0000000000001)*O39</f>
        <v>30.000000000000998</v>
      </c>
      <c r="Z39" s="35">
        <f>(G39+0.0000000000002)*P39</f>
        <v>40.000000000001997</v>
      </c>
      <c r="AA39" s="35">
        <f>(H39+0.0000000000003)*Q39</f>
        <v>40.000000000002998</v>
      </c>
      <c r="AB39" s="35">
        <f>(I39+0.0000000000004)*R39</f>
        <v>40.000000000003993</v>
      </c>
      <c r="AC39" s="35">
        <f>(J39+0.0000000000005)*S39</f>
        <v>40.000000000005002</v>
      </c>
      <c r="AD39" s="35">
        <f>(K39+0.0000000000006)*T39</f>
        <v>40.000000000006004</v>
      </c>
      <c r="AE39" s="35">
        <f>(L39+0.0000000000007)*U39</f>
        <v>20.000000000003499</v>
      </c>
      <c r="AF39" s="35">
        <f>(M39+0.0000000000008)*V39</f>
        <v>3.9999999999999999E-12</v>
      </c>
      <c r="AG39" s="35">
        <f>LARGE(Y39:AF39,1)+LARGE(Y39:AF39,2)+LARGE(Y39:AF39,3)+LARGE(Y39:AF39,4)+LARGE(Y39:AF39,5)</f>
        <v>200.00000000001998</v>
      </c>
      <c r="AH39" s="37"/>
    </row>
    <row r="40" spans="1:35" s="35" customFormat="1">
      <c r="B40" s="37"/>
      <c r="E40" s="35" t="s">
        <v>995</v>
      </c>
      <c r="F40" s="494">
        <v>4</v>
      </c>
      <c r="G40" s="494">
        <v>3</v>
      </c>
      <c r="H40" s="494">
        <v>3</v>
      </c>
      <c r="I40" s="494">
        <v>2</v>
      </c>
      <c r="J40" s="494">
        <v>4</v>
      </c>
      <c r="K40" s="494">
        <v>4</v>
      </c>
      <c r="L40" s="494">
        <v>0</v>
      </c>
      <c r="M40" s="494">
        <v>0</v>
      </c>
      <c r="N40" s="495"/>
      <c r="O40" s="494">
        <v>10</v>
      </c>
      <c r="P40" s="494">
        <v>10</v>
      </c>
      <c r="Q40" s="494">
        <v>10</v>
      </c>
      <c r="R40" s="494">
        <v>10</v>
      </c>
      <c r="S40" s="494">
        <v>10</v>
      </c>
      <c r="T40" s="494">
        <v>10</v>
      </c>
      <c r="U40" s="494">
        <v>5</v>
      </c>
      <c r="V40" s="494">
        <v>5</v>
      </c>
      <c r="Y40" s="35">
        <f>(F40+0.0000000000001)*O40</f>
        <v>40.000000000001002</v>
      </c>
      <c r="Z40" s="35">
        <f>(G40+0.0000000000002)*P40</f>
        <v>30.000000000001997</v>
      </c>
      <c r="AA40" s="35">
        <f>(H40+0.0000000000003)*Q40</f>
        <v>30.000000000003002</v>
      </c>
      <c r="AB40" s="35">
        <f>(I40+0.0000000000004)*R40</f>
        <v>20.000000000004</v>
      </c>
      <c r="AC40" s="35">
        <f>(J40+0.0000000000005)*S40</f>
        <v>40.000000000005002</v>
      </c>
      <c r="AD40" s="35">
        <f>(K40+0.0000000000006)*T40</f>
        <v>40.000000000006004</v>
      </c>
      <c r="AE40" s="35">
        <f>(L40+0.0000000000007)*U40</f>
        <v>3.5E-12</v>
      </c>
      <c r="AF40" s="35">
        <f>(M40+0.0000000000008)*V40</f>
        <v>3.9999999999999999E-12</v>
      </c>
      <c r="AG40" s="35">
        <f>LARGE(Y40:AF40,1)+LARGE(Y40:AF40,2)+LARGE(Y40:AF40,3)+LARGE(Y40:AF40,4)+LARGE(Y40:AF40,5)</f>
        <v>180.000000000017</v>
      </c>
      <c r="AH40" s="37"/>
    </row>
    <row r="41" spans="1:35" s="35" customFormat="1">
      <c r="B41" s="37"/>
      <c r="AH41" s="37"/>
    </row>
    <row r="42" spans="1:35" s="35" customFormat="1">
      <c r="A42" s="35" t="s">
        <v>408</v>
      </c>
      <c r="B42" s="37" t="s">
        <v>498</v>
      </c>
      <c r="C42" s="35" t="s">
        <v>189</v>
      </c>
      <c r="D42" s="35" t="s">
        <v>408</v>
      </c>
      <c r="E42" s="35" t="s">
        <v>994</v>
      </c>
      <c r="F42" s="35">
        <v>3</v>
      </c>
      <c r="G42" s="35">
        <v>3</v>
      </c>
      <c r="H42" s="35">
        <v>4</v>
      </c>
      <c r="I42" s="35">
        <v>5.5</v>
      </c>
      <c r="J42" s="35">
        <v>4</v>
      </c>
      <c r="K42" s="35">
        <v>3</v>
      </c>
      <c r="L42" s="35">
        <v>0</v>
      </c>
      <c r="M42" s="35">
        <v>0</v>
      </c>
      <c r="O42" s="35">
        <v>7</v>
      </c>
      <c r="P42" s="35">
        <v>10</v>
      </c>
      <c r="Q42" s="35">
        <v>10</v>
      </c>
      <c r="R42" s="35">
        <v>7</v>
      </c>
      <c r="S42" s="35">
        <v>5</v>
      </c>
      <c r="T42" s="35">
        <v>5</v>
      </c>
      <c r="U42" s="35">
        <v>5</v>
      </c>
      <c r="V42" s="35">
        <v>5</v>
      </c>
      <c r="X42" s="35" t="s">
        <v>189</v>
      </c>
      <c r="Y42" s="35">
        <f>(F42+0.0000000000001)*O42</f>
        <v>21.0000000000007</v>
      </c>
      <c r="Z42" s="35">
        <f>(G42+0.0000000000002)*P42</f>
        <v>30.000000000001997</v>
      </c>
      <c r="AA42" s="35">
        <f>(H42+0.0000000000003)*Q42</f>
        <v>40.000000000002998</v>
      </c>
      <c r="AB42" s="35">
        <f>(I42+0.0000000000004)*R42</f>
        <v>38.5000000000028</v>
      </c>
      <c r="AC42" s="35">
        <f>(J42+0.0000000000005)*S42</f>
        <v>20.000000000002501</v>
      </c>
      <c r="AD42" s="35">
        <f>(K42+0.0000000000006)*T42</f>
        <v>15.000000000003</v>
      </c>
      <c r="AE42" s="35">
        <f>(L42+0.0000000000007)*U42</f>
        <v>3.5E-12</v>
      </c>
      <c r="AF42" s="35">
        <f>(M42+0.0000000000008)*V42</f>
        <v>3.9999999999999999E-12</v>
      </c>
      <c r="AG42" s="35">
        <f>LARGE(Y42:AF42,1)+LARGE(Y42:AF42,2)+LARGE(Y42:AF42,3)+LARGE(Y42:AF42,4)+LARGE(Y42:AF42,5)</f>
        <v>149.500000000011</v>
      </c>
      <c r="AH42" s="37"/>
    </row>
    <row r="43" spans="1:35" s="35" customFormat="1">
      <c r="B43" s="37"/>
      <c r="E43" s="35" t="s">
        <v>995</v>
      </c>
      <c r="F43" s="494">
        <v>4</v>
      </c>
      <c r="G43" s="494">
        <v>3</v>
      </c>
      <c r="H43" s="494">
        <v>4</v>
      </c>
      <c r="I43" s="494">
        <v>4</v>
      </c>
      <c r="J43" s="494">
        <v>4</v>
      </c>
      <c r="K43" s="494">
        <v>3</v>
      </c>
      <c r="L43" s="494">
        <v>0</v>
      </c>
      <c r="M43" s="494">
        <v>0</v>
      </c>
      <c r="N43" s="495"/>
      <c r="O43" s="494">
        <v>7</v>
      </c>
      <c r="P43" s="494">
        <v>10</v>
      </c>
      <c r="Q43" s="494">
        <v>10</v>
      </c>
      <c r="R43" s="494">
        <v>7</v>
      </c>
      <c r="S43" s="494">
        <v>5</v>
      </c>
      <c r="T43" s="494">
        <v>5</v>
      </c>
      <c r="U43" s="494">
        <v>5</v>
      </c>
      <c r="V43" s="494">
        <v>5</v>
      </c>
      <c r="Y43" s="35">
        <f>(F43+0.0000000000001)*O43</f>
        <v>28.000000000000703</v>
      </c>
      <c r="Z43" s="35">
        <f>(G43+0.0000000000002)*P43</f>
        <v>30.000000000001997</v>
      </c>
      <c r="AA43" s="35">
        <f>(H43+0.0000000000003)*Q43</f>
        <v>40.000000000002998</v>
      </c>
      <c r="AB43" s="35">
        <f>(I43+0.0000000000004)*R43</f>
        <v>28.0000000000028</v>
      </c>
      <c r="AC43" s="35">
        <f>(J43+0.0000000000005)*S43</f>
        <v>20.000000000002501</v>
      </c>
      <c r="AD43" s="35">
        <f>(K43+0.0000000000006)*T43</f>
        <v>15.000000000003</v>
      </c>
      <c r="AE43" s="35">
        <f>(L43+0.0000000000007)*U43</f>
        <v>3.5E-12</v>
      </c>
      <c r="AF43" s="35">
        <f>(M43+0.0000000000008)*V43</f>
        <v>3.9999999999999999E-12</v>
      </c>
      <c r="AG43" s="35">
        <f>LARGE(Y43:AF43,1)+LARGE(Y43:AF43,2)+LARGE(Y43:AF43,3)+LARGE(Y43:AF43,4)+LARGE(Y43:AF43,5)</f>
        <v>146.000000000011</v>
      </c>
      <c r="AH43" s="37"/>
    </row>
    <row r="44" spans="1:35" s="35" customFormat="1">
      <c r="B44" s="37"/>
      <c r="AH44" s="37"/>
    </row>
    <row r="45" spans="1:35" s="35" customFormat="1">
      <c r="A45" s="35" t="s">
        <v>409</v>
      </c>
      <c r="B45" s="37" t="s">
        <v>499</v>
      </c>
      <c r="C45" s="35" t="s">
        <v>189</v>
      </c>
      <c r="D45" s="35" t="s">
        <v>409</v>
      </c>
      <c r="E45" s="35" t="s">
        <v>994</v>
      </c>
      <c r="F45" s="35">
        <v>4</v>
      </c>
      <c r="G45" s="35">
        <v>3</v>
      </c>
      <c r="H45" s="35">
        <v>5.5</v>
      </c>
      <c r="I45" s="35">
        <v>4</v>
      </c>
      <c r="J45" s="35">
        <v>4</v>
      </c>
      <c r="K45" s="35">
        <v>4</v>
      </c>
      <c r="L45" s="35">
        <v>4</v>
      </c>
      <c r="M45" s="35">
        <v>0</v>
      </c>
      <c r="O45" s="35">
        <v>7</v>
      </c>
      <c r="P45" s="35">
        <v>10</v>
      </c>
      <c r="Q45" s="35">
        <v>10</v>
      </c>
      <c r="R45" s="35">
        <v>7</v>
      </c>
      <c r="S45" s="35">
        <v>5</v>
      </c>
      <c r="T45" s="35">
        <v>5</v>
      </c>
      <c r="U45" s="35">
        <v>5</v>
      </c>
      <c r="V45" s="35">
        <v>5</v>
      </c>
      <c r="X45" s="35" t="s">
        <v>189</v>
      </c>
      <c r="Y45" s="35">
        <f>(F45+0.0000000000001)*O45</f>
        <v>28.000000000000703</v>
      </c>
      <c r="Z45" s="35">
        <f>(G45+0.0000000000002)*P45</f>
        <v>30.000000000001997</v>
      </c>
      <c r="AA45" s="35">
        <f>(H45+0.0000000000003)*Q45</f>
        <v>55.000000000002998</v>
      </c>
      <c r="AB45" s="35">
        <f>(I45+0.0000000000004)*R45</f>
        <v>28.0000000000028</v>
      </c>
      <c r="AC45" s="35">
        <f>(J45+0.0000000000005)*S45</f>
        <v>20.000000000002501</v>
      </c>
      <c r="AD45" s="35">
        <f>(K45+0.0000000000006)*T45</f>
        <v>20.000000000003002</v>
      </c>
      <c r="AE45" s="35">
        <f>(L45+0.0000000000007)*U45</f>
        <v>20.000000000003499</v>
      </c>
      <c r="AF45" s="35">
        <f>(M45+0.0000000000008)*V45</f>
        <v>3.9999999999999999E-12</v>
      </c>
      <c r="AG45" s="35">
        <f>LARGE(Y45:AF45,1)+LARGE(Y45:AF45,2)+LARGE(Y45:AF45,3)+LARGE(Y45:AF45,4)+LARGE(Y45:AF45,5)</f>
        <v>161.00000000001199</v>
      </c>
      <c r="AH45" s="37"/>
    </row>
    <row r="46" spans="1:35" s="35" customFormat="1">
      <c r="B46" s="37"/>
      <c r="E46" s="35" t="s">
        <v>995</v>
      </c>
      <c r="F46" s="494">
        <v>5.5</v>
      </c>
      <c r="G46" s="494">
        <v>3</v>
      </c>
      <c r="H46" s="494">
        <v>4</v>
      </c>
      <c r="I46" s="494">
        <v>4</v>
      </c>
      <c r="J46" s="494">
        <v>4</v>
      </c>
      <c r="K46" s="494">
        <v>4</v>
      </c>
      <c r="L46" s="494">
        <v>0</v>
      </c>
      <c r="M46" s="494">
        <v>2</v>
      </c>
      <c r="N46" s="495"/>
      <c r="O46" s="494">
        <v>7</v>
      </c>
      <c r="P46" s="494">
        <v>10</v>
      </c>
      <c r="Q46" s="494">
        <v>10</v>
      </c>
      <c r="R46" s="494">
        <v>7</v>
      </c>
      <c r="S46" s="494">
        <v>5</v>
      </c>
      <c r="T46" s="494">
        <v>5</v>
      </c>
      <c r="U46" s="494">
        <v>5</v>
      </c>
      <c r="V46" s="494">
        <v>5</v>
      </c>
      <c r="Y46" s="35">
        <f>(F46+0.0000000000001)*O46</f>
        <v>38.500000000000703</v>
      </c>
      <c r="Z46" s="35">
        <f>(G46+0.0000000000002)*P46</f>
        <v>30.000000000001997</v>
      </c>
      <c r="AA46" s="35">
        <f>(H46+0.0000000000003)*Q46</f>
        <v>40.000000000002998</v>
      </c>
      <c r="AB46" s="35">
        <f>(I46+0.0000000000004)*R46</f>
        <v>28.0000000000028</v>
      </c>
      <c r="AC46" s="35">
        <f>(J46+0.0000000000005)*S46</f>
        <v>20.000000000002501</v>
      </c>
      <c r="AD46" s="35">
        <f>(K46+0.0000000000006)*T46</f>
        <v>20.000000000003002</v>
      </c>
      <c r="AE46" s="35">
        <f>(L46+0.0000000000007)*U46</f>
        <v>3.5E-12</v>
      </c>
      <c r="AF46" s="35">
        <f>(M46+0.0000000000008)*V46</f>
        <v>10.000000000003999</v>
      </c>
      <c r="AG46" s="35">
        <f>LARGE(Y46:AF46,1)+LARGE(Y46:AF46,2)+LARGE(Y46:AF46,3)+LARGE(Y46:AF46,4)+LARGE(Y46:AF46,5)</f>
        <v>156.50000000001148</v>
      </c>
      <c r="AH46" s="37"/>
    </row>
    <row r="47" spans="1:35" s="35" customFormat="1">
      <c r="B47" s="37"/>
      <c r="AH47" s="37"/>
    </row>
    <row r="48" spans="1:35" s="35" customFormat="1">
      <c r="A48" s="35" t="s">
        <v>410</v>
      </c>
      <c r="B48" s="37" t="s">
        <v>500</v>
      </c>
      <c r="C48" s="35" t="s">
        <v>189</v>
      </c>
      <c r="D48" s="35" t="s">
        <v>410</v>
      </c>
      <c r="E48" s="35" t="s">
        <v>994</v>
      </c>
      <c r="F48" s="35">
        <v>4</v>
      </c>
      <c r="G48" s="35">
        <v>3</v>
      </c>
      <c r="H48" s="35">
        <v>4</v>
      </c>
      <c r="I48" s="35">
        <v>4</v>
      </c>
      <c r="J48" s="35">
        <v>4</v>
      </c>
      <c r="K48" s="35">
        <v>4</v>
      </c>
      <c r="L48" s="35">
        <v>0</v>
      </c>
      <c r="M48" s="35">
        <v>5.5</v>
      </c>
      <c r="O48" s="35">
        <v>7</v>
      </c>
      <c r="P48" s="35">
        <v>10</v>
      </c>
      <c r="Q48" s="35">
        <v>10</v>
      </c>
      <c r="R48" s="35">
        <v>7</v>
      </c>
      <c r="S48" s="35">
        <v>5</v>
      </c>
      <c r="T48" s="35">
        <v>5</v>
      </c>
      <c r="U48" s="35">
        <v>5</v>
      </c>
      <c r="V48" s="35">
        <v>5</v>
      </c>
      <c r="X48" s="35" t="s">
        <v>189</v>
      </c>
      <c r="Y48" s="35">
        <f>(F48+0.0000000000001)*O48</f>
        <v>28.000000000000703</v>
      </c>
      <c r="Z48" s="35">
        <f>(G48+0.0000000000002)*P48</f>
        <v>30.000000000001997</v>
      </c>
      <c r="AA48" s="35">
        <f>(H48+0.0000000000003)*Q48</f>
        <v>40.000000000002998</v>
      </c>
      <c r="AB48" s="35">
        <f>(I48+0.0000000000004)*R48</f>
        <v>28.0000000000028</v>
      </c>
      <c r="AC48" s="35">
        <f>(J48+0.0000000000005)*S48</f>
        <v>20.000000000002501</v>
      </c>
      <c r="AD48" s="35">
        <f>(K48+0.0000000000006)*T48</f>
        <v>20.000000000003002</v>
      </c>
      <c r="AE48" s="35">
        <f>(L48+0.0000000000007)*U48</f>
        <v>3.5E-12</v>
      </c>
      <c r="AF48" s="35">
        <f>(M48+0.0000000000008)*V48</f>
        <v>27.500000000004</v>
      </c>
      <c r="AG48" s="35">
        <f>LARGE(Y48:AF48,1)+LARGE(Y48:AF48,2)+LARGE(Y48:AF48,3)+LARGE(Y48:AF48,4)+LARGE(Y48:AF48,5)</f>
        <v>153.50000000001251</v>
      </c>
      <c r="AH48" s="37"/>
    </row>
    <row r="49" spans="1:35" s="35" customFormat="1">
      <c r="B49" s="37"/>
      <c r="E49" s="35" t="s">
        <v>995</v>
      </c>
      <c r="F49" s="494">
        <v>4</v>
      </c>
      <c r="G49" s="494">
        <v>4</v>
      </c>
      <c r="H49" s="494">
        <v>4</v>
      </c>
      <c r="I49" s="494">
        <v>3</v>
      </c>
      <c r="J49" s="494">
        <v>4</v>
      </c>
      <c r="K49" s="494">
        <v>4</v>
      </c>
      <c r="L49" s="494">
        <v>4</v>
      </c>
      <c r="M49" s="494">
        <v>0</v>
      </c>
      <c r="N49" s="495"/>
      <c r="O49" s="494">
        <v>7</v>
      </c>
      <c r="P49" s="494">
        <v>10</v>
      </c>
      <c r="Q49" s="494">
        <v>10</v>
      </c>
      <c r="R49" s="494">
        <v>7</v>
      </c>
      <c r="S49" s="494">
        <v>5</v>
      </c>
      <c r="T49" s="494">
        <v>5</v>
      </c>
      <c r="U49" s="494">
        <v>5</v>
      </c>
      <c r="V49" s="494">
        <v>5</v>
      </c>
      <c r="W49" s="494"/>
      <c r="Y49" s="35">
        <f>(F49+0.0000000000001)*O49</f>
        <v>28.000000000000703</v>
      </c>
      <c r="Z49" s="35">
        <f>(G49+0.0000000000002)*P49</f>
        <v>40.000000000001997</v>
      </c>
      <c r="AA49" s="35">
        <f>(H49+0.0000000000003)*Q49</f>
        <v>40.000000000002998</v>
      </c>
      <c r="AB49" s="35">
        <f>(I49+0.0000000000004)*R49</f>
        <v>21.0000000000028</v>
      </c>
      <c r="AC49" s="35">
        <f>(J49+0.0000000000005)*S49</f>
        <v>20.000000000002501</v>
      </c>
      <c r="AD49" s="35">
        <f>(K49+0.0000000000006)*T49</f>
        <v>20.000000000003002</v>
      </c>
      <c r="AE49" s="35">
        <f>(L49+0.0000000000007)*U49</f>
        <v>20.000000000003499</v>
      </c>
      <c r="AF49" s="35">
        <f>(M49+0.0000000000008)*V49</f>
        <v>3.9999999999999999E-12</v>
      </c>
      <c r="AG49" s="35">
        <f>LARGE(Y49:AF49,1)+LARGE(Y49:AF49,2)+LARGE(Y49:AF49,3)+LARGE(Y49:AF49,4)+LARGE(Y49:AF49,5)</f>
        <v>149.00000000001202</v>
      </c>
      <c r="AH49" s="37"/>
    </row>
    <row r="50" spans="1:35" s="35" customFormat="1">
      <c r="B50" s="37"/>
      <c r="AH50" s="37"/>
    </row>
    <row r="51" spans="1:35" s="35" customFormat="1">
      <c r="A51" s="35" t="s">
        <v>411</v>
      </c>
      <c r="B51" s="37" t="s">
        <v>501</v>
      </c>
      <c r="C51" s="35" t="s">
        <v>59</v>
      </c>
      <c r="D51" s="35" t="s">
        <v>411</v>
      </c>
      <c r="E51" s="35" t="s">
        <v>994</v>
      </c>
      <c r="F51" s="35">
        <v>4</v>
      </c>
      <c r="G51" s="35">
        <v>5.5</v>
      </c>
      <c r="H51" s="35">
        <v>5.5</v>
      </c>
      <c r="I51" s="35">
        <v>4</v>
      </c>
      <c r="J51" s="35">
        <v>5.5</v>
      </c>
      <c r="K51" s="35">
        <v>4</v>
      </c>
      <c r="L51" s="35">
        <v>3</v>
      </c>
      <c r="M51" s="35">
        <v>3</v>
      </c>
      <c r="O51" s="35">
        <v>7</v>
      </c>
      <c r="P51" s="35">
        <v>7</v>
      </c>
      <c r="Q51" s="35">
        <v>10</v>
      </c>
      <c r="R51" s="35">
        <v>7</v>
      </c>
      <c r="S51" s="35">
        <v>10</v>
      </c>
      <c r="T51" s="35">
        <v>10</v>
      </c>
      <c r="U51" s="35">
        <v>10</v>
      </c>
      <c r="V51" s="35">
        <v>10</v>
      </c>
      <c r="X51" s="35" t="s">
        <v>59</v>
      </c>
      <c r="Y51" s="35">
        <f>(F51+0.0000000000001)*O51</f>
        <v>28.000000000000703</v>
      </c>
      <c r="Z51" s="35">
        <f>(G51+0.0000000000002)*P51</f>
        <v>38.5000000000014</v>
      </c>
      <c r="AA51" s="35">
        <f>(H51+0.0000000000003)*Q51</f>
        <v>55.000000000002998</v>
      </c>
      <c r="AB51" s="35">
        <f>(I51+0.0000000000004)*R51</f>
        <v>28.0000000000028</v>
      </c>
      <c r="AC51" s="35">
        <f>(J51+0.0000000000005)*S51</f>
        <v>55.000000000005002</v>
      </c>
      <c r="AD51" s="35">
        <f>(K51+0.0000000000006)*T51</f>
        <v>40.000000000006004</v>
      </c>
      <c r="AE51" s="35">
        <f>(L51+0.0000000000007)*U51</f>
        <v>30.000000000006999</v>
      </c>
      <c r="AF51" s="35">
        <f>(M51+0.0000000000008)*V51</f>
        <v>30.000000000007997</v>
      </c>
      <c r="AG51" s="35">
        <f>LARGE(Y51:AF51,1)+LARGE(Y51:AF51,2)+LARGE(Y51:AF51,3)+LARGE(Y51:AF51,4)+LARGE(Y51:AF51,5)</f>
        <v>218.50000000002339</v>
      </c>
      <c r="AH51" s="37"/>
    </row>
    <row r="52" spans="1:35" s="35" customFormat="1">
      <c r="B52" s="37"/>
      <c r="E52" s="35" t="s">
        <v>995</v>
      </c>
      <c r="F52" s="494">
        <v>3</v>
      </c>
      <c r="G52" s="494">
        <v>4</v>
      </c>
      <c r="H52" s="494">
        <v>5.5</v>
      </c>
      <c r="I52" s="494">
        <v>4</v>
      </c>
      <c r="J52" s="494">
        <v>5.5</v>
      </c>
      <c r="K52" s="494">
        <v>4</v>
      </c>
      <c r="L52" s="494">
        <v>0</v>
      </c>
      <c r="M52" s="494">
        <v>0</v>
      </c>
      <c r="N52" s="495"/>
      <c r="O52" s="494">
        <v>7</v>
      </c>
      <c r="P52" s="494">
        <v>7</v>
      </c>
      <c r="Q52" s="494">
        <v>10</v>
      </c>
      <c r="R52" s="494">
        <v>7</v>
      </c>
      <c r="S52" s="494">
        <v>10</v>
      </c>
      <c r="T52" s="494">
        <v>10</v>
      </c>
      <c r="U52" s="494">
        <v>10</v>
      </c>
      <c r="V52" s="494">
        <v>10</v>
      </c>
      <c r="Y52" s="35">
        <f>(F52+0.0000000000001)*O52</f>
        <v>21.0000000000007</v>
      </c>
      <c r="Z52" s="35">
        <f>(G52+0.0000000000002)*P52</f>
        <v>28.0000000000014</v>
      </c>
      <c r="AA52" s="35">
        <f>(H52+0.0000000000003)*Q52</f>
        <v>55.000000000002998</v>
      </c>
      <c r="AB52" s="35">
        <f>(I52+0.0000000000004)*R52</f>
        <v>28.0000000000028</v>
      </c>
      <c r="AC52" s="35">
        <f>(J52+0.0000000000005)*S52</f>
        <v>55.000000000005002</v>
      </c>
      <c r="AD52" s="35">
        <f>(K52+0.0000000000006)*T52</f>
        <v>40.000000000006004</v>
      </c>
      <c r="AE52" s="35">
        <f>(L52+0.0000000000007)*U52</f>
        <v>7.0000000000000001E-12</v>
      </c>
      <c r="AF52" s="35">
        <f>(M52+0.0000000000008)*V52</f>
        <v>7.9999999999999998E-12</v>
      </c>
      <c r="AG52" s="35">
        <f>LARGE(Y52:AF52,1)+LARGE(Y52:AF52,2)+LARGE(Y52:AF52,3)+LARGE(Y52:AF52,4)+LARGE(Y52:AF52,5)</f>
        <v>206.00000000001822</v>
      </c>
      <c r="AH52" s="37"/>
    </row>
    <row r="53" spans="1:35" s="35" customFormat="1">
      <c r="B53" s="37"/>
      <c r="AH53" s="37"/>
    </row>
    <row r="54" spans="1:35" s="35" customFormat="1">
      <c r="A54" s="35" t="s">
        <v>412</v>
      </c>
      <c r="B54" s="37" t="s">
        <v>502</v>
      </c>
      <c r="C54" s="35" t="s">
        <v>548</v>
      </c>
      <c r="D54" s="35" t="s">
        <v>412</v>
      </c>
      <c r="E54" s="35" t="s">
        <v>994</v>
      </c>
      <c r="F54" s="35">
        <v>4</v>
      </c>
      <c r="G54" s="35">
        <v>5.5</v>
      </c>
      <c r="H54" s="35">
        <v>5.5</v>
      </c>
      <c r="I54" s="35">
        <v>4</v>
      </c>
      <c r="J54" s="35">
        <v>8.5</v>
      </c>
      <c r="K54" s="35">
        <v>7</v>
      </c>
      <c r="L54" s="35">
        <v>4</v>
      </c>
      <c r="M54" s="35">
        <v>0</v>
      </c>
      <c r="O54" s="35">
        <v>10</v>
      </c>
      <c r="P54" s="35">
        <v>10</v>
      </c>
      <c r="Q54" s="35">
        <v>10</v>
      </c>
      <c r="R54" s="35">
        <v>7</v>
      </c>
      <c r="S54" s="35">
        <v>10</v>
      </c>
      <c r="T54" s="35">
        <v>10</v>
      </c>
      <c r="U54" s="35">
        <v>10</v>
      </c>
      <c r="V54" s="35">
        <v>5</v>
      </c>
      <c r="X54" s="35" t="s">
        <v>548</v>
      </c>
      <c r="Y54" s="35">
        <f>(F54+0.0000000000001)*O54</f>
        <v>40.000000000001002</v>
      </c>
      <c r="Z54" s="35">
        <f>(G54+0.0000000000002)*P54</f>
        <v>55.000000000001997</v>
      </c>
      <c r="AA54" s="35">
        <f>(H54+0.0000000000003)*Q54</f>
        <v>55.000000000002998</v>
      </c>
      <c r="AB54" s="35">
        <f>(I54+0.0000000000004)*R54</f>
        <v>28.0000000000028</v>
      </c>
      <c r="AC54" s="35">
        <f>(J54+0.0000000000005)*S54</f>
        <v>85.000000000004988</v>
      </c>
      <c r="AD54" s="35">
        <f>(K54+0.0000000000006)*T54</f>
        <v>70.000000000005997</v>
      </c>
      <c r="AE54" s="35">
        <f>(L54+0.0000000000007)*U54</f>
        <v>40.000000000006999</v>
      </c>
      <c r="AF54" s="35">
        <f>(M54+0.0000000000008)*V54</f>
        <v>3.9999999999999999E-12</v>
      </c>
      <c r="AG54" s="35">
        <f>LARGE(Y54:AF54,1)+LARGE(Y54:AF54,2)+LARGE(Y54:AF54,3)+LARGE(Y54:AF54,4)+LARGE(Y54:AF54,5)</f>
        <v>305.00000000002296</v>
      </c>
      <c r="AH54" s="37"/>
    </row>
    <row r="55" spans="1:35" s="35" customFormat="1">
      <c r="B55" s="37"/>
      <c r="E55" s="35" t="s">
        <v>995</v>
      </c>
      <c r="F55" s="494">
        <v>3</v>
      </c>
      <c r="G55" s="494">
        <v>5.5</v>
      </c>
      <c r="H55" s="494">
        <v>7</v>
      </c>
      <c r="I55" s="494">
        <v>4</v>
      </c>
      <c r="J55" s="494">
        <v>8.5</v>
      </c>
      <c r="K55" s="494">
        <v>5.5</v>
      </c>
      <c r="L55" s="494">
        <v>4</v>
      </c>
      <c r="M55" s="494">
        <v>0</v>
      </c>
      <c r="N55" s="495"/>
      <c r="O55" s="494">
        <v>10</v>
      </c>
      <c r="P55" s="494">
        <v>10</v>
      </c>
      <c r="Q55" s="494">
        <v>10</v>
      </c>
      <c r="R55" s="494">
        <v>7</v>
      </c>
      <c r="S55" s="494">
        <v>10</v>
      </c>
      <c r="T55" s="494">
        <v>10</v>
      </c>
      <c r="U55" s="494">
        <v>10</v>
      </c>
      <c r="V55" s="494">
        <v>5</v>
      </c>
      <c r="Y55" s="35">
        <f>(F55+0.0000000000001)*O55</f>
        <v>30.000000000000998</v>
      </c>
      <c r="Z55" s="35">
        <f>(G55+0.0000000000002)*P55</f>
        <v>55.000000000001997</v>
      </c>
      <c r="AA55" s="35">
        <f>(H55+0.0000000000003)*Q55</f>
        <v>70.000000000002998</v>
      </c>
      <c r="AB55" s="35">
        <f>(I55+0.0000000000004)*R55</f>
        <v>28.0000000000028</v>
      </c>
      <c r="AC55" s="35">
        <f>(J55+0.0000000000005)*S55</f>
        <v>85.000000000004988</v>
      </c>
      <c r="AD55" s="35">
        <f>(K55+0.0000000000006)*T55</f>
        <v>55.000000000006004</v>
      </c>
      <c r="AE55" s="35">
        <f>(L55+0.0000000000007)*U55</f>
        <v>40.000000000006999</v>
      </c>
      <c r="AF55" s="35">
        <f>(M55+0.0000000000008)*V55</f>
        <v>3.9999999999999999E-12</v>
      </c>
      <c r="AG55" s="35">
        <f>LARGE(Y55:AF55,1)+LARGE(Y55:AF55,2)+LARGE(Y55:AF55,3)+LARGE(Y55:AF55,4)+LARGE(Y55:AF55,5)</f>
        <v>305.00000000002296</v>
      </c>
      <c r="AH55" s="37"/>
    </row>
    <row r="56" spans="1:35" s="35" customFormat="1">
      <c r="B56" s="37"/>
      <c r="AH56" s="37"/>
    </row>
    <row r="57" spans="1:35" s="35" customFormat="1">
      <c r="A57" s="35" t="s">
        <v>413</v>
      </c>
      <c r="B57" s="37" t="s">
        <v>503</v>
      </c>
      <c r="C57" s="35" t="s">
        <v>548</v>
      </c>
      <c r="D57" s="35" t="s">
        <v>413</v>
      </c>
      <c r="E57" s="35" t="s">
        <v>994</v>
      </c>
      <c r="F57" s="35">
        <v>4</v>
      </c>
      <c r="G57" s="35">
        <v>7</v>
      </c>
      <c r="H57" s="35">
        <v>7</v>
      </c>
      <c r="I57" s="35">
        <v>4</v>
      </c>
      <c r="J57" s="35">
        <v>7</v>
      </c>
      <c r="K57" s="35">
        <v>7</v>
      </c>
      <c r="L57" s="35">
        <v>5.5</v>
      </c>
      <c r="M57" s="35">
        <v>5.5</v>
      </c>
      <c r="O57" s="35">
        <v>10</v>
      </c>
      <c r="P57" s="35">
        <v>10</v>
      </c>
      <c r="Q57" s="35">
        <v>7</v>
      </c>
      <c r="R57" s="35">
        <v>7</v>
      </c>
      <c r="S57" s="35">
        <v>10</v>
      </c>
      <c r="T57" s="35">
        <v>10</v>
      </c>
      <c r="U57" s="35">
        <v>5</v>
      </c>
      <c r="V57" s="35">
        <v>5</v>
      </c>
      <c r="X57" s="35" t="s">
        <v>548</v>
      </c>
      <c r="Y57" s="35">
        <f>(F57+0.0000000000001)*O57</f>
        <v>40.000000000001002</v>
      </c>
      <c r="Z57" s="35">
        <f>(G57+0.0000000000002)*P57</f>
        <v>70.000000000002004</v>
      </c>
      <c r="AA57" s="35">
        <f>(H57+0.0000000000003)*Q57</f>
        <v>49.000000000002103</v>
      </c>
      <c r="AB57" s="35">
        <f>(I57+0.0000000000004)*R57</f>
        <v>28.0000000000028</v>
      </c>
      <c r="AC57" s="35">
        <f>(J57+0.0000000000005)*S57</f>
        <v>70.000000000005002</v>
      </c>
      <c r="AD57" s="35">
        <f>(K57+0.0000000000006)*T57</f>
        <v>70.000000000005997</v>
      </c>
      <c r="AE57" s="35">
        <f>(L57+0.0000000000007)*U57</f>
        <v>27.500000000003499</v>
      </c>
      <c r="AF57" s="35">
        <f>(M57+0.0000000000008)*V57</f>
        <v>27.500000000004</v>
      </c>
      <c r="AG57" s="35">
        <f>LARGE(Y57:AF57,1)+LARGE(Y57:AF57,2)+LARGE(Y57:AF57,3)+LARGE(Y57:AF57,4)+LARGE(Y57:AF57,5)</f>
        <v>299.00000000001614</v>
      </c>
      <c r="AH57" s="37"/>
    </row>
    <row r="58" spans="1:35" s="35" customFormat="1">
      <c r="B58" s="37"/>
      <c r="E58" s="35" t="s">
        <v>995</v>
      </c>
      <c r="F58" s="494">
        <v>5.5</v>
      </c>
      <c r="G58" s="494">
        <v>8.5</v>
      </c>
      <c r="H58" s="494">
        <v>5.5</v>
      </c>
      <c r="I58" s="494">
        <v>5.5</v>
      </c>
      <c r="J58" s="494">
        <v>5.5</v>
      </c>
      <c r="K58" s="494">
        <v>5.5</v>
      </c>
      <c r="L58" s="494">
        <v>5.5</v>
      </c>
      <c r="M58" s="494">
        <v>0</v>
      </c>
      <c r="N58" s="495"/>
      <c r="O58" s="494">
        <v>10</v>
      </c>
      <c r="P58" s="494">
        <v>10</v>
      </c>
      <c r="Q58" s="494">
        <v>7</v>
      </c>
      <c r="R58" s="494">
        <v>7</v>
      </c>
      <c r="S58" s="494">
        <v>10</v>
      </c>
      <c r="T58" s="494">
        <v>10</v>
      </c>
      <c r="U58" s="494">
        <v>5</v>
      </c>
      <c r="V58" s="494">
        <v>5</v>
      </c>
      <c r="Y58" s="35">
        <f>(F58+0.0000000000001)*O58</f>
        <v>55.000000000001002</v>
      </c>
      <c r="Z58" s="35">
        <f>(G58+0.0000000000002)*P58</f>
        <v>85.000000000002004</v>
      </c>
      <c r="AA58" s="35">
        <f>(H58+0.0000000000003)*Q58</f>
        <v>38.500000000002103</v>
      </c>
      <c r="AB58" s="35">
        <f>(I58+0.0000000000004)*R58</f>
        <v>38.5000000000028</v>
      </c>
      <c r="AC58" s="35">
        <f>(J58+0.0000000000005)*S58</f>
        <v>55.000000000005002</v>
      </c>
      <c r="AD58" s="35">
        <f>(K58+0.0000000000006)*T58</f>
        <v>55.000000000006004</v>
      </c>
      <c r="AE58" s="35">
        <f>(L58+0.0000000000007)*U58</f>
        <v>27.500000000003499</v>
      </c>
      <c r="AF58" s="35">
        <f>(M58+0.0000000000008)*V58</f>
        <v>3.9999999999999999E-12</v>
      </c>
      <c r="AG58" s="35">
        <f>LARGE(Y58:AF58,1)+LARGE(Y58:AF58,2)+LARGE(Y58:AF58,3)+LARGE(Y58:AF58,4)+LARGE(Y58:AF58,5)</f>
        <v>288.50000000001683</v>
      </c>
      <c r="AH58" s="37"/>
    </row>
    <row r="59" spans="1:35" s="35" customFormat="1">
      <c r="B59" s="37"/>
      <c r="AH59" s="37"/>
    </row>
    <row r="60" spans="1:35" s="35" customFormat="1">
      <c r="A60" s="35" t="s">
        <v>414</v>
      </c>
      <c r="B60" s="37" t="s">
        <v>504</v>
      </c>
      <c r="C60" s="35" t="s">
        <v>548</v>
      </c>
      <c r="D60" s="35" t="s">
        <v>414</v>
      </c>
      <c r="E60" s="35" t="s">
        <v>994</v>
      </c>
      <c r="F60" s="35">
        <v>4</v>
      </c>
      <c r="G60" s="35">
        <v>5.5</v>
      </c>
      <c r="H60" s="35">
        <v>7</v>
      </c>
      <c r="I60" s="35">
        <v>5.5</v>
      </c>
      <c r="J60" s="35">
        <v>7</v>
      </c>
      <c r="K60" s="35">
        <v>7</v>
      </c>
      <c r="L60" s="35">
        <v>7</v>
      </c>
      <c r="M60" s="35">
        <v>5.5</v>
      </c>
      <c r="O60" s="35">
        <v>10</v>
      </c>
      <c r="P60" s="35">
        <v>10</v>
      </c>
      <c r="Q60" s="35">
        <v>7</v>
      </c>
      <c r="R60" s="35">
        <v>7</v>
      </c>
      <c r="S60" s="35">
        <v>10</v>
      </c>
      <c r="T60" s="35">
        <v>10</v>
      </c>
      <c r="U60" s="35">
        <v>5</v>
      </c>
      <c r="V60" s="35">
        <v>5</v>
      </c>
      <c r="X60" s="35" t="s">
        <v>548</v>
      </c>
      <c r="Y60" s="35">
        <f>(F60+0.0000000000001)*O60</f>
        <v>40.000000000001002</v>
      </c>
      <c r="Z60" s="35">
        <f>(G60+0.0000000000002)*P60</f>
        <v>55.000000000001997</v>
      </c>
      <c r="AA60" s="35">
        <f>(H60+0.0000000000003)*Q60</f>
        <v>49.000000000002103</v>
      </c>
      <c r="AB60" s="35">
        <f>(I60+0.0000000000004)*R60</f>
        <v>38.5000000000028</v>
      </c>
      <c r="AC60" s="35">
        <f>(J60+0.0000000000005)*S60</f>
        <v>70.000000000005002</v>
      </c>
      <c r="AD60" s="35">
        <f>(K60+0.0000000000006)*T60</f>
        <v>70.000000000005997</v>
      </c>
      <c r="AE60" s="35">
        <f>(L60+0.0000000000007)*U60</f>
        <v>35.000000000003496</v>
      </c>
      <c r="AF60" s="35">
        <f>(M60+0.0000000000008)*V60</f>
        <v>27.500000000004</v>
      </c>
      <c r="AG60" s="35">
        <f>LARGE(Y60:AF60,1)+LARGE(Y60:AF60,2)+LARGE(Y60:AF60,3)+LARGE(Y60:AF60,4)+LARGE(Y60:AF60,5)</f>
        <v>284.00000000001609</v>
      </c>
      <c r="AH60" s="37" t="s">
        <v>2492</v>
      </c>
    </row>
    <row r="61" spans="1:35" s="35" customFormat="1">
      <c r="B61" s="37"/>
      <c r="E61" s="35" t="s">
        <v>995</v>
      </c>
      <c r="F61" s="494">
        <v>5.5</v>
      </c>
      <c r="G61" s="494">
        <v>5.5</v>
      </c>
      <c r="H61" s="494">
        <v>5.5</v>
      </c>
      <c r="I61" s="494">
        <v>5.5</v>
      </c>
      <c r="J61" s="494">
        <v>7</v>
      </c>
      <c r="K61" s="494">
        <v>7</v>
      </c>
      <c r="L61" s="494">
        <v>5.5</v>
      </c>
      <c r="M61" s="494">
        <v>7</v>
      </c>
      <c r="N61" s="495"/>
      <c r="O61" s="494">
        <v>10</v>
      </c>
      <c r="P61" s="494">
        <v>10</v>
      </c>
      <c r="Q61" s="494">
        <v>7</v>
      </c>
      <c r="R61" s="494">
        <v>7</v>
      </c>
      <c r="S61" s="494">
        <v>10</v>
      </c>
      <c r="T61" s="493">
        <v>7</v>
      </c>
      <c r="U61" s="494">
        <v>5</v>
      </c>
      <c r="V61" s="494">
        <v>5</v>
      </c>
      <c r="Y61" s="35">
        <f>(F61+0.0000000000001)*O61</f>
        <v>55.000000000001002</v>
      </c>
      <c r="Z61" s="35">
        <f>(G61+0.0000000000002)*P61</f>
        <v>55.000000000001997</v>
      </c>
      <c r="AA61" s="35">
        <f>(H61+0.0000000000003)*Q61</f>
        <v>38.500000000002103</v>
      </c>
      <c r="AB61" s="35">
        <f>(I61+0.0000000000004)*R61</f>
        <v>38.5000000000028</v>
      </c>
      <c r="AC61" s="35">
        <f>(J61+0.0000000000005)*S61</f>
        <v>70.000000000005002</v>
      </c>
      <c r="AD61" s="35">
        <f>(K61+0.0000000000006)*T61</f>
        <v>49.000000000004206</v>
      </c>
      <c r="AE61" s="35">
        <f>(L61+0.0000000000007)*U61</f>
        <v>27.500000000003499</v>
      </c>
      <c r="AF61" s="35">
        <f>(M61+0.0000000000008)*V61</f>
        <v>35.000000000004</v>
      </c>
      <c r="AG61" s="35">
        <f>LARGE(Y61:AF61,1)+LARGE(Y61:AF61,2)+LARGE(Y61:AF61,3)+LARGE(Y61:AF61,4)+LARGE(Y61:AF61,5)</f>
        <v>267.50000000001501</v>
      </c>
      <c r="AH61" s="37"/>
      <c r="AI61" s="37" t="s">
        <v>2494</v>
      </c>
    </row>
    <row r="62" spans="1:35" s="35" customFormat="1">
      <c r="B62" s="37"/>
      <c r="AH62" s="37"/>
    </row>
    <row r="63" spans="1:35" s="35" customFormat="1">
      <c r="A63" s="35" t="s">
        <v>415</v>
      </c>
      <c r="B63" s="37" t="s">
        <v>505</v>
      </c>
      <c r="C63" s="35" t="s">
        <v>190</v>
      </c>
      <c r="D63" s="35" t="s">
        <v>415</v>
      </c>
      <c r="E63" s="35" t="s">
        <v>994</v>
      </c>
      <c r="F63" s="35">
        <v>5.5</v>
      </c>
      <c r="G63" s="35">
        <v>4</v>
      </c>
      <c r="H63" s="35">
        <v>5.5</v>
      </c>
      <c r="I63" s="35">
        <v>5.5</v>
      </c>
      <c r="J63" s="35">
        <v>4</v>
      </c>
      <c r="K63" s="35">
        <v>4</v>
      </c>
      <c r="L63" s="35">
        <v>4</v>
      </c>
      <c r="M63" s="35">
        <v>0</v>
      </c>
      <c r="O63" s="35">
        <v>10</v>
      </c>
      <c r="P63" s="35">
        <v>10</v>
      </c>
      <c r="Q63" s="35">
        <v>10</v>
      </c>
      <c r="R63" s="35">
        <v>10</v>
      </c>
      <c r="S63" s="35">
        <v>10</v>
      </c>
      <c r="T63" s="35">
        <v>5</v>
      </c>
      <c r="U63" s="35">
        <v>5</v>
      </c>
      <c r="V63" s="35">
        <v>5</v>
      </c>
      <c r="X63" s="35" t="s">
        <v>190</v>
      </c>
      <c r="Y63" s="35">
        <f>(F63+0.0000000000001)*O63</f>
        <v>55.000000000001002</v>
      </c>
      <c r="Z63" s="35">
        <f>(G63+0.0000000000002)*P63</f>
        <v>40.000000000001997</v>
      </c>
      <c r="AA63" s="35">
        <f>(H63+0.0000000000003)*Q63</f>
        <v>55.000000000002998</v>
      </c>
      <c r="AB63" s="35">
        <f>(I63+0.0000000000004)*R63</f>
        <v>55.000000000003993</v>
      </c>
      <c r="AC63" s="35">
        <f>(J63+0.0000000000005)*S63</f>
        <v>40.000000000005002</v>
      </c>
      <c r="AD63" s="35">
        <f>(K63+0.0000000000006)*T63</f>
        <v>20.000000000003002</v>
      </c>
      <c r="AE63" s="35">
        <f>(L63+0.0000000000007)*U63</f>
        <v>20.000000000003499</v>
      </c>
      <c r="AF63" s="35">
        <f>(M63+0.0000000000008)*V63</f>
        <v>3.9999999999999999E-12</v>
      </c>
      <c r="AG63" s="35">
        <f>LARGE(Y63:AF63,1)+LARGE(Y63:AF63,2)+LARGE(Y63:AF63,3)+LARGE(Y63:AF63,4)+LARGE(Y63:AF63,5)</f>
        <v>245.00000000001498</v>
      </c>
      <c r="AH63" s="37"/>
    </row>
    <row r="64" spans="1:35" s="35" customFormat="1">
      <c r="B64" s="37"/>
      <c r="E64" s="35" t="s">
        <v>995</v>
      </c>
      <c r="F64" s="494">
        <v>5.5</v>
      </c>
      <c r="G64" s="494">
        <v>4</v>
      </c>
      <c r="H64" s="494">
        <v>4</v>
      </c>
      <c r="I64" s="494">
        <v>4</v>
      </c>
      <c r="J64" s="494">
        <v>5.5</v>
      </c>
      <c r="K64" s="494">
        <v>5.5</v>
      </c>
      <c r="L64" s="494">
        <v>0</v>
      </c>
      <c r="M64" s="494">
        <v>3</v>
      </c>
      <c r="N64" s="495"/>
      <c r="O64" s="494">
        <v>10</v>
      </c>
      <c r="P64" s="494">
        <v>10</v>
      </c>
      <c r="Q64" s="494">
        <v>10</v>
      </c>
      <c r="R64" s="494">
        <v>10</v>
      </c>
      <c r="S64" s="494">
        <v>10</v>
      </c>
      <c r="T64" s="494">
        <v>5</v>
      </c>
      <c r="U64" s="494">
        <v>5</v>
      </c>
      <c r="V64" s="494">
        <v>5</v>
      </c>
      <c r="Y64" s="35">
        <f>(F64+0.0000000000001)*O64</f>
        <v>55.000000000001002</v>
      </c>
      <c r="Z64" s="35">
        <f>(G64+0.0000000000002)*P64</f>
        <v>40.000000000001997</v>
      </c>
      <c r="AA64" s="35">
        <f>(H64+0.0000000000003)*Q64</f>
        <v>40.000000000002998</v>
      </c>
      <c r="AB64" s="35">
        <f>(I64+0.0000000000004)*R64</f>
        <v>40.000000000003993</v>
      </c>
      <c r="AC64" s="35">
        <f>(J64+0.0000000000005)*S64</f>
        <v>55.000000000005002</v>
      </c>
      <c r="AD64" s="35">
        <f>(K64+0.0000000000006)*T64</f>
        <v>27.500000000003002</v>
      </c>
      <c r="AE64" s="35">
        <f>(L64+0.0000000000007)*U64</f>
        <v>3.5E-12</v>
      </c>
      <c r="AF64" s="35">
        <f>(M64+0.0000000000008)*V64</f>
        <v>15.000000000003999</v>
      </c>
      <c r="AG64" s="35">
        <f>LARGE(Y64:AF64,1)+LARGE(Y64:AF64,2)+LARGE(Y64:AF64,3)+LARGE(Y64:AF64,4)+LARGE(Y64:AF64,5)</f>
        <v>230.00000000001501</v>
      </c>
      <c r="AH64" s="37"/>
    </row>
    <row r="65" spans="1:35" s="35" customFormat="1">
      <c r="B65" s="37"/>
      <c r="AH65" s="37"/>
    </row>
    <row r="66" spans="1:35" s="35" customFormat="1">
      <c r="A66" s="35" t="s">
        <v>416</v>
      </c>
      <c r="B66" s="37" t="s">
        <v>506</v>
      </c>
      <c r="C66" s="35" t="s">
        <v>548</v>
      </c>
      <c r="D66" s="35" t="s">
        <v>416</v>
      </c>
      <c r="E66" s="35" t="s">
        <v>994</v>
      </c>
      <c r="F66" s="35">
        <v>4</v>
      </c>
      <c r="G66" s="35">
        <v>5.5</v>
      </c>
      <c r="H66" s="35">
        <v>7</v>
      </c>
      <c r="I66" s="35">
        <v>4</v>
      </c>
      <c r="J66" s="35">
        <v>7</v>
      </c>
      <c r="K66" s="35">
        <v>5.5</v>
      </c>
      <c r="L66" s="35">
        <v>5.5</v>
      </c>
      <c r="M66" s="35">
        <v>5.5</v>
      </c>
      <c r="O66" s="35">
        <v>7</v>
      </c>
      <c r="P66" s="35">
        <v>10</v>
      </c>
      <c r="Q66" s="35">
        <v>10</v>
      </c>
      <c r="R66" s="35">
        <v>7</v>
      </c>
      <c r="S66" s="35">
        <v>10</v>
      </c>
      <c r="T66" s="35">
        <v>10</v>
      </c>
      <c r="U66" s="35">
        <v>10</v>
      </c>
      <c r="V66" s="35">
        <v>10</v>
      </c>
      <c r="X66" s="35" t="s">
        <v>548</v>
      </c>
      <c r="Y66" s="35">
        <f>(F66+0.0000000000001)*O66</f>
        <v>28.000000000000703</v>
      </c>
      <c r="Z66" s="35">
        <f>(G66+0.0000000000002)*P66</f>
        <v>55.000000000001997</v>
      </c>
      <c r="AA66" s="35">
        <f>(H66+0.0000000000003)*Q66</f>
        <v>70.000000000002998</v>
      </c>
      <c r="AB66" s="35">
        <f>(I66+0.0000000000004)*R66</f>
        <v>28.0000000000028</v>
      </c>
      <c r="AC66" s="35">
        <f>(J66+0.0000000000005)*S66</f>
        <v>70.000000000005002</v>
      </c>
      <c r="AD66" s="35">
        <f>(K66+0.0000000000006)*T66</f>
        <v>55.000000000006004</v>
      </c>
      <c r="AE66" s="35">
        <f>(L66+0.0000000000007)*U66</f>
        <v>55.000000000006999</v>
      </c>
      <c r="AF66" s="35">
        <f>(M66+0.0000000000008)*V66</f>
        <v>55.000000000008001</v>
      </c>
      <c r="AG66" s="35">
        <f>LARGE(Y66:AF66,1)+LARGE(Y66:AF66,2)+LARGE(Y66:AF66,3)+LARGE(Y66:AF66,4)+LARGE(Y66:AF66,5)</f>
        <v>305.00000000002905</v>
      </c>
      <c r="AH66" s="37"/>
    </row>
    <row r="67" spans="1:35" s="35" customFormat="1">
      <c r="B67" s="37"/>
      <c r="E67" s="35" t="s">
        <v>995</v>
      </c>
      <c r="F67" s="494">
        <v>4</v>
      </c>
      <c r="G67" s="494">
        <v>4</v>
      </c>
      <c r="H67" s="494">
        <v>7</v>
      </c>
      <c r="I67" s="494">
        <v>3</v>
      </c>
      <c r="J67" s="494">
        <v>7</v>
      </c>
      <c r="K67" s="494">
        <v>5.5</v>
      </c>
      <c r="L67" s="494">
        <v>5.5</v>
      </c>
      <c r="M67" s="494">
        <v>0</v>
      </c>
      <c r="N67" s="495"/>
      <c r="O67" s="494">
        <v>7</v>
      </c>
      <c r="P67" s="494">
        <v>10</v>
      </c>
      <c r="Q67" s="494">
        <v>10</v>
      </c>
      <c r="R67" s="494">
        <v>7</v>
      </c>
      <c r="S67" s="494">
        <v>10</v>
      </c>
      <c r="T67" s="494">
        <v>10</v>
      </c>
      <c r="U67" s="494">
        <v>10</v>
      </c>
      <c r="V67" s="494">
        <v>10</v>
      </c>
      <c r="Y67" s="35">
        <f>(F67+0.0000000000001)*O67</f>
        <v>28.000000000000703</v>
      </c>
      <c r="Z67" s="35">
        <f>(G67+0.0000000000002)*P67</f>
        <v>40.000000000001997</v>
      </c>
      <c r="AA67" s="35">
        <f>(H67+0.0000000000003)*Q67</f>
        <v>70.000000000002998</v>
      </c>
      <c r="AB67" s="35">
        <f>(I67+0.0000000000004)*R67</f>
        <v>21.0000000000028</v>
      </c>
      <c r="AC67" s="35">
        <f>(J67+0.0000000000005)*S67</f>
        <v>70.000000000005002</v>
      </c>
      <c r="AD67" s="35">
        <f>(K67+0.0000000000006)*T67</f>
        <v>55.000000000006004</v>
      </c>
      <c r="AE67" s="35">
        <f>(L67+0.0000000000007)*U67</f>
        <v>55.000000000006999</v>
      </c>
      <c r="AF67" s="35">
        <f>(M67+0.0000000000008)*V67</f>
        <v>7.9999999999999998E-12</v>
      </c>
      <c r="AG67" s="35">
        <f>LARGE(Y67:AF67,1)+LARGE(Y67:AF67,2)+LARGE(Y67:AF67,3)+LARGE(Y67:AF67,4)+LARGE(Y67:AF67,5)</f>
        <v>290.00000000002302</v>
      </c>
      <c r="AH67" s="37"/>
    </row>
    <row r="68" spans="1:35" s="35" customFormat="1">
      <c r="B68" s="37"/>
      <c r="AH68" s="37"/>
    </row>
    <row r="69" spans="1:35" s="35" customFormat="1">
      <c r="A69" s="35" t="s">
        <v>417</v>
      </c>
      <c r="B69" s="37" t="s">
        <v>507</v>
      </c>
      <c r="C69" s="35" t="s">
        <v>190</v>
      </c>
      <c r="D69" s="35" t="s">
        <v>417</v>
      </c>
      <c r="E69" s="35" t="s">
        <v>994</v>
      </c>
      <c r="F69" s="35">
        <v>4</v>
      </c>
      <c r="G69" s="35">
        <v>3</v>
      </c>
      <c r="H69" s="35">
        <v>5.5</v>
      </c>
      <c r="I69" s="35">
        <v>7</v>
      </c>
      <c r="J69" s="35">
        <v>5.5</v>
      </c>
      <c r="K69" s="35">
        <v>4</v>
      </c>
      <c r="L69" s="35">
        <v>0</v>
      </c>
      <c r="M69" s="35">
        <v>0</v>
      </c>
      <c r="O69" s="35">
        <v>7</v>
      </c>
      <c r="P69" s="35">
        <v>7</v>
      </c>
      <c r="Q69" s="35">
        <v>7</v>
      </c>
      <c r="R69" s="35">
        <v>7</v>
      </c>
      <c r="S69" s="35">
        <v>5</v>
      </c>
      <c r="T69" s="35">
        <v>5</v>
      </c>
      <c r="U69" s="35">
        <v>5</v>
      </c>
      <c r="V69" s="35">
        <v>5</v>
      </c>
      <c r="X69" s="35" t="s">
        <v>190</v>
      </c>
      <c r="Y69" s="35">
        <f>(F69+0.0000000000001)*O69</f>
        <v>28.000000000000703</v>
      </c>
      <c r="Z69" s="35">
        <f>(G69+0.0000000000002)*P69</f>
        <v>21.0000000000014</v>
      </c>
      <c r="AA69" s="35">
        <f>(H69+0.0000000000003)*Q69</f>
        <v>38.500000000002103</v>
      </c>
      <c r="AB69" s="35">
        <f>(I69+0.0000000000004)*R69</f>
        <v>49.0000000000028</v>
      </c>
      <c r="AC69" s="35">
        <f>(J69+0.0000000000005)*S69</f>
        <v>27.500000000002501</v>
      </c>
      <c r="AD69" s="35">
        <f>(K69+0.0000000000006)*T69</f>
        <v>20.000000000003002</v>
      </c>
      <c r="AE69" s="35">
        <f>(L69+0.0000000000007)*U69</f>
        <v>3.5E-12</v>
      </c>
      <c r="AF69" s="35">
        <f>(M69+0.0000000000008)*V69</f>
        <v>3.9999999999999999E-12</v>
      </c>
      <c r="AG69" s="35">
        <f>LARGE(Y69:AF69,1)+LARGE(Y69:AF69,2)+LARGE(Y69:AF69,3)+LARGE(Y69:AF69,4)+LARGE(Y69:AF69,5)</f>
        <v>164.00000000000949</v>
      </c>
      <c r="AH69" s="37"/>
    </row>
    <row r="70" spans="1:35" s="35" customFormat="1">
      <c r="B70" s="37"/>
      <c r="E70" s="35" t="s">
        <v>995</v>
      </c>
      <c r="F70" s="494">
        <v>4</v>
      </c>
      <c r="G70" s="494">
        <v>4</v>
      </c>
      <c r="H70" s="494">
        <v>5.5</v>
      </c>
      <c r="I70" s="494">
        <v>7</v>
      </c>
      <c r="J70" s="494">
        <v>4</v>
      </c>
      <c r="K70" s="494">
        <v>4</v>
      </c>
      <c r="L70" s="494">
        <v>0</v>
      </c>
      <c r="M70" s="494">
        <v>0</v>
      </c>
      <c r="N70" s="495"/>
      <c r="O70" s="494">
        <v>7</v>
      </c>
      <c r="P70" s="494">
        <v>7</v>
      </c>
      <c r="Q70" s="494">
        <v>7</v>
      </c>
      <c r="R70" s="494">
        <v>7</v>
      </c>
      <c r="S70" s="494">
        <v>5</v>
      </c>
      <c r="T70" s="494">
        <v>5</v>
      </c>
      <c r="U70" s="494">
        <v>5</v>
      </c>
      <c r="V70" s="494">
        <v>5</v>
      </c>
      <c r="Y70" s="35">
        <f>(F70+0.0000000000001)*O70</f>
        <v>28.000000000000703</v>
      </c>
      <c r="Z70" s="35">
        <f>(G70+0.0000000000002)*P70</f>
        <v>28.0000000000014</v>
      </c>
      <c r="AA70" s="35">
        <f>(H70+0.0000000000003)*Q70</f>
        <v>38.500000000002103</v>
      </c>
      <c r="AB70" s="35">
        <f>(I70+0.0000000000004)*R70</f>
        <v>49.0000000000028</v>
      </c>
      <c r="AC70" s="35">
        <f>(J70+0.0000000000005)*S70</f>
        <v>20.000000000002501</v>
      </c>
      <c r="AD70" s="35">
        <f>(K70+0.0000000000006)*T70</f>
        <v>20.000000000003002</v>
      </c>
      <c r="AE70" s="35">
        <f>(L70+0.0000000000007)*U70</f>
        <v>3.5E-12</v>
      </c>
      <c r="AF70" s="35">
        <f>(M70+0.0000000000008)*V70</f>
        <v>3.9999999999999999E-12</v>
      </c>
      <c r="AG70" s="35">
        <f>LARGE(Y70:AF70,1)+LARGE(Y70:AF70,2)+LARGE(Y70:AF70,3)+LARGE(Y70:AF70,4)+LARGE(Y70:AF70,5)</f>
        <v>163.50000000001003</v>
      </c>
      <c r="AH70" s="37"/>
    </row>
    <row r="71" spans="1:35" s="35" customFormat="1">
      <c r="B71" s="37"/>
      <c r="AH71" s="37"/>
    </row>
    <row r="72" spans="1:35" s="35" customFormat="1">
      <c r="A72" s="35" t="s">
        <v>418</v>
      </c>
      <c r="B72" s="37" t="s">
        <v>508</v>
      </c>
      <c r="C72" s="35" t="s">
        <v>189</v>
      </c>
      <c r="D72" s="35" t="s">
        <v>418</v>
      </c>
      <c r="E72" s="35" t="s">
        <v>994</v>
      </c>
      <c r="F72" s="35">
        <v>4</v>
      </c>
      <c r="G72" s="35">
        <v>4</v>
      </c>
      <c r="H72" s="35">
        <v>4</v>
      </c>
      <c r="I72" s="35">
        <v>2</v>
      </c>
      <c r="J72" s="35">
        <v>4</v>
      </c>
      <c r="K72" s="35">
        <v>3</v>
      </c>
      <c r="L72" s="35">
        <v>3</v>
      </c>
      <c r="M72" s="35">
        <v>0</v>
      </c>
      <c r="O72" s="35">
        <v>7</v>
      </c>
      <c r="P72" s="35">
        <v>10</v>
      </c>
      <c r="Q72" s="35">
        <v>10</v>
      </c>
      <c r="R72" s="35">
        <v>7</v>
      </c>
      <c r="S72" s="272">
        <v>7</v>
      </c>
      <c r="T72" s="35">
        <v>5</v>
      </c>
      <c r="U72" s="35">
        <v>5</v>
      </c>
      <c r="V72" s="35">
        <v>5</v>
      </c>
      <c r="X72" s="35" t="s">
        <v>189</v>
      </c>
      <c r="Y72" s="35">
        <f>(F72+0.0000000000001)*O72</f>
        <v>28.000000000000703</v>
      </c>
      <c r="Z72" s="35">
        <f>(G72+0.0000000000002)*P72</f>
        <v>40.000000000001997</v>
      </c>
      <c r="AA72" s="35">
        <f>(H72+0.0000000000003)*Q72</f>
        <v>40.000000000002998</v>
      </c>
      <c r="AB72" s="35">
        <f>(I72+0.0000000000004)*R72</f>
        <v>14.000000000002801</v>
      </c>
      <c r="AC72" s="35">
        <f>(J72+0.0000000000005)*S72</f>
        <v>28.000000000003499</v>
      </c>
      <c r="AD72" s="35">
        <f>(K72+0.0000000000006)*T72</f>
        <v>15.000000000003</v>
      </c>
      <c r="AE72" s="35">
        <f>(L72+0.0000000000007)*U72</f>
        <v>15.000000000003499</v>
      </c>
      <c r="AF72" s="35">
        <f>(M72+0.0000000000008)*V72</f>
        <v>3.9999999999999999E-12</v>
      </c>
      <c r="AG72" s="35">
        <f>LARGE(Y72:AF72,1)+LARGE(Y72:AF72,2)+LARGE(Y72:AF72,3)+LARGE(Y72:AF72,4)+LARGE(Y72:AF72,5)</f>
        <v>151.0000000000127</v>
      </c>
      <c r="AH72" s="37" t="s">
        <v>2493</v>
      </c>
    </row>
    <row r="73" spans="1:35" s="35" customFormat="1">
      <c r="B73" s="37"/>
      <c r="E73" s="35" t="s">
        <v>995</v>
      </c>
      <c r="F73" s="494">
        <v>4</v>
      </c>
      <c r="G73" s="494">
        <v>3</v>
      </c>
      <c r="H73" s="494">
        <v>4</v>
      </c>
      <c r="I73" s="494">
        <v>4</v>
      </c>
      <c r="J73" s="494">
        <v>4</v>
      </c>
      <c r="K73" s="494">
        <v>3</v>
      </c>
      <c r="L73" s="494">
        <v>0</v>
      </c>
      <c r="M73" s="494">
        <v>0</v>
      </c>
      <c r="N73" s="495"/>
      <c r="O73" s="494">
        <v>7</v>
      </c>
      <c r="P73" s="494">
        <v>10</v>
      </c>
      <c r="Q73" s="494">
        <v>10</v>
      </c>
      <c r="R73" s="494">
        <v>7</v>
      </c>
      <c r="S73" s="494">
        <v>5</v>
      </c>
      <c r="T73" s="494">
        <v>5</v>
      </c>
      <c r="U73" s="494">
        <v>5</v>
      </c>
      <c r="V73" s="494">
        <v>5</v>
      </c>
      <c r="Y73" s="35">
        <f>(F73+0.0000000000001)*O73</f>
        <v>28.000000000000703</v>
      </c>
      <c r="Z73" s="35">
        <f>(G73+0.0000000000002)*P73</f>
        <v>30.000000000001997</v>
      </c>
      <c r="AA73" s="35">
        <f>(H73+0.0000000000003)*Q73</f>
        <v>40.000000000002998</v>
      </c>
      <c r="AB73" s="35">
        <f>(I73+0.0000000000004)*R73</f>
        <v>28.0000000000028</v>
      </c>
      <c r="AC73" s="35">
        <f>(J73+0.0000000000005)*S73</f>
        <v>20.000000000002501</v>
      </c>
      <c r="AD73" s="35">
        <f>(K73+0.0000000000006)*T73</f>
        <v>15.000000000003</v>
      </c>
      <c r="AE73" s="35">
        <f>(L73+0.0000000000007)*U73</f>
        <v>3.5E-12</v>
      </c>
      <c r="AF73" s="35">
        <f>(M73+0.0000000000008)*V73</f>
        <v>3.9999999999999999E-12</v>
      </c>
      <c r="AG73" s="35">
        <f>LARGE(Y73:AF73,1)+LARGE(Y73:AF73,2)+LARGE(Y73:AF73,3)+LARGE(Y73:AF73,4)+LARGE(Y73:AF73,5)</f>
        <v>146.000000000011</v>
      </c>
      <c r="AH73" s="37"/>
      <c r="AI73" s="37" t="s">
        <v>2484</v>
      </c>
    </row>
    <row r="74" spans="1:35" s="35" customFormat="1">
      <c r="B74" s="37"/>
      <c r="S74" s="272"/>
      <c r="AH74" s="37"/>
    </row>
    <row r="75" spans="1:35" s="35" customFormat="1">
      <c r="A75" s="35" t="s">
        <v>419</v>
      </c>
      <c r="B75" s="37" t="s">
        <v>509</v>
      </c>
      <c r="C75" s="35" t="s">
        <v>189</v>
      </c>
      <c r="D75" s="35" t="s">
        <v>419</v>
      </c>
      <c r="E75" s="35" t="s">
        <v>994</v>
      </c>
      <c r="F75" s="35">
        <v>3</v>
      </c>
      <c r="G75" s="35">
        <v>3</v>
      </c>
      <c r="H75" s="35">
        <v>4</v>
      </c>
      <c r="I75" s="35">
        <v>3</v>
      </c>
      <c r="J75" s="35">
        <v>4</v>
      </c>
      <c r="K75" s="35">
        <v>4</v>
      </c>
      <c r="L75" s="35">
        <v>3</v>
      </c>
      <c r="M75" s="35">
        <v>0</v>
      </c>
      <c r="O75" s="35">
        <v>7</v>
      </c>
      <c r="P75" s="35">
        <v>10</v>
      </c>
      <c r="Q75" s="35">
        <v>10</v>
      </c>
      <c r="R75" s="35">
        <v>7</v>
      </c>
      <c r="S75" s="35">
        <v>10</v>
      </c>
      <c r="T75" s="35">
        <v>10</v>
      </c>
      <c r="U75" s="35">
        <v>10</v>
      </c>
      <c r="V75" s="35">
        <v>10</v>
      </c>
      <c r="X75" s="35" t="s">
        <v>189</v>
      </c>
      <c r="Y75" s="35">
        <f>(F75+0.0000000000001)*O75</f>
        <v>21.0000000000007</v>
      </c>
      <c r="Z75" s="35">
        <f>(G75+0.0000000000002)*P75</f>
        <v>30.000000000001997</v>
      </c>
      <c r="AA75" s="35">
        <f>(H75+0.0000000000003)*Q75</f>
        <v>40.000000000002998</v>
      </c>
      <c r="AB75" s="35">
        <f>(I75+0.0000000000004)*R75</f>
        <v>21.0000000000028</v>
      </c>
      <c r="AC75" s="35">
        <f>(J75+0.0000000000005)*S75</f>
        <v>40.000000000005002</v>
      </c>
      <c r="AD75" s="35">
        <f>(K75+0.0000000000006)*T75</f>
        <v>40.000000000006004</v>
      </c>
      <c r="AE75" s="35">
        <f>(L75+0.0000000000007)*U75</f>
        <v>30.000000000006999</v>
      </c>
      <c r="AF75" s="35">
        <f>(M75+0.0000000000008)*V75</f>
        <v>7.9999999999999998E-12</v>
      </c>
      <c r="AG75" s="35">
        <f>LARGE(Y75:AF75,1)+LARGE(Y75:AF75,2)+LARGE(Y75:AF75,3)+LARGE(Y75:AF75,4)+LARGE(Y75:AF75,5)</f>
        <v>180.00000000002299</v>
      </c>
      <c r="AH75" s="37"/>
    </row>
    <row r="76" spans="1:35" s="35" customFormat="1">
      <c r="B76" s="37"/>
      <c r="E76" s="35" t="s">
        <v>995</v>
      </c>
      <c r="F76" s="494">
        <v>3</v>
      </c>
      <c r="G76" s="494">
        <v>4</v>
      </c>
      <c r="H76" s="494">
        <v>4</v>
      </c>
      <c r="I76" s="494">
        <v>3</v>
      </c>
      <c r="J76" s="494">
        <v>3</v>
      </c>
      <c r="K76" s="494">
        <v>3</v>
      </c>
      <c r="L76" s="494">
        <v>0</v>
      </c>
      <c r="M76" s="494">
        <v>3</v>
      </c>
      <c r="N76" s="495"/>
      <c r="O76" s="494">
        <v>7</v>
      </c>
      <c r="P76" s="494">
        <v>10</v>
      </c>
      <c r="Q76" s="494">
        <v>10</v>
      </c>
      <c r="R76" s="494">
        <v>7</v>
      </c>
      <c r="S76" s="494">
        <v>10</v>
      </c>
      <c r="T76" s="494">
        <v>10</v>
      </c>
      <c r="U76" s="494">
        <v>10</v>
      </c>
      <c r="V76" s="494">
        <v>10</v>
      </c>
      <c r="Y76" s="35">
        <f>(F76+0.0000000000001)*O76</f>
        <v>21.0000000000007</v>
      </c>
      <c r="Z76" s="35">
        <f>(G76+0.0000000000002)*P76</f>
        <v>40.000000000001997</v>
      </c>
      <c r="AA76" s="35">
        <f>(H76+0.0000000000003)*Q76</f>
        <v>40.000000000002998</v>
      </c>
      <c r="AB76" s="35">
        <f>(I76+0.0000000000004)*R76</f>
        <v>21.0000000000028</v>
      </c>
      <c r="AC76" s="35">
        <f>(J76+0.0000000000005)*S76</f>
        <v>30.000000000005002</v>
      </c>
      <c r="AD76" s="35">
        <f>(K76+0.0000000000006)*T76</f>
        <v>30.000000000006001</v>
      </c>
      <c r="AE76" s="35">
        <f>(L76+0.0000000000007)*U76</f>
        <v>7.0000000000000001E-12</v>
      </c>
      <c r="AF76" s="35">
        <f>(M76+0.0000000000008)*V76</f>
        <v>30.000000000007997</v>
      </c>
      <c r="AG76" s="35">
        <f>LARGE(Y76:AF76,1)+LARGE(Y76:AF76,2)+LARGE(Y76:AF76,3)+LARGE(Y76:AF76,4)+LARGE(Y76:AF76,5)</f>
        <v>170.00000000002402</v>
      </c>
      <c r="AH76" s="37"/>
    </row>
    <row r="77" spans="1:35" s="35" customFormat="1">
      <c r="B77" s="37"/>
      <c r="AH77" s="37"/>
    </row>
    <row r="78" spans="1:35" s="35" customFormat="1">
      <c r="A78" s="35" t="s">
        <v>420</v>
      </c>
      <c r="B78" s="37" t="s">
        <v>510</v>
      </c>
      <c r="C78" s="35" t="s">
        <v>189</v>
      </c>
      <c r="D78" s="35" t="s">
        <v>420</v>
      </c>
      <c r="E78" s="35" t="s">
        <v>994</v>
      </c>
      <c r="F78" s="35">
        <v>4</v>
      </c>
      <c r="G78" s="35">
        <v>3</v>
      </c>
      <c r="H78" s="35">
        <v>4</v>
      </c>
      <c r="I78" s="35">
        <v>4</v>
      </c>
      <c r="J78" s="35">
        <v>5.5</v>
      </c>
      <c r="K78" s="35">
        <v>4</v>
      </c>
      <c r="L78" s="35">
        <v>0</v>
      </c>
      <c r="M78" s="35">
        <v>5.5</v>
      </c>
      <c r="O78" s="35">
        <v>7</v>
      </c>
      <c r="P78" s="35">
        <v>10</v>
      </c>
      <c r="Q78" s="35">
        <v>10</v>
      </c>
      <c r="R78" s="35">
        <v>7</v>
      </c>
      <c r="S78" s="35">
        <v>10</v>
      </c>
      <c r="T78" s="35">
        <v>10</v>
      </c>
      <c r="U78" s="35">
        <v>10</v>
      </c>
      <c r="V78" s="35">
        <v>10</v>
      </c>
      <c r="X78" s="35" t="s">
        <v>189</v>
      </c>
      <c r="Y78" s="35">
        <f>(F78+0.0000000000001)*O78</f>
        <v>28.000000000000703</v>
      </c>
      <c r="Z78" s="35">
        <f>(G78+0.0000000000002)*P78</f>
        <v>30.000000000001997</v>
      </c>
      <c r="AA78" s="35">
        <f>(H78+0.0000000000003)*Q78</f>
        <v>40.000000000002998</v>
      </c>
      <c r="AB78" s="35">
        <f>(I78+0.0000000000004)*R78</f>
        <v>28.0000000000028</v>
      </c>
      <c r="AC78" s="35">
        <f>(J78+0.0000000000005)*S78</f>
        <v>55.000000000005002</v>
      </c>
      <c r="AD78" s="35">
        <f>(K78+0.0000000000006)*T78</f>
        <v>40.000000000006004</v>
      </c>
      <c r="AE78" s="35">
        <f>(L78+0.0000000000007)*U78</f>
        <v>7.0000000000000001E-12</v>
      </c>
      <c r="AF78" s="35">
        <f>(M78+0.0000000000008)*V78</f>
        <v>55.000000000008001</v>
      </c>
      <c r="AG78" s="35">
        <f>LARGE(Y78:AF78,1)+LARGE(Y78:AF78,2)+LARGE(Y78:AF78,3)+LARGE(Y78:AF78,4)+LARGE(Y78:AF78,5)</f>
        <v>220.00000000002399</v>
      </c>
      <c r="AH78" s="37"/>
    </row>
    <row r="79" spans="1:35" s="35" customFormat="1">
      <c r="B79" s="37"/>
      <c r="E79" s="35" t="s">
        <v>995</v>
      </c>
      <c r="F79" s="494">
        <v>3</v>
      </c>
      <c r="G79" s="494">
        <v>3</v>
      </c>
      <c r="H79" s="494">
        <v>4</v>
      </c>
      <c r="I79" s="494">
        <v>3</v>
      </c>
      <c r="J79" s="494">
        <v>5.5</v>
      </c>
      <c r="K79" s="494">
        <v>4</v>
      </c>
      <c r="L79" s="494">
        <v>0</v>
      </c>
      <c r="M79" s="494">
        <v>0</v>
      </c>
      <c r="N79" s="495"/>
      <c r="O79" s="494">
        <v>7</v>
      </c>
      <c r="P79" s="494">
        <v>10</v>
      </c>
      <c r="Q79" s="494">
        <v>10</v>
      </c>
      <c r="R79" s="494">
        <v>7</v>
      </c>
      <c r="S79" s="494">
        <v>10</v>
      </c>
      <c r="T79" s="494">
        <v>10</v>
      </c>
      <c r="U79" s="494">
        <v>10</v>
      </c>
      <c r="V79" s="494">
        <v>10</v>
      </c>
      <c r="Y79" s="35">
        <f>(F79+0.0000000000001)*O79</f>
        <v>21.0000000000007</v>
      </c>
      <c r="Z79" s="35">
        <f>(G79+0.0000000000002)*P79</f>
        <v>30.000000000001997</v>
      </c>
      <c r="AA79" s="35">
        <f>(H79+0.0000000000003)*Q79</f>
        <v>40.000000000002998</v>
      </c>
      <c r="AB79" s="35">
        <f>(I79+0.0000000000004)*R79</f>
        <v>21.0000000000028</v>
      </c>
      <c r="AC79" s="35">
        <f>(J79+0.0000000000005)*S79</f>
        <v>55.000000000005002</v>
      </c>
      <c r="AD79" s="35">
        <f>(K79+0.0000000000006)*T79</f>
        <v>40.000000000006004</v>
      </c>
      <c r="AE79" s="35">
        <f>(L79+0.0000000000007)*U79</f>
        <v>7.0000000000000001E-12</v>
      </c>
      <c r="AF79" s="35">
        <f>(M79+0.0000000000008)*V79</f>
        <v>7.9999999999999998E-12</v>
      </c>
      <c r="AG79" s="35">
        <f>LARGE(Y79:AF79,1)+LARGE(Y79:AF79,2)+LARGE(Y79:AF79,3)+LARGE(Y79:AF79,4)+LARGE(Y79:AF79,5)</f>
        <v>186.00000000001876</v>
      </c>
      <c r="AH79" s="37"/>
    </row>
    <row r="80" spans="1:35" s="35" customFormat="1">
      <c r="B80" s="37"/>
      <c r="AH80" s="37"/>
    </row>
    <row r="81" spans="1:34" s="35" customFormat="1">
      <c r="A81" s="35" t="s">
        <v>421</v>
      </c>
      <c r="B81" s="37" t="s">
        <v>511</v>
      </c>
      <c r="C81" s="35" t="s">
        <v>189</v>
      </c>
      <c r="D81" s="35" t="s">
        <v>421</v>
      </c>
      <c r="E81" s="35" t="s">
        <v>994</v>
      </c>
      <c r="F81" s="35">
        <v>4</v>
      </c>
      <c r="G81" s="35">
        <v>4</v>
      </c>
      <c r="H81" s="35">
        <v>4</v>
      </c>
      <c r="I81" s="35">
        <v>4</v>
      </c>
      <c r="J81" s="35">
        <v>5.5</v>
      </c>
      <c r="K81" s="35">
        <v>4</v>
      </c>
      <c r="L81" s="35">
        <v>0</v>
      </c>
      <c r="M81" s="35">
        <v>0</v>
      </c>
      <c r="O81" s="35">
        <v>7</v>
      </c>
      <c r="P81" s="35">
        <v>10</v>
      </c>
      <c r="Q81" s="35">
        <v>10</v>
      </c>
      <c r="R81" s="35">
        <v>7</v>
      </c>
      <c r="S81" s="35">
        <v>10</v>
      </c>
      <c r="T81" s="35">
        <v>5</v>
      </c>
      <c r="U81" s="35">
        <v>5</v>
      </c>
      <c r="V81" s="35">
        <v>10</v>
      </c>
      <c r="X81" s="35" t="s">
        <v>189</v>
      </c>
      <c r="Y81" s="35">
        <f>(F81+0.0000000000001)*O81</f>
        <v>28.000000000000703</v>
      </c>
      <c r="Z81" s="35">
        <f>(G81+0.0000000000002)*P81</f>
        <v>40.000000000001997</v>
      </c>
      <c r="AA81" s="35">
        <f>(H81+0.0000000000003)*Q81</f>
        <v>40.000000000002998</v>
      </c>
      <c r="AB81" s="35">
        <f>(I81+0.0000000000004)*R81</f>
        <v>28.0000000000028</v>
      </c>
      <c r="AC81" s="35">
        <f>(J81+0.0000000000005)*S81</f>
        <v>55.000000000005002</v>
      </c>
      <c r="AD81" s="35">
        <f>(K81+0.0000000000006)*T81</f>
        <v>20.000000000003002</v>
      </c>
      <c r="AE81" s="35">
        <f>(L81+0.0000000000007)*U81</f>
        <v>3.5E-12</v>
      </c>
      <c r="AF81" s="35">
        <f>(M81+0.0000000000008)*V81</f>
        <v>7.9999999999999998E-12</v>
      </c>
      <c r="AG81" s="35">
        <f>LARGE(Y81:AF81,1)+LARGE(Y81:AF81,2)+LARGE(Y81:AF81,3)+LARGE(Y81:AF81,4)+LARGE(Y81:AF81,5)</f>
        <v>191.0000000000135</v>
      </c>
      <c r="AH81" s="37"/>
    </row>
    <row r="82" spans="1:34" s="35" customFormat="1">
      <c r="B82" s="37"/>
      <c r="E82" s="35" t="s">
        <v>995</v>
      </c>
      <c r="F82" s="494">
        <v>3</v>
      </c>
      <c r="G82" s="494">
        <v>4</v>
      </c>
      <c r="H82" s="494">
        <v>4</v>
      </c>
      <c r="I82" s="494">
        <v>4</v>
      </c>
      <c r="J82" s="494">
        <v>5.5</v>
      </c>
      <c r="K82" s="494">
        <v>4</v>
      </c>
      <c r="L82" s="494">
        <v>0</v>
      </c>
      <c r="M82" s="494">
        <v>0</v>
      </c>
      <c r="N82" s="495"/>
      <c r="O82" s="494">
        <v>7</v>
      </c>
      <c r="P82" s="494">
        <v>10</v>
      </c>
      <c r="Q82" s="494">
        <v>10</v>
      </c>
      <c r="R82" s="494">
        <v>7</v>
      </c>
      <c r="S82" s="494">
        <v>10</v>
      </c>
      <c r="T82" s="494">
        <v>5</v>
      </c>
      <c r="U82" s="494">
        <v>5</v>
      </c>
      <c r="V82" s="494">
        <v>10</v>
      </c>
      <c r="Y82" s="35">
        <f>(F82+0.0000000000001)*O82</f>
        <v>21.0000000000007</v>
      </c>
      <c r="Z82" s="35">
        <f>(G82+0.0000000000002)*P82</f>
        <v>40.000000000001997</v>
      </c>
      <c r="AA82" s="35">
        <f>(H82+0.0000000000003)*Q82</f>
        <v>40.000000000002998</v>
      </c>
      <c r="AB82" s="35">
        <f>(I82+0.0000000000004)*R82</f>
        <v>28.0000000000028</v>
      </c>
      <c r="AC82" s="35">
        <f>(J82+0.0000000000005)*S82</f>
        <v>55.000000000005002</v>
      </c>
      <c r="AD82" s="35">
        <f>(K82+0.0000000000006)*T82</f>
        <v>20.000000000003002</v>
      </c>
      <c r="AE82" s="35">
        <f>(L82+0.0000000000007)*U82</f>
        <v>3.5E-12</v>
      </c>
      <c r="AF82" s="35">
        <f>(M82+0.0000000000008)*V82</f>
        <v>7.9999999999999998E-12</v>
      </c>
      <c r="AG82" s="35">
        <f>LARGE(Y82:AF82,1)+LARGE(Y82:AF82,2)+LARGE(Y82:AF82,3)+LARGE(Y82:AF82,4)+LARGE(Y82:AF82,5)</f>
        <v>184.0000000000135</v>
      </c>
      <c r="AH82" s="37"/>
    </row>
    <row r="83" spans="1:34" s="35" customFormat="1">
      <c r="B83" s="37"/>
      <c r="AH83" s="37"/>
    </row>
    <row r="84" spans="1:34" s="35" customFormat="1">
      <c r="A84" s="35" t="s">
        <v>422</v>
      </c>
      <c r="B84" s="37" t="s">
        <v>512</v>
      </c>
      <c r="C84" s="35" t="s">
        <v>189</v>
      </c>
      <c r="D84" s="35" t="s">
        <v>422</v>
      </c>
      <c r="E84" s="35" t="s">
        <v>994</v>
      </c>
      <c r="F84" s="35">
        <v>3</v>
      </c>
      <c r="G84" s="35">
        <v>3</v>
      </c>
      <c r="H84" s="35">
        <v>4</v>
      </c>
      <c r="I84" s="35">
        <v>3</v>
      </c>
      <c r="J84" s="35">
        <v>4</v>
      </c>
      <c r="K84" s="35">
        <v>4</v>
      </c>
      <c r="L84" s="35">
        <v>0</v>
      </c>
      <c r="M84" s="35">
        <v>3</v>
      </c>
      <c r="O84" s="35">
        <v>7</v>
      </c>
      <c r="P84" s="35">
        <v>10</v>
      </c>
      <c r="Q84" s="35">
        <v>10</v>
      </c>
      <c r="R84" s="35">
        <v>7</v>
      </c>
      <c r="S84" s="35">
        <v>10</v>
      </c>
      <c r="T84" s="35">
        <v>10</v>
      </c>
      <c r="U84" s="35">
        <v>10</v>
      </c>
      <c r="V84" s="35">
        <v>10</v>
      </c>
      <c r="X84" s="35" t="s">
        <v>189</v>
      </c>
      <c r="Y84" s="35">
        <f>(F84+0.0000000000001)*O84</f>
        <v>21.0000000000007</v>
      </c>
      <c r="Z84" s="35">
        <f>(G84+0.0000000000002)*P84</f>
        <v>30.000000000001997</v>
      </c>
      <c r="AA84" s="35">
        <f>(H84+0.0000000000003)*Q84</f>
        <v>40.000000000002998</v>
      </c>
      <c r="AB84" s="35">
        <f>(I84+0.0000000000004)*R84</f>
        <v>21.0000000000028</v>
      </c>
      <c r="AC84" s="35">
        <f>(J84+0.0000000000005)*S84</f>
        <v>40.000000000005002</v>
      </c>
      <c r="AD84" s="35">
        <f>(K84+0.0000000000006)*T84</f>
        <v>40.000000000006004</v>
      </c>
      <c r="AE84" s="35">
        <f>(L84+0.0000000000007)*U84</f>
        <v>7.0000000000000001E-12</v>
      </c>
      <c r="AF84" s="35">
        <f>(M84+0.0000000000008)*V84</f>
        <v>30.000000000007997</v>
      </c>
      <c r="AG84" s="35">
        <f>LARGE(Y84:AF84,1)+LARGE(Y84:AF84,2)+LARGE(Y84:AF84,3)+LARGE(Y84:AF84,4)+LARGE(Y84:AF84,5)</f>
        <v>180.00000000002399</v>
      </c>
      <c r="AH84" s="37"/>
    </row>
    <row r="85" spans="1:34" s="35" customFormat="1">
      <c r="B85" s="37"/>
      <c r="E85" s="35" t="s">
        <v>995</v>
      </c>
      <c r="F85" s="494">
        <v>3</v>
      </c>
      <c r="G85" s="494">
        <v>3</v>
      </c>
      <c r="H85" s="494">
        <v>4</v>
      </c>
      <c r="I85" s="494">
        <v>3</v>
      </c>
      <c r="J85" s="494">
        <v>5.5</v>
      </c>
      <c r="K85" s="494">
        <v>3</v>
      </c>
      <c r="L85" s="494">
        <v>0</v>
      </c>
      <c r="M85" s="494">
        <v>1</v>
      </c>
      <c r="N85" s="495"/>
      <c r="O85" s="494">
        <v>7</v>
      </c>
      <c r="P85" s="494">
        <v>10</v>
      </c>
      <c r="Q85" s="494">
        <v>10</v>
      </c>
      <c r="R85" s="494">
        <v>7</v>
      </c>
      <c r="S85" s="494">
        <v>10</v>
      </c>
      <c r="T85" s="494">
        <v>10</v>
      </c>
      <c r="U85" s="494">
        <v>10</v>
      </c>
      <c r="V85" s="494">
        <v>10</v>
      </c>
      <c r="Y85" s="35">
        <f>(F85+0.0000000000001)*O85</f>
        <v>21.0000000000007</v>
      </c>
      <c r="Z85" s="35">
        <f>(G85+0.0000000000002)*P85</f>
        <v>30.000000000001997</v>
      </c>
      <c r="AA85" s="35">
        <f>(H85+0.0000000000003)*Q85</f>
        <v>40.000000000002998</v>
      </c>
      <c r="AB85" s="35">
        <f>(I85+0.0000000000004)*R85</f>
        <v>21.0000000000028</v>
      </c>
      <c r="AC85" s="35">
        <f>(J85+0.0000000000005)*S85</f>
        <v>55.000000000005002</v>
      </c>
      <c r="AD85" s="35">
        <f>(K85+0.0000000000006)*T85</f>
        <v>30.000000000006001</v>
      </c>
      <c r="AE85" s="35">
        <f>(L85+0.0000000000007)*U85</f>
        <v>7.0000000000000001E-12</v>
      </c>
      <c r="AF85" s="35">
        <f>(M85+0.0000000000008)*V85</f>
        <v>10.000000000008001</v>
      </c>
      <c r="AG85" s="35">
        <f>LARGE(Y85:AF85,1)+LARGE(Y85:AF85,2)+LARGE(Y85:AF85,3)+LARGE(Y85:AF85,4)+LARGE(Y85:AF85,5)</f>
        <v>176.00000000001882</v>
      </c>
      <c r="AH85" s="37"/>
    </row>
    <row r="86" spans="1:34" s="35" customFormat="1">
      <c r="B86" s="37"/>
      <c r="AH86" s="37"/>
    </row>
    <row r="87" spans="1:34" s="35" customFormat="1">
      <c r="A87" s="35" t="s">
        <v>423</v>
      </c>
      <c r="B87" s="37" t="s">
        <v>513</v>
      </c>
      <c r="C87" s="35" t="s">
        <v>189</v>
      </c>
      <c r="D87" s="35" t="s">
        <v>423</v>
      </c>
      <c r="E87" s="35" t="s">
        <v>994</v>
      </c>
      <c r="F87" s="35">
        <v>4</v>
      </c>
      <c r="G87" s="35">
        <v>4</v>
      </c>
      <c r="H87" s="35">
        <v>4</v>
      </c>
      <c r="I87" s="35">
        <v>4</v>
      </c>
      <c r="J87" s="35">
        <v>4</v>
      </c>
      <c r="K87" s="35">
        <v>3</v>
      </c>
      <c r="L87" s="35">
        <v>0</v>
      </c>
      <c r="M87" s="35">
        <v>0</v>
      </c>
      <c r="O87" s="35">
        <v>7</v>
      </c>
      <c r="P87" s="35">
        <v>10</v>
      </c>
      <c r="Q87" s="35">
        <v>10</v>
      </c>
      <c r="R87" s="35">
        <v>7</v>
      </c>
      <c r="S87" s="35">
        <v>10</v>
      </c>
      <c r="T87" s="35">
        <v>5</v>
      </c>
      <c r="U87" s="35">
        <v>5</v>
      </c>
      <c r="V87" s="35">
        <v>5</v>
      </c>
      <c r="X87" s="35" t="s">
        <v>189</v>
      </c>
      <c r="Y87" s="35">
        <f>(F87+0.0000000000001)*O87</f>
        <v>28.000000000000703</v>
      </c>
      <c r="Z87" s="35">
        <f>(G87+0.0000000000002)*P87</f>
        <v>40.000000000001997</v>
      </c>
      <c r="AA87" s="35">
        <f>(H87+0.0000000000003)*Q87</f>
        <v>40.000000000002998</v>
      </c>
      <c r="AB87" s="35">
        <f>(I87+0.0000000000004)*R87</f>
        <v>28.0000000000028</v>
      </c>
      <c r="AC87" s="35">
        <f>(J87+0.0000000000005)*S87</f>
        <v>40.000000000005002</v>
      </c>
      <c r="AD87" s="35">
        <f>(K87+0.0000000000006)*T87</f>
        <v>15.000000000003</v>
      </c>
      <c r="AE87" s="35">
        <f>(L87+0.0000000000007)*U87</f>
        <v>3.5E-12</v>
      </c>
      <c r="AF87" s="35">
        <f>(M87+0.0000000000008)*V87</f>
        <v>3.9999999999999999E-12</v>
      </c>
      <c r="AG87" s="35">
        <f>LARGE(Y87:AF87,1)+LARGE(Y87:AF87,2)+LARGE(Y87:AF87,3)+LARGE(Y87:AF87,4)+LARGE(Y87:AF87,5)</f>
        <v>176.0000000000135</v>
      </c>
      <c r="AH87" s="37"/>
    </row>
    <row r="88" spans="1:34" s="35" customFormat="1">
      <c r="B88" s="37"/>
      <c r="E88" s="35" t="s">
        <v>995</v>
      </c>
      <c r="F88" s="494">
        <v>4</v>
      </c>
      <c r="G88" s="494">
        <v>3</v>
      </c>
      <c r="H88" s="494">
        <v>4</v>
      </c>
      <c r="I88" s="494">
        <v>3</v>
      </c>
      <c r="J88" s="494">
        <v>4</v>
      </c>
      <c r="K88" s="494">
        <v>4</v>
      </c>
      <c r="L88" s="494">
        <v>0</v>
      </c>
      <c r="M88" s="494">
        <v>0</v>
      </c>
      <c r="N88" s="495"/>
      <c r="O88" s="494">
        <v>7</v>
      </c>
      <c r="P88" s="494">
        <v>10</v>
      </c>
      <c r="Q88" s="494">
        <v>10</v>
      </c>
      <c r="R88" s="494">
        <v>7</v>
      </c>
      <c r="S88" s="494">
        <v>10</v>
      </c>
      <c r="T88" s="494">
        <v>5</v>
      </c>
      <c r="U88" s="494">
        <v>5</v>
      </c>
      <c r="V88" s="494">
        <v>5</v>
      </c>
      <c r="Y88" s="35">
        <f>(F88+0.0000000000001)*O88</f>
        <v>28.000000000000703</v>
      </c>
      <c r="Z88" s="35">
        <f>(G88+0.0000000000002)*P88</f>
        <v>30.000000000001997</v>
      </c>
      <c r="AA88" s="35">
        <f>(H88+0.0000000000003)*Q88</f>
        <v>40.000000000002998</v>
      </c>
      <c r="AB88" s="35">
        <f>(I88+0.0000000000004)*R88</f>
        <v>21.0000000000028</v>
      </c>
      <c r="AC88" s="35">
        <f>(J88+0.0000000000005)*S88</f>
        <v>40.000000000005002</v>
      </c>
      <c r="AD88" s="35">
        <f>(K88+0.0000000000006)*T88</f>
        <v>20.000000000003002</v>
      </c>
      <c r="AE88" s="35">
        <f>(L88+0.0000000000007)*U88</f>
        <v>3.5E-12</v>
      </c>
      <c r="AF88" s="35">
        <f>(M88+0.0000000000008)*V88</f>
        <v>3.9999999999999999E-12</v>
      </c>
      <c r="AG88" s="35">
        <f>LARGE(Y88:AF88,1)+LARGE(Y88:AF88,2)+LARGE(Y88:AF88,3)+LARGE(Y88:AF88,4)+LARGE(Y88:AF88,5)</f>
        <v>159.00000000001353</v>
      </c>
      <c r="AH88" s="37"/>
    </row>
    <row r="89" spans="1:34" s="35" customFormat="1">
      <c r="B89" s="37"/>
      <c r="AH89" s="37"/>
    </row>
    <row r="90" spans="1:34" s="35" customFormat="1">
      <c r="A90" s="35" t="s">
        <v>424</v>
      </c>
      <c r="B90" s="37" t="s">
        <v>514</v>
      </c>
      <c r="C90" s="35" t="s">
        <v>190</v>
      </c>
      <c r="D90" s="35" t="s">
        <v>424</v>
      </c>
      <c r="E90" s="35" t="s">
        <v>994</v>
      </c>
      <c r="F90" s="35">
        <v>3</v>
      </c>
      <c r="G90" s="35">
        <v>3</v>
      </c>
      <c r="H90" s="35">
        <v>4</v>
      </c>
      <c r="I90" s="35">
        <v>4</v>
      </c>
      <c r="J90" s="35">
        <v>7</v>
      </c>
      <c r="K90" s="35">
        <v>4</v>
      </c>
      <c r="L90" s="35">
        <v>0</v>
      </c>
      <c r="M90" s="35">
        <v>0</v>
      </c>
      <c r="O90" s="35">
        <v>7</v>
      </c>
      <c r="P90" s="35">
        <v>7</v>
      </c>
      <c r="Q90" s="35">
        <v>7</v>
      </c>
      <c r="R90" s="35">
        <v>7</v>
      </c>
      <c r="S90" s="35">
        <v>5</v>
      </c>
      <c r="T90" s="35">
        <v>5</v>
      </c>
      <c r="U90" s="35">
        <v>5</v>
      </c>
      <c r="V90" s="35">
        <v>5</v>
      </c>
      <c r="X90" s="35" t="s">
        <v>190</v>
      </c>
      <c r="Y90" s="35">
        <f>(F90+0.0000000000001)*O90</f>
        <v>21.0000000000007</v>
      </c>
      <c r="Z90" s="35">
        <f>(G90+0.0000000000002)*P90</f>
        <v>21.0000000000014</v>
      </c>
      <c r="AA90" s="35">
        <f>(H90+0.0000000000003)*Q90</f>
        <v>28.000000000002103</v>
      </c>
      <c r="AB90" s="35">
        <f>(I90+0.0000000000004)*R90</f>
        <v>28.0000000000028</v>
      </c>
      <c r="AC90" s="35">
        <f>(J90+0.0000000000005)*S90</f>
        <v>35.000000000002501</v>
      </c>
      <c r="AD90" s="35">
        <f>(K90+0.0000000000006)*T90</f>
        <v>20.000000000003002</v>
      </c>
      <c r="AE90" s="35">
        <f>(L90+0.0000000000007)*U90</f>
        <v>3.5E-12</v>
      </c>
      <c r="AF90" s="35">
        <f>(M90+0.0000000000008)*V90</f>
        <v>3.9999999999999999E-12</v>
      </c>
      <c r="AG90" s="35">
        <f>LARGE(Y90:AF90,1)+LARGE(Y90:AF90,2)+LARGE(Y90:AF90,3)+LARGE(Y90:AF90,4)+LARGE(Y90:AF90,5)</f>
        <v>133.00000000000952</v>
      </c>
      <c r="AH90" s="37" t="s">
        <v>2488</v>
      </c>
    </row>
    <row r="91" spans="1:34" s="35" customFormat="1">
      <c r="B91" s="37"/>
      <c r="E91" s="35" t="s">
        <v>995</v>
      </c>
      <c r="F91" s="494">
        <v>5.5</v>
      </c>
      <c r="G91" s="494">
        <v>3</v>
      </c>
      <c r="H91" s="494">
        <v>3</v>
      </c>
      <c r="I91" s="494">
        <v>5.5</v>
      </c>
      <c r="J91" s="494">
        <v>4</v>
      </c>
      <c r="K91" s="494">
        <v>3</v>
      </c>
      <c r="L91" s="494">
        <v>3</v>
      </c>
      <c r="M91" s="494">
        <v>0</v>
      </c>
      <c r="N91" s="495"/>
      <c r="O91" s="494">
        <v>7</v>
      </c>
      <c r="P91" s="494">
        <v>7</v>
      </c>
      <c r="Q91" s="494">
        <v>7</v>
      </c>
      <c r="R91" s="494">
        <v>7</v>
      </c>
      <c r="S91" s="494">
        <v>5</v>
      </c>
      <c r="T91" s="494">
        <v>5</v>
      </c>
      <c r="U91" s="494">
        <v>5</v>
      </c>
      <c r="V91" s="494">
        <v>5</v>
      </c>
      <c r="Y91" s="35">
        <f>(F91+0.0000000000001)*O91</f>
        <v>38.500000000000703</v>
      </c>
      <c r="Z91" s="35">
        <f>(G91+0.0000000000002)*P91</f>
        <v>21.0000000000014</v>
      </c>
      <c r="AA91" s="35">
        <f>(H91+0.0000000000003)*Q91</f>
        <v>21.000000000002103</v>
      </c>
      <c r="AB91" s="35">
        <f>(I91+0.0000000000004)*R91</f>
        <v>38.5000000000028</v>
      </c>
      <c r="AC91" s="35">
        <f>(J91+0.0000000000005)*S91</f>
        <v>20.000000000002501</v>
      </c>
      <c r="AD91" s="35">
        <f>(K91+0.0000000000006)*T91</f>
        <v>15.000000000003</v>
      </c>
      <c r="AE91" s="35">
        <f>(L91+0.0000000000007)*U91</f>
        <v>15.000000000003499</v>
      </c>
      <c r="AF91" s="35">
        <f>(M91+0.0000000000008)*V91</f>
        <v>3.9999999999999999E-12</v>
      </c>
      <c r="AG91" s="35">
        <f>LARGE(Y91:AF91,1)+LARGE(Y91:AF91,2)+LARGE(Y91:AF91,3)+LARGE(Y91:AF91,4)+LARGE(Y91:AF91,5)</f>
        <v>139.00000000000949</v>
      </c>
      <c r="AH91" s="37" t="s">
        <v>2334</v>
      </c>
    </row>
    <row r="92" spans="1:34" s="35" customFormat="1">
      <c r="B92" s="37"/>
      <c r="AH92" s="37"/>
    </row>
    <row r="93" spans="1:34" s="35" customFormat="1">
      <c r="A93" s="35" t="s">
        <v>425</v>
      </c>
      <c r="B93" s="37" t="s">
        <v>515</v>
      </c>
      <c r="C93" s="35" t="s">
        <v>189</v>
      </c>
      <c r="D93" s="35" t="s">
        <v>425</v>
      </c>
      <c r="E93" s="35" t="s">
        <v>994</v>
      </c>
      <c r="F93" s="35">
        <v>3</v>
      </c>
      <c r="G93" s="35">
        <v>4</v>
      </c>
      <c r="H93" s="35">
        <v>4</v>
      </c>
      <c r="I93" s="35">
        <v>3</v>
      </c>
      <c r="J93" s="35">
        <v>4</v>
      </c>
      <c r="K93" s="35">
        <v>4</v>
      </c>
      <c r="L93" s="35">
        <v>3</v>
      </c>
      <c r="M93" s="35">
        <v>2</v>
      </c>
      <c r="O93" s="35">
        <v>7</v>
      </c>
      <c r="P93" s="35">
        <v>10</v>
      </c>
      <c r="Q93" s="35">
        <v>10</v>
      </c>
      <c r="R93" s="35">
        <v>7</v>
      </c>
      <c r="S93" s="35">
        <v>10</v>
      </c>
      <c r="T93" s="35">
        <v>5</v>
      </c>
      <c r="U93" s="35">
        <v>5</v>
      </c>
      <c r="V93" s="35">
        <v>10</v>
      </c>
      <c r="X93" s="35" t="s">
        <v>189</v>
      </c>
      <c r="Y93" s="35">
        <f>(F93+0.0000000000001)*O93</f>
        <v>21.0000000000007</v>
      </c>
      <c r="Z93" s="35">
        <f>(G93+0.0000000000002)*P93</f>
        <v>40.000000000001997</v>
      </c>
      <c r="AA93" s="35">
        <f>(H93+0.0000000000003)*Q93</f>
        <v>40.000000000002998</v>
      </c>
      <c r="AB93" s="35">
        <f>(I93+0.0000000000004)*R93</f>
        <v>21.0000000000028</v>
      </c>
      <c r="AC93" s="35">
        <f>(J93+0.0000000000005)*S93</f>
        <v>40.000000000005002</v>
      </c>
      <c r="AD93" s="35">
        <f>(K93+0.0000000000006)*T93</f>
        <v>20.000000000003002</v>
      </c>
      <c r="AE93" s="35">
        <f>(L93+0.0000000000007)*U93</f>
        <v>15.000000000003499</v>
      </c>
      <c r="AF93" s="35">
        <f>(M93+0.0000000000008)*V93</f>
        <v>20.000000000007997</v>
      </c>
      <c r="AG93" s="35">
        <f>LARGE(Y93:AF93,1)+LARGE(Y93:AF93,2)+LARGE(Y93:AF93,3)+LARGE(Y93:AF93,4)+LARGE(Y93:AF93,5)</f>
        <v>162.0000000000135</v>
      </c>
      <c r="AH93" s="37"/>
    </row>
    <row r="94" spans="1:34" s="35" customFormat="1">
      <c r="B94" s="37"/>
      <c r="E94" s="35" t="s">
        <v>995</v>
      </c>
      <c r="F94" s="494">
        <v>3</v>
      </c>
      <c r="G94" s="494">
        <v>4</v>
      </c>
      <c r="H94" s="494">
        <v>4</v>
      </c>
      <c r="I94" s="494">
        <v>4</v>
      </c>
      <c r="J94" s="494">
        <v>3</v>
      </c>
      <c r="K94" s="494">
        <v>3</v>
      </c>
      <c r="L94" s="494">
        <v>0</v>
      </c>
      <c r="M94" s="494">
        <v>2</v>
      </c>
      <c r="N94" s="495"/>
      <c r="O94" s="494">
        <v>7</v>
      </c>
      <c r="P94" s="494">
        <v>10</v>
      </c>
      <c r="Q94" s="494">
        <v>10</v>
      </c>
      <c r="R94" s="494">
        <v>7</v>
      </c>
      <c r="S94" s="494">
        <v>10</v>
      </c>
      <c r="T94" s="494">
        <v>5</v>
      </c>
      <c r="U94" s="494">
        <v>5</v>
      </c>
      <c r="V94" s="494">
        <v>10</v>
      </c>
      <c r="Y94" s="35">
        <f>(F94+0.0000000000001)*O94</f>
        <v>21.0000000000007</v>
      </c>
      <c r="Z94" s="35">
        <f>(G94+0.0000000000002)*P94</f>
        <v>40.000000000001997</v>
      </c>
      <c r="AA94" s="35">
        <f>(H94+0.0000000000003)*Q94</f>
        <v>40.000000000002998</v>
      </c>
      <c r="AB94" s="35">
        <f>(I94+0.0000000000004)*R94</f>
        <v>28.0000000000028</v>
      </c>
      <c r="AC94" s="35">
        <f>(J94+0.0000000000005)*S94</f>
        <v>30.000000000005002</v>
      </c>
      <c r="AD94" s="35">
        <f>(K94+0.0000000000006)*T94</f>
        <v>15.000000000003</v>
      </c>
      <c r="AE94" s="35">
        <f>(L94+0.0000000000007)*U94</f>
        <v>3.5E-12</v>
      </c>
      <c r="AF94" s="35">
        <f>(M94+0.0000000000008)*V94</f>
        <v>20.000000000007997</v>
      </c>
      <c r="AG94" s="35">
        <f>LARGE(Y94:AF94,1)+LARGE(Y94:AF94,2)+LARGE(Y94:AF94,3)+LARGE(Y94:AF94,4)+LARGE(Y94:AF94,5)</f>
        <v>159.0000000000135</v>
      </c>
      <c r="AH94" s="37"/>
    </row>
    <row r="95" spans="1:34" s="35" customFormat="1">
      <c r="B95" s="37"/>
      <c r="AH95" s="37"/>
    </row>
    <row r="96" spans="1:34" s="35" customFormat="1">
      <c r="A96" s="35" t="s">
        <v>426</v>
      </c>
      <c r="B96" s="37" t="s">
        <v>516</v>
      </c>
      <c r="C96" s="35" t="s">
        <v>189</v>
      </c>
      <c r="D96" s="35" t="s">
        <v>426</v>
      </c>
      <c r="E96" s="35" t="s">
        <v>994</v>
      </c>
      <c r="F96" s="35">
        <v>5.5</v>
      </c>
      <c r="G96" s="35">
        <v>3</v>
      </c>
      <c r="H96" s="35">
        <v>7</v>
      </c>
      <c r="I96" s="35">
        <v>4</v>
      </c>
      <c r="J96" s="35">
        <v>5.5</v>
      </c>
      <c r="K96" s="35">
        <v>5.5</v>
      </c>
      <c r="L96" s="35">
        <v>0</v>
      </c>
      <c r="M96" s="35">
        <v>4</v>
      </c>
      <c r="O96" s="35">
        <v>7</v>
      </c>
      <c r="P96" s="35">
        <v>10</v>
      </c>
      <c r="Q96" s="35">
        <v>7</v>
      </c>
      <c r="R96" s="35">
        <v>7</v>
      </c>
      <c r="S96" s="35">
        <v>5</v>
      </c>
      <c r="T96" s="35">
        <v>5</v>
      </c>
      <c r="U96" s="35">
        <v>5</v>
      </c>
      <c r="V96" s="35">
        <v>5</v>
      </c>
      <c r="X96" s="35" t="s">
        <v>189</v>
      </c>
      <c r="Y96" s="35">
        <f>(F96+0.0000000000001)*O96</f>
        <v>38.500000000000703</v>
      </c>
      <c r="Z96" s="35">
        <f>(G96+0.0000000000002)*P96</f>
        <v>30.000000000001997</v>
      </c>
      <c r="AA96" s="35">
        <f>(H96+0.0000000000003)*Q96</f>
        <v>49.000000000002103</v>
      </c>
      <c r="AB96" s="35">
        <f>(I96+0.0000000000004)*R96</f>
        <v>28.0000000000028</v>
      </c>
      <c r="AC96" s="35">
        <f>(J96+0.0000000000005)*S96</f>
        <v>27.500000000002501</v>
      </c>
      <c r="AD96" s="35">
        <f>(K96+0.0000000000006)*T96</f>
        <v>27.500000000003002</v>
      </c>
      <c r="AE96" s="35">
        <f>(L96+0.0000000000007)*U96</f>
        <v>3.5E-12</v>
      </c>
      <c r="AF96" s="35">
        <f>(M96+0.0000000000008)*V96</f>
        <v>20.000000000004</v>
      </c>
      <c r="AG96" s="35">
        <f>LARGE(Y96:AF96,1)+LARGE(Y96:AF96,2)+LARGE(Y96:AF96,3)+LARGE(Y96:AF96,4)+LARGE(Y96:AF96,5)</f>
        <v>173.00000000001063</v>
      </c>
      <c r="AH96" s="37"/>
    </row>
    <row r="97" spans="1:34" s="35" customFormat="1">
      <c r="B97" s="37"/>
      <c r="E97" s="35" t="s">
        <v>995</v>
      </c>
      <c r="F97" s="494">
        <v>4</v>
      </c>
      <c r="G97" s="494">
        <v>4</v>
      </c>
      <c r="H97" s="494">
        <v>7</v>
      </c>
      <c r="I97" s="494">
        <v>4</v>
      </c>
      <c r="J97" s="494">
        <v>4</v>
      </c>
      <c r="K97" s="494">
        <v>4</v>
      </c>
      <c r="L97" s="494">
        <v>0</v>
      </c>
      <c r="M97" s="494">
        <v>5.5</v>
      </c>
      <c r="N97" s="495"/>
      <c r="O97" s="494">
        <v>7</v>
      </c>
      <c r="P97" s="494">
        <v>10</v>
      </c>
      <c r="Q97" s="494">
        <v>7</v>
      </c>
      <c r="R97" s="494">
        <v>7</v>
      </c>
      <c r="S97" s="494">
        <v>5</v>
      </c>
      <c r="T97" s="494">
        <v>5</v>
      </c>
      <c r="U97" s="494">
        <v>5</v>
      </c>
      <c r="V97" s="494">
        <v>5</v>
      </c>
      <c r="Y97" s="35">
        <f>(F97+0.0000000000001)*O97</f>
        <v>28.000000000000703</v>
      </c>
      <c r="Z97" s="35">
        <f>(G97+0.0000000000002)*P97</f>
        <v>40.000000000001997</v>
      </c>
      <c r="AA97" s="35">
        <f>(H97+0.0000000000003)*Q97</f>
        <v>49.000000000002103</v>
      </c>
      <c r="AB97" s="35">
        <f>(I97+0.0000000000004)*R97</f>
        <v>28.0000000000028</v>
      </c>
      <c r="AC97" s="35">
        <f>(J97+0.0000000000005)*S97</f>
        <v>20.000000000002501</v>
      </c>
      <c r="AD97" s="35">
        <f>(K97+0.0000000000006)*T97</f>
        <v>20.000000000003002</v>
      </c>
      <c r="AE97" s="35">
        <f>(L97+0.0000000000007)*U97</f>
        <v>3.5E-12</v>
      </c>
      <c r="AF97" s="35">
        <f>(M97+0.0000000000008)*V97</f>
        <v>27.500000000004</v>
      </c>
      <c r="AG97" s="35">
        <f>LARGE(Y97:AF97,1)+LARGE(Y97:AF97,2)+LARGE(Y97:AF97,3)+LARGE(Y97:AF97,4)+LARGE(Y97:AF97,5)</f>
        <v>172.5000000000116</v>
      </c>
      <c r="AH97" s="37"/>
    </row>
    <row r="98" spans="1:34" s="35" customFormat="1">
      <c r="B98" s="37"/>
      <c r="AH98" s="37"/>
    </row>
    <row r="99" spans="1:34" s="35" customFormat="1">
      <c r="A99" s="35" t="s">
        <v>427</v>
      </c>
      <c r="B99" s="37" t="s">
        <v>517</v>
      </c>
      <c r="C99" s="35" t="s">
        <v>189</v>
      </c>
      <c r="D99" s="35" t="s">
        <v>427</v>
      </c>
      <c r="E99" s="35" t="s">
        <v>994</v>
      </c>
      <c r="F99" s="35">
        <v>4</v>
      </c>
      <c r="G99" s="35">
        <v>3</v>
      </c>
      <c r="H99" s="35">
        <v>4</v>
      </c>
      <c r="I99" s="35">
        <v>3</v>
      </c>
      <c r="J99" s="35">
        <v>5.5</v>
      </c>
      <c r="K99" s="35">
        <v>4</v>
      </c>
      <c r="L99" s="35">
        <v>0</v>
      </c>
      <c r="M99" s="35">
        <v>0</v>
      </c>
      <c r="O99" s="35">
        <v>7</v>
      </c>
      <c r="P99" s="35">
        <v>10</v>
      </c>
      <c r="Q99" s="35">
        <v>10</v>
      </c>
      <c r="R99" s="35">
        <v>7</v>
      </c>
      <c r="S99" s="35">
        <v>10</v>
      </c>
      <c r="T99" s="35">
        <v>5</v>
      </c>
      <c r="U99" s="35">
        <v>5</v>
      </c>
      <c r="V99" s="35">
        <v>10</v>
      </c>
      <c r="X99" s="35" t="s">
        <v>189</v>
      </c>
      <c r="Y99" s="35">
        <f>(F99+0.0000000000001)*O99</f>
        <v>28.000000000000703</v>
      </c>
      <c r="Z99" s="35">
        <f>(G99+0.0000000000002)*P99</f>
        <v>30.000000000001997</v>
      </c>
      <c r="AA99" s="35">
        <f>(H99+0.0000000000003)*Q99</f>
        <v>40.000000000002998</v>
      </c>
      <c r="AB99" s="35">
        <f>(I99+0.0000000000004)*R99</f>
        <v>21.0000000000028</v>
      </c>
      <c r="AC99" s="35">
        <f>(J99+0.0000000000005)*S99</f>
        <v>55.000000000005002</v>
      </c>
      <c r="AD99" s="35">
        <f>(K99+0.0000000000006)*T99</f>
        <v>20.000000000003002</v>
      </c>
      <c r="AE99" s="35">
        <f>(L99+0.0000000000007)*U99</f>
        <v>3.5E-12</v>
      </c>
      <c r="AF99" s="35">
        <f>(M99+0.0000000000008)*V99</f>
        <v>7.9999999999999998E-12</v>
      </c>
      <c r="AG99" s="35">
        <f>LARGE(Y99:AF99,1)+LARGE(Y99:AF99,2)+LARGE(Y99:AF99,3)+LARGE(Y99:AF99,4)+LARGE(Y99:AF99,5)</f>
        <v>174.00000000001353</v>
      </c>
      <c r="AH99" s="37"/>
    </row>
    <row r="100" spans="1:34" s="35" customFormat="1">
      <c r="B100" s="37"/>
      <c r="E100" s="35" t="s">
        <v>995</v>
      </c>
      <c r="F100" s="494">
        <v>3</v>
      </c>
      <c r="G100" s="494">
        <v>3</v>
      </c>
      <c r="H100" s="494">
        <v>4</v>
      </c>
      <c r="I100" s="494">
        <v>3</v>
      </c>
      <c r="J100" s="494">
        <v>4</v>
      </c>
      <c r="K100" s="494">
        <v>4</v>
      </c>
      <c r="L100" s="494">
        <v>0</v>
      </c>
      <c r="M100" s="494">
        <v>0</v>
      </c>
      <c r="N100" s="495"/>
      <c r="O100" s="494">
        <v>7</v>
      </c>
      <c r="P100" s="494">
        <v>10</v>
      </c>
      <c r="Q100" s="494">
        <v>10</v>
      </c>
      <c r="R100" s="494">
        <v>7</v>
      </c>
      <c r="S100" s="494">
        <v>10</v>
      </c>
      <c r="T100" s="494">
        <v>5</v>
      </c>
      <c r="U100" s="494">
        <v>5</v>
      </c>
      <c r="V100" s="494">
        <v>10</v>
      </c>
      <c r="Y100" s="35">
        <f>(F100+0.0000000000001)*O100</f>
        <v>21.0000000000007</v>
      </c>
      <c r="Z100" s="35">
        <f>(G100+0.0000000000002)*P100</f>
        <v>30.000000000001997</v>
      </c>
      <c r="AA100" s="35">
        <f>(H100+0.0000000000003)*Q100</f>
        <v>40.000000000002998</v>
      </c>
      <c r="AB100" s="35">
        <f>(I100+0.0000000000004)*R100</f>
        <v>21.0000000000028</v>
      </c>
      <c r="AC100" s="35">
        <f>(J100+0.0000000000005)*S100</f>
        <v>40.000000000005002</v>
      </c>
      <c r="AD100" s="35">
        <f>(K100+0.0000000000006)*T100</f>
        <v>20.000000000003002</v>
      </c>
      <c r="AE100" s="35">
        <f>(L100+0.0000000000007)*U100</f>
        <v>3.5E-12</v>
      </c>
      <c r="AF100" s="35">
        <f>(M100+0.0000000000008)*V100</f>
        <v>7.9999999999999998E-12</v>
      </c>
      <c r="AG100" s="35">
        <f>LARGE(Y100:AF100,1)+LARGE(Y100:AF100,2)+LARGE(Y100:AF100,3)+LARGE(Y100:AF100,4)+LARGE(Y100:AF100,5)</f>
        <v>152.0000000000135</v>
      </c>
      <c r="AH100" s="37"/>
    </row>
    <row r="101" spans="1:34" s="35" customFormat="1">
      <c r="B101" s="37"/>
      <c r="AH101" s="37"/>
    </row>
    <row r="102" spans="1:34" s="35" customFormat="1">
      <c r="A102" s="35" t="s">
        <v>428</v>
      </c>
      <c r="B102" s="37" t="s">
        <v>518</v>
      </c>
      <c r="C102" s="35" t="s">
        <v>189</v>
      </c>
      <c r="D102" s="35" t="s">
        <v>428</v>
      </c>
      <c r="E102" s="35" t="s">
        <v>994</v>
      </c>
      <c r="F102" s="35">
        <v>5.5</v>
      </c>
      <c r="G102" s="35">
        <v>4</v>
      </c>
      <c r="H102" s="35">
        <v>4</v>
      </c>
      <c r="I102" s="35">
        <v>4</v>
      </c>
      <c r="J102" s="35">
        <v>4</v>
      </c>
      <c r="K102" s="35">
        <v>4</v>
      </c>
      <c r="L102" s="35">
        <v>0</v>
      </c>
      <c r="M102" s="35">
        <v>0</v>
      </c>
      <c r="O102" s="35">
        <v>7</v>
      </c>
      <c r="P102" s="35">
        <v>10</v>
      </c>
      <c r="Q102" s="35">
        <v>10</v>
      </c>
      <c r="R102" s="35">
        <v>7</v>
      </c>
      <c r="S102" s="35">
        <v>5</v>
      </c>
      <c r="T102" s="35">
        <v>5</v>
      </c>
      <c r="U102" s="35">
        <v>5</v>
      </c>
      <c r="V102" s="35">
        <v>5</v>
      </c>
      <c r="X102" s="35" t="s">
        <v>189</v>
      </c>
      <c r="Y102" s="35">
        <f>(F102+0.0000000000001)*O102</f>
        <v>38.500000000000703</v>
      </c>
      <c r="Z102" s="35">
        <f>(G102+0.0000000000002)*P102</f>
        <v>40.000000000001997</v>
      </c>
      <c r="AA102" s="35">
        <f>(H102+0.0000000000003)*Q102</f>
        <v>40.000000000002998</v>
      </c>
      <c r="AB102" s="35">
        <f>(I102+0.0000000000004)*R102</f>
        <v>28.0000000000028</v>
      </c>
      <c r="AC102" s="35">
        <f>(J102+0.0000000000005)*S102</f>
        <v>20.000000000002501</v>
      </c>
      <c r="AD102" s="35">
        <f>(K102+0.0000000000006)*T102</f>
        <v>20.000000000003002</v>
      </c>
      <c r="AE102" s="35">
        <f>(L102+0.0000000000007)*U102</f>
        <v>3.5E-12</v>
      </c>
      <c r="AF102" s="35">
        <f>(M102+0.0000000000008)*V102</f>
        <v>3.9999999999999999E-12</v>
      </c>
      <c r="AG102" s="35">
        <f>LARGE(Y102:AF102,1)+LARGE(Y102:AF102,2)+LARGE(Y102:AF102,3)+LARGE(Y102:AF102,4)+LARGE(Y102:AF102,5)</f>
        <v>166.50000000001154</v>
      </c>
      <c r="AH102" s="37"/>
    </row>
    <row r="103" spans="1:34" s="35" customFormat="1">
      <c r="B103" s="37"/>
      <c r="E103" s="35" t="s">
        <v>995</v>
      </c>
      <c r="F103" s="494">
        <v>5.5</v>
      </c>
      <c r="G103" s="494">
        <v>3</v>
      </c>
      <c r="H103" s="494">
        <v>4</v>
      </c>
      <c r="I103" s="494">
        <v>4</v>
      </c>
      <c r="J103" s="494">
        <v>4</v>
      </c>
      <c r="K103" s="494">
        <v>3</v>
      </c>
      <c r="L103" s="494">
        <v>0</v>
      </c>
      <c r="M103" s="494">
        <v>0</v>
      </c>
      <c r="N103" s="495"/>
      <c r="O103" s="494">
        <v>7</v>
      </c>
      <c r="P103" s="494">
        <v>10</v>
      </c>
      <c r="Q103" s="494">
        <v>10</v>
      </c>
      <c r="R103" s="494">
        <v>7</v>
      </c>
      <c r="S103" s="494">
        <v>5</v>
      </c>
      <c r="T103" s="494">
        <v>5</v>
      </c>
      <c r="U103" s="494">
        <v>5</v>
      </c>
      <c r="V103" s="494">
        <v>5</v>
      </c>
      <c r="Y103" s="35">
        <f>(F103+0.0000000000001)*O103</f>
        <v>38.500000000000703</v>
      </c>
      <c r="Z103" s="35">
        <f>(G103+0.0000000000002)*P103</f>
        <v>30.000000000001997</v>
      </c>
      <c r="AA103" s="35">
        <f>(H103+0.0000000000003)*Q103</f>
        <v>40.000000000002998</v>
      </c>
      <c r="AB103" s="35">
        <f>(I103+0.0000000000004)*R103</f>
        <v>28.0000000000028</v>
      </c>
      <c r="AC103" s="35">
        <f>(J103+0.0000000000005)*S103</f>
        <v>20.000000000002501</v>
      </c>
      <c r="AD103" s="35">
        <f>(K103+0.0000000000006)*T103</f>
        <v>15.000000000003</v>
      </c>
      <c r="AE103" s="35">
        <f>(L103+0.0000000000007)*U103</f>
        <v>3.5E-12</v>
      </c>
      <c r="AF103" s="35">
        <f>(M103+0.0000000000008)*V103</f>
        <v>3.9999999999999999E-12</v>
      </c>
      <c r="AG103" s="35">
        <f>LARGE(Y103:AF103,1)+LARGE(Y103:AF103,2)+LARGE(Y103:AF103,3)+LARGE(Y103:AF103,4)+LARGE(Y103:AF103,5)</f>
        <v>156.50000000001097</v>
      </c>
      <c r="AH103" s="37"/>
    </row>
    <row r="104" spans="1:34" s="35" customFormat="1">
      <c r="B104" s="37"/>
      <c r="AH104" s="37"/>
    </row>
    <row r="105" spans="1:34" s="35" customFormat="1">
      <c r="A105" s="35" t="s">
        <v>429</v>
      </c>
      <c r="B105" s="37" t="s">
        <v>519</v>
      </c>
      <c r="C105" s="35" t="s">
        <v>549</v>
      </c>
      <c r="D105" s="35" t="s">
        <v>429</v>
      </c>
      <c r="E105" s="35" t="s">
        <v>994</v>
      </c>
      <c r="F105" s="35">
        <v>5.5</v>
      </c>
      <c r="G105" s="35">
        <v>4</v>
      </c>
      <c r="H105" s="35">
        <v>4</v>
      </c>
      <c r="I105" s="35">
        <v>4</v>
      </c>
      <c r="J105" s="35">
        <v>4</v>
      </c>
      <c r="K105" s="35">
        <v>4</v>
      </c>
      <c r="L105" s="35">
        <v>0</v>
      </c>
      <c r="M105" s="35">
        <v>0</v>
      </c>
      <c r="O105" s="35">
        <v>10</v>
      </c>
      <c r="P105" s="35">
        <v>10</v>
      </c>
      <c r="Q105" s="35">
        <v>7</v>
      </c>
      <c r="R105" s="35">
        <v>7</v>
      </c>
      <c r="S105" s="35">
        <v>5</v>
      </c>
      <c r="T105" s="35">
        <v>5</v>
      </c>
      <c r="U105" s="35">
        <v>5</v>
      </c>
      <c r="V105" s="35">
        <v>5</v>
      </c>
      <c r="X105" s="35" t="s">
        <v>549</v>
      </c>
      <c r="Y105" s="35">
        <f>(F105+0.0000000000001)*O105</f>
        <v>55.000000000001002</v>
      </c>
      <c r="Z105" s="35">
        <f>(G105+0.0000000000002)*P105</f>
        <v>40.000000000001997</v>
      </c>
      <c r="AA105" s="35">
        <f>(H105+0.0000000000003)*Q105</f>
        <v>28.000000000002103</v>
      </c>
      <c r="AB105" s="35">
        <f>(I105+0.0000000000004)*R105</f>
        <v>28.0000000000028</v>
      </c>
      <c r="AC105" s="35">
        <f>(J105+0.0000000000005)*S105</f>
        <v>20.000000000002501</v>
      </c>
      <c r="AD105" s="35">
        <f>(K105+0.0000000000006)*T105</f>
        <v>20.000000000003002</v>
      </c>
      <c r="AE105" s="35">
        <f>(L105+0.0000000000007)*U105</f>
        <v>3.5E-12</v>
      </c>
      <c r="AF105" s="35">
        <f>(M105+0.0000000000008)*V105</f>
        <v>3.9999999999999999E-12</v>
      </c>
      <c r="AG105" s="35">
        <f>LARGE(Y105:AF105,1)+LARGE(Y105:AF105,2)+LARGE(Y105:AF105,3)+LARGE(Y105:AF105,4)+LARGE(Y105:AF105,5)</f>
        <v>171.00000000001091</v>
      </c>
      <c r="AH105" s="37"/>
    </row>
    <row r="106" spans="1:34" s="35" customFormat="1">
      <c r="B106" s="37"/>
      <c r="E106" s="35" t="s">
        <v>995</v>
      </c>
      <c r="F106" s="494">
        <v>4</v>
      </c>
      <c r="G106" s="494">
        <v>4</v>
      </c>
      <c r="H106" s="494">
        <v>4</v>
      </c>
      <c r="I106" s="494">
        <v>4</v>
      </c>
      <c r="J106" s="494">
        <v>5.5</v>
      </c>
      <c r="K106" s="494">
        <v>4</v>
      </c>
      <c r="L106" s="494">
        <v>0</v>
      </c>
      <c r="M106" s="494">
        <v>3</v>
      </c>
      <c r="N106" s="495"/>
      <c r="O106" s="494">
        <v>10</v>
      </c>
      <c r="P106" s="494">
        <v>10</v>
      </c>
      <c r="Q106" s="494">
        <v>7</v>
      </c>
      <c r="R106" s="494">
        <v>7</v>
      </c>
      <c r="S106" s="494">
        <v>5</v>
      </c>
      <c r="T106" s="494">
        <v>5</v>
      </c>
      <c r="U106" s="494">
        <v>5</v>
      </c>
      <c r="V106" s="494">
        <v>5</v>
      </c>
      <c r="Y106" s="35">
        <f>(F106+0.0000000000001)*O106</f>
        <v>40.000000000001002</v>
      </c>
      <c r="Z106" s="35">
        <f>(G106+0.0000000000002)*P106</f>
        <v>40.000000000001997</v>
      </c>
      <c r="AA106" s="35">
        <f>(H106+0.0000000000003)*Q106</f>
        <v>28.000000000002103</v>
      </c>
      <c r="AB106" s="35">
        <f>(I106+0.0000000000004)*R106</f>
        <v>28.0000000000028</v>
      </c>
      <c r="AC106" s="35">
        <f>(J106+0.0000000000005)*S106</f>
        <v>27.500000000002501</v>
      </c>
      <c r="AD106" s="35">
        <f>(K106+0.0000000000006)*T106</f>
        <v>20.000000000003002</v>
      </c>
      <c r="AE106" s="35">
        <f>(L106+0.0000000000007)*U106</f>
        <v>3.5E-12</v>
      </c>
      <c r="AF106" s="35">
        <f>(M106+0.0000000000008)*V106</f>
        <v>15.000000000003999</v>
      </c>
      <c r="AG106" s="35">
        <f>LARGE(Y106:AF106,1)+LARGE(Y106:AF106,2)+LARGE(Y106:AF106,3)+LARGE(Y106:AF106,4)+LARGE(Y106:AF106,5)</f>
        <v>163.5000000000104</v>
      </c>
      <c r="AH106" s="37"/>
    </row>
    <row r="107" spans="1:34" s="35" customFormat="1">
      <c r="B107" s="37"/>
      <c r="AH107" s="37"/>
    </row>
    <row r="108" spans="1:34" s="35" customFormat="1">
      <c r="A108" s="35" t="s">
        <v>430</v>
      </c>
      <c r="B108" s="37" t="s">
        <v>520</v>
      </c>
      <c r="C108" s="35" t="s">
        <v>189</v>
      </c>
      <c r="D108" s="35" t="s">
        <v>430</v>
      </c>
      <c r="E108" s="35" t="s">
        <v>994</v>
      </c>
      <c r="F108" s="35">
        <v>4</v>
      </c>
      <c r="G108" s="35">
        <v>4</v>
      </c>
      <c r="H108" s="35">
        <v>5.5</v>
      </c>
      <c r="I108" s="35">
        <v>4</v>
      </c>
      <c r="J108" s="35">
        <v>4</v>
      </c>
      <c r="K108" s="35">
        <v>4</v>
      </c>
      <c r="L108" s="35">
        <v>0</v>
      </c>
      <c r="M108" s="35">
        <v>0</v>
      </c>
      <c r="O108" s="35">
        <v>7</v>
      </c>
      <c r="P108" s="35">
        <v>10</v>
      </c>
      <c r="Q108" s="35">
        <v>7</v>
      </c>
      <c r="R108" s="35">
        <v>7</v>
      </c>
      <c r="S108" s="35">
        <v>5</v>
      </c>
      <c r="T108" s="35">
        <v>5</v>
      </c>
      <c r="U108" s="35">
        <v>5</v>
      </c>
      <c r="V108" s="35">
        <v>5</v>
      </c>
      <c r="X108" s="35" t="s">
        <v>189</v>
      </c>
      <c r="Y108" s="35">
        <f>(F108+0.0000000000001)*O108</f>
        <v>28.000000000000703</v>
      </c>
      <c r="Z108" s="35">
        <f>(G108+0.0000000000002)*P108</f>
        <v>40.000000000001997</v>
      </c>
      <c r="AA108" s="35">
        <f>(H108+0.0000000000003)*Q108</f>
        <v>38.500000000002103</v>
      </c>
      <c r="AB108" s="35">
        <f>(I108+0.0000000000004)*R108</f>
        <v>28.0000000000028</v>
      </c>
      <c r="AC108" s="35">
        <f>(J108+0.0000000000005)*S108</f>
        <v>20.000000000002501</v>
      </c>
      <c r="AD108" s="35">
        <f>(K108+0.0000000000006)*T108</f>
        <v>20.000000000003002</v>
      </c>
      <c r="AE108" s="35">
        <f>(L108+0.0000000000007)*U108</f>
        <v>3.5E-12</v>
      </c>
      <c r="AF108" s="35">
        <f>(M108+0.0000000000008)*V108</f>
        <v>3.9999999999999999E-12</v>
      </c>
      <c r="AG108" s="35">
        <f>LARGE(Y108:AF108,1)+LARGE(Y108:AF108,2)+LARGE(Y108:AF108,3)+LARGE(Y108:AF108,4)+LARGE(Y108:AF108,5)</f>
        <v>154.5000000000106</v>
      </c>
      <c r="AH108" s="37"/>
    </row>
    <row r="109" spans="1:34" s="35" customFormat="1">
      <c r="B109" s="37"/>
      <c r="E109" s="35" t="s">
        <v>995</v>
      </c>
      <c r="F109" s="494">
        <v>5.5</v>
      </c>
      <c r="G109" s="494">
        <v>3</v>
      </c>
      <c r="H109" s="494">
        <v>2</v>
      </c>
      <c r="I109" s="494">
        <v>3</v>
      </c>
      <c r="J109" s="494">
        <v>5.5</v>
      </c>
      <c r="K109" s="494">
        <v>4</v>
      </c>
      <c r="L109" s="494">
        <v>0</v>
      </c>
      <c r="M109" s="494">
        <v>0</v>
      </c>
      <c r="N109" s="495"/>
      <c r="O109" s="494">
        <v>7</v>
      </c>
      <c r="P109" s="494">
        <v>10</v>
      </c>
      <c r="Q109" s="494">
        <v>7</v>
      </c>
      <c r="R109" s="494">
        <v>7</v>
      </c>
      <c r="S109" s="494">
        <v>5</v>
      </c>
      <c r="T109" s="494">
        <v>5</v>
      </c>
      <c r="U109" s="494">
        <v>5</v>
      </c>
      <c r="V109" s="494">
        <v>5</v>
      </c>
      <c r="Y109" s="35">
        <f>(F109+0.0000000000001)*O109</f>
        <v>38.500000000000703</v>
      </c>
      <c r="Z109" s="35">
        <f>(G109+0.0000000000002)*P109</f>
        <v>30.000000000001997</v>
      </c>
      <c r="AA109" s="35">
        <f>(H109+0.0000000000003)*Q109</f>
        <v>14.000000000002101</v>
      </c>
      <c r="AB109" s="35">
        <f>(I109+0.0000000000004)*R109</f>
        <v>21.0000000000028</v>
      </c>
      <c r="AC109" s="35">
        <f>(J109+0.0000000000005)*S109</f>
        <v>27.500000000002501</v>
      </c>
      <c r="AD109" s="35">
        <f>(K109+0.0000000000006)*T109</f>
        <v>20.000000000003002</v>
      </c>
      <c r="AE109" s="35">
        <f>(L109+0.0000000000007)*U109</f>
        <v>3.5E-12</v>
      </c>
      <c r="AF109" s="35">
        <f>(M109+0.0000000000008)*V109</f>
        <v>3.9999999999999999E-12</v>
      </c>
      <c r="AG109" s="35">
        <f>LARGE(Y109:AF109,1)+LARGE(Y109:AF109,2)+LARGE(Y109:AF109,3)+LARGE(Y109:AF109,4)+LARGE(Y109:AF109,5)</f>
        <v>137.000000000011</v>
      </c>
      <c r="AH109" s="37"/>
    </row>
    <row r="110" spans="1:34" s="35" customFormat="1">
      <c r="B110" s="37"/>
      <c r="AH110" s="37"/>
    </row>
    <row r="111" spans="1:34" s="35" customFormat="1">
      <c r="A111" s="35" t="s">
        <v>2327</v>
      </c>
      <c r="B111" s="37" t="s">
        <v>521</v>
      </c>
      <c r="C111" s="35" t="s">
        <v>549</v>
      </c>
      <c r="D111" s="35" t="s">
        <v>2327</v>
      </c>
      <c r="E111" s="35" t="s">
        <v>994</v>
      </c>
      <c r="F111" s="35">
        <v>4</v>
      </c>
      <c r="G111" s="35">
        <v>5.5</v>
      </c>
      <c r="H111" s="35">
        <v>4</v>
      </c>
      <c r="I111" s="35">
        <v>3</v>
      </c>
      <c r="J111" s="35">
        <v>4</v>
      </c>
      <c r="K111" s="35">
        <v>4</v>
      </c>
      <c r="L111" s="35">
        <v>0</v>
      </c>
      <c r="M111" s="35">
        <v>4</v>
      </c>
      <c r="O111" s="35">
        <v>10</v>
      </c>
      <c r="P111" s="35">
        <v>10</v>
      </c>
      <c r="Q111" s="35">
        <v>7</v>
      </c>
      <c r="R111" s="35">
        <v>7</v>
      </c>
      <c r="S111" s="35">
        <v>5</v>
      </c>
      <c r="T111" s="35">
        <v>5</v>
      </c>
      <c r="U111" s="35">
        <v>5</v>
      </c>
      <c r="V111" s="35">
        <v>5</v>
      </c>
      <c r="X111" s="35" t="s">
        <v>549</v>
      </c>
      <c r="Y111" s="35">
        <f>(F111+0.0000000000001)*O111</f>
        <v>40.000000000001002</v>
      </c>
      <c r="Z111" s="35">
        <f>(G111+0.0000000000002)*P111</f>
        <v>55.000000000001997</v>
      </c>
      <c r="AA111" s="35">
        <f>(H111+0.0000000000003)*Q111</f>
        <v>28.000000000002103</v>
      </c>
      <c r="AB111" s="35">
        <f>(I111+0.0000000000004)*R111</f>
        <v>21.0000000000028</v>
      </c>
      <c r="AC111" s="35">
        <f>(J111+0.0000000000005)*S111</f>
        <v>20.000000000002501</v>
      </c>
      <c r="AD111" s="35">
        <f>(K111+0.0000000000006)*T111</f>
        <v>20.000000000003002</v>
      </c>
      <c r="AE111" s="35">
        <f>(L111+0.0000000000007)*U111</f>
        <v>3.5E-12</v>
      </c>
      <c r="AF111" s="35">
        <f>(M111+0.0000000000008)*V111</f>
        <v>20.000000000004</v>
      </c>
      <c r="AG111" s="35">
        <f>LARGE(Y111:AF111,1)+LARGE(Y111:AF111,2)+LARGE(Y111:AF111,3)+LARGE(Y111:AF111,4)+LARGE(Y111:AF111,5)</f>
        <v>164.00000000001191</v>
      </c>
      <c r="AH111" s="37"/>
    </row>
    <row r="112" spans="1:34" s="35" customFormat="1">
      <c r="B112" s="37"/>
      <c r="E112" s="35" t="s">
        <v>995</v>
      </c>
      <c r="F112" s="494">
        <v>4</v>
      </c>
      <c r="G112" s="494">
        <v>5.5</v>
      </c>
      <c r="H112" s="494">
        <v>3</v>
      </c>
      <c r="I112" s="494">
        <v>4</v>
      </c>
      <c r="J112" s="494">
        <v>3</v>
      </c>
      <c r="K112" s="494">
        <v>3</v>
      </c>
      <c r="L112" s="494">
        <v>2</v>
      </c>
      <c r="M112" s="494">
        <v>0</v>
      </c>
      <c r="N112" s="495"/>
      <c r="O112" s="494">
        <v>10</v>
      </c>
      <c r="P112" s="494">
        <v>10</v>
      </c>
      <c r="Q112" s="494">
        <v>7</v>
      </c>
      <c r="R112" s="494">
        <v>7</v>
      </c>
      <c r="S112" s="494">
        <v>5</v>
      </c>
      <c r="T112" s="494">
        <v>5</v>
      </c>
      <c r="U112" s="494">
        <v>5</v>
      </c>
      <c r="V112" s="494">
        <v>5</v>
      </c>
      <c r="Y112" s="35">
        <f>(F112+0.0000000000001)*O112</f>
        <v>40.000000000001002</v>
      </c>
      <c r="Z112" s="35">
        <f>(G112+0.0000000000002)*P112</f>
        <v>55.000000000001997</v>
      </c>
      <c r="AA112" s="35">
        <f>(H112+0.0000000000003)*Q112</f>
        <v>21.000000000002103</v>
      </c>
      <c r="AB112" s="35">
        <f>(I112+0.0000000000004)*R112</f>
        <v>28.0000000000028</v>
      </c>
      <c r="AC112" s="35">
        <f>(J112+0.0000000000005)*S112</f>
        <v>15.000000000002501</v>
      </c>
      <c r="AD112" s="35">
        <f>(K112+0.0000000000006)*T112</f>
        <v>15.000000000003</v>
      </c>
      <c r="AE112" s="35">
        <f>(L112+0.0000000000007)*U112</f>
        <v>10.000000000003499</v>
      </c>
      <c r="AF112" s="35">
        <f>(M112+0.0000000000008)*V112</f>
        <v>3.9999999999999999E-12</v>
      </c>
      <c r="AG112" s="35">
        <f>LARGE(Y112:AF112,1)+LARGE(Y112:AF112,2)+LARGE(Y112:AF112,3)+LARGE(Y112:AF112,4)+LARGE(Y112:AF112,5)</f>
        <v>159.00000000001091</v>
      </c>
      <c r="AH112" s="37"/>
    </row>
    <row r="113" spans="1:34" s="35" customFormat="1">
      <c r="B113" s="37"/>
      <c r="AH113" s="37"/>
    </row>
    <row r="114" spans="1:34" s="35" customFormat="1">
      <c r="A114" s="35" t="s">
        <v>2328</v>
      </c>
      <c r="B114" s="37" t="s">
        <v>1361</v>
      </c>
      <c r="C114" s="35" t="s">
        <v>189</v>
      </c>
      <c r="D114" s="35" t="s">
        <v>2328</v>
      </c>
      <c r="E114" s="35" t="s">
        <v>994</v>
      </c>
      <c r="F114" s="35">
        <v>4</v>
      </c>
      <c r="G114" s="35">
        <v>4</v>
      </c>
      <c r="H114" s="35">
        <v>4</v>
      </c>
      <c r="I114" s="35">
        <v>3</v>
      </c>
      <c r="J114" s="35">
        <v>5.5</v>
      </c>
      <c r="K114" s="35">
        <v>3</v>
      </c>
      <c r="L114" s="35">
        <v>0</v>
      </c>
      <c r="M114" s="35">
        <v>0</v>
      </c>
      <c r="O114" s="35">
        <v>7</v>
      </c>
      <c r="P114" s="35">
        <v>10</v>
      </c>
      <c r="Q114" s="35">
        <v>10</v>
      </c>
      <c r="R114" s="35">
        <v>7</v>
      </c>
      <c r="S114" s="35">
        <v>5</v>
      </c>
      <c r="T114" s="35">
        <v>5</v>
      </c>
      <c r="U114" s="35">
        <v>5</v>
      </c>
      <c r="V114" s="35">
        <v>5</v>
      </c>
      <c r="X114" s="35" t="s">
        <v>189</v>
      </c>
      <c r="Y114" s="35">
        <f>(F114+0.0000000000001)*O114</f>
        <v>28.000000000000703</v>
      </c>
      <c r="Z114" s="35">
        <f>(G114+0.0000000000002)*P114</f>
        <v>40.000000000001997</v>
      </c>
      <c r="AA114" s="35">
        <f>(H114+0.0000000000003)*Q114</f>
        <v>40.000000000002998</v>
      </c>
      <c r="AB114" s="35">
        <f>(I114+0.0000000000004)*R114</f>
        <v>21.0000000000028</v>
      </c>
      <c r="AC114" s="35">
        <f>(J114+0.0000000000005)*S114</f>
        <v>27.500000000002501</v>
      </c>
      <c r="AD114" s="35">
        <f>(K114+0.0000000000006)*T114</f>
        <v>15.000000000003</v>
      </c>
      <c r="AE114" s="35">
        <f>(L114+0.0000000000007)*U114</f>
        <v>3.5E-12</v>
      </c>
      <c r="AF114" s="35">
        <f>(M114+0.0000000000008)*V114</f>
        <v>3.9999999999999999E-12</v>
      </c>
      <c r="AG114" s="35">
        <f>LARGE(Y114:AF114,1)+LARGE(Y114:AF114,2)+LARGE(Y114:AF114,3)+LARGE(Y114:AF114,4)+LARGE(Y114:AF114,5)</f>
        <v>156.50000000001103</v>
      </c>
      <c r="AH114" s="37"/>
    </row>
    <row r="115" spans="1:34" s="35" customFormat="1">
      <c r="B115" s="37"/>
      <c r="E115" s="35" t="s">
        <v>995</v>
      </c>
      <c r="F115" s="494">
        <v>3</v>
      </c>
      <c r="G115" s="494">
        <v>3</v>
      </c>
      <c r="H115" s="494">
        <v>4</v>
      </c>
      <c r="I115" s="494">
        <v>4</v>
      </c>
      <c r="J115" s="494">
        <v>5.5</v>
      </c>
      <c r="K115" s="494">
        <v>4</v>
      </c>
      <c r="L115" s="494">
        <v>0</v>
      </c>
      <c r="M115" s="494">
        <v>0</v>
      </c>
      <c r="N115" s="495"/>
      <c r="O115" s="494">
        <v>7</v>
      </c>
      <c r="P115" s="494">
        <v>10</v>
      </c>
      <c r="Q115" s="494">
        <v>10</v>
      </c>
      <c r="R115" s="494">
        <v>7</v>
      </c>
      <c r="S115" s="494">
        <v>5</v>
      </c>
      <c r="T115" s="494">
        <v>5</v>
      </c>
      <c r="U115" s="494">
        <v>5</v>
      </c>
      <c r="V115" s="494">
        <v>5</v>
      </c>
      <c r="Y115" s="35">
        <f>(F115+0.0000000000001)*O115</f>
        <v>21.0000000000007</v>
      </c>
      <c r="Z115" s="35">
        <f>(G115+0.0000000000002)*P115</f>
        <v>30.000000000001997</v>
      </c>
      <c r="AA115" s="35">
        <f>(H115+0.0000000000003)*Q115</f>
        <v>40.000000000002998</v>
      </c>
      <c r="AB115" s="35">
        <f>(I115+0.0000000000004)*R115</f>
        <v>28.0000000000028</v>
      </c>
      <c r="AC115" s="35">
        <f>(J115+0.0000000000005)*S115</f>
        <v>27.500000000002501</v>
      </c>
      <c r="AD115" s="35">
        <f>(K115+0.0000000000006)*T115</f>
        <v>20.000000000003002</v>
      </c>
      <c r="AE115" s="35">
        <f>(L115+0.0000000000007)*U115</f>
        <v>3.5E-12</v>
      </c>
      <c r="AF115" s="35">
        <f>(M115+0.0000000000008)*V115</f>
        <v>3.9999999999999999E-12</v>
      </c>
      <c r="AG115" s="35">
        <f>LARGE(Y115:AF115,1)+LARGE(Y115:AF115,2)+LARGE(Y115:AF115,3)+LARGE(Y115:AF115,4)+LARGE(Y115:AF115,5)</f>
        <v>146.500000000011</v>
      </c>
      <c r="AH115" s="37"/>
    </row>
    <row r="116" spans="1:34" s="35" customFormat="1">
      <c r="B116" s="37"/>
      <c r="AH116" s="37"/>
    </row>
    <row r="117" spans="1:34" s="35" customFormat="1">
      <c r="A117" s="35" t="s">
        <v>432</v>
      </c>
      <c r="B117" s="37" t="s">
        <v>522</v>
      </c>
      <c r="C117" s="35" t="s">
        <v>189</v>
      </c>
      <c r="D117" s="35" t="s">
        <v>432</v>
      </c>
      <c r="E117" s="35" t="s">
        <v>994</v>
      </c>
      <c r="F117" s="35">
        <v>3</v>
      </c>
      <c r="G117" s="35">
        <v>4</v>
      </c>
      <c r="H117" s="35">
        <v>4</v>
      </c>
      <c r="I117" s="35">
        <v>4</v>
      </c>
      <c r="J117" s="35">
        <v>4</v>
      </c>
      <c r="K117" s="35">
        <v>4</v>
      </c>
      <c r="L117" s="35">
        <v>0</v>
      </c>
      <c r="M117" s="35">
        <v>0</v>
      </c>
      <c r="O117" s="35">
        <v>7</v>
      </c>
      <c r="P117" s="35">
        <v>10</v>
      </c>
      <c r="Q117" s="35">
        <v>10</v>
      </c>
      <c r="R117" s="35">
        <v>7</v>
      </c>
      <c r="S117" s="35">
        <v>10</v>
      </c>
      <c r="T117" s="35">
        <v>10</v>
      </c>
      <c r="U117" s="35">
        <v>10</v>
      </c>
      <c r="V117" s="35">
        <v>10</v>
      </c>
      <c r="X117" s="35" t="s">
        <v>189</v>
      </c>
      <c r="Y117" s="35">
        <f>(F117+0.0000000000001)*O117</f>
        <v>21.0000000000007</v>
      </c>
      <c r="Z117" s="35">
        <f>(G117+0.0000000000002)*P117</f>
        <v>40.000000000001997</v>
      </c>
      <c r="AA117" s="35">
        <f>(H117+0.0000000000003)*Q117</f>
        <v>40.000000000002998</v>
      </c>
      <c r="AB117" s="35">
        <f>(I117+0.0000000000004)*R117</f>
        <v>28.0000000000028</v>
      </c>
      <c r="AC117" s="35">
        <f>(J117+0.0000000000005)*S117</f>
        <v>40.000000000005002</v>
      </c>
      <c r="AD117" s="35">
        <f>(K117+0.0000000000006)*T117</f>
        <v>40.000000000006004</v>
      </c>
      <c r="AE117" s="35">
        <f>(L117+0.0000000000007)*U117</f>
        <v>7.0000000000000001E-12</v>
      </c>
      <c r="AF117" s="35">
        <f>(M117+0.0000000000008)*V117</f>
        <v>7.9999999999999998E-12</v>
      </c>
      <c r="AG117" s="35">
        <f>LARGE(Y117:AF117,1)+LARGE(Y117:AF117,2)+LARGE(Y117:AF117,3)+LARGE(Y117:AF117,4)+LARGE(Y117:AF117,5)</f>
        <v>188.00000000001882</v>
      </c>
      <c r="AH117" s="37"/>
    </row>
    <row r="118" spans="1:34" s="35" customFormat="1">
      <c r="B118" s="37"/>
      <c r="E118" s="35" t="s">
        <v>995</v>
      </c>
      <c r="F118" s="494">
        <v>3</v>
      </c>
      <c r="G118" s="494">
        <v>4</v>
      </c>
      <c r="H118" s="494">
        <v>4</v>
      </c>
      <c r="I118" s="494">
        <v>3</v>
      </c>
      <c r="J118" s="494">
        <v>4</v>
      </c>
      <c r="K118" s="494">
        <v>4</v>
      </c>
      <c r="L118" s="494">
        <v>0</v>
      </c>
      <c r="M118" s="494">
        <v>0</v>
      </c>
      <c r="N118" s="495"/>
      <c r="O118" s="494">
        <v>7</v>
      </c>
      <c r="P118" s="494">
        <v>10</v>
      </c>
      <c r="Q118" s="494">
        <v>10</v>
      </c>
      <c r="R118" s="494">
        <v>7</v>
      </c>
      <c r="S118" s="494">
        <v>10</v>
      </c>
      <c r="T118" s="494">
        <v>10</v>
      </c>
      <c r="U118" s="494">
        <v>10</v>
      </c>
      <c r="V118" s="494">
        <v>10</v>
      </c>
      <c r="Y118" s="35">
        <f>(F118+0.0000000000001)*O118</f>
        <v>21.0000000000007</v>
      </c>
      <c r="Z118" s="35">
        <f>(G118+0.0000000000002)*P118</f>
        <v>40.000000000001997</v>
      </c>
      <c r="AA118" s="35">
        <f>(H118+0.0000000000003)*Q118</f>
        <v>40.000000000002998</v>
      </c>
      <c r="AB118" s="35">
        <f>(I118+0.0000000000004)*R118</f>
        <v>21.0000000000028</v>
      </c>
      <c r="AC118" s="35">
        <f>(J118+0.0000000000005)*S118</f>
        <v>40.000000000005002</v>
      </c>
      <c r="AD118" s="35">
        <f>(K118+0.0000000000006)*T118</f>
        <v>40.000000000006004</v>
      </c>
      <c r="AE118" s="35">
        <f>(L118+0.0000000000007)*U118</f>
        <v>7.0000000000000001E-12</v>
      </c>
      <c r="AF118" s="35">
        <f>(M118+0.0000000000008)*V118</f>
        <v>7.9999999999999998E-12</v>
      </c>
      <c r="AG118" s="35">
        <f>LARGE(Y118:AF118,1)+LARGE(Y118:AF118,2)+LARGE(Y118:AF118,3)+LARGE(Y118:AF118,4)+LARGE(Y118:AF118,5)</f>
        <v>181.00000000001882</v>
      </c>
      <c r="AH118" s="37"/>
    </row>
    <row r="119" spans="1:34" s="35" customFormat="1">
      <c r="B119" s="37"/>
      <c r="AH119" s="37"/>
    </row>
    <row r="120" spans="1:34" s="35" customFormat="1">
      <c r="A120" s="35" t="s">
        <v>433</v>
      </c>
      <c r="B120" s="37" t="s">
        <v>523</v>
      </c>
      <c r="C120" s="35" t="s">
        <v>59</v>
      </c>
      <c r="D120" s="35" t="s">
        <v>433</v>
      </c>
      <c r="E120" s="35" t="s">
        <v>994</v>
      </c>
      <c r="F120" s="35">
        <v>5.5</v>
      </c>
      <c r="G120" s="35">
        <v>4</v>
      </c>
      <c r="H120" s="35">
        <v>4</v>
      </c>
      <c r="I120" s="35">
        <v>4</v>
      </c>
      <c r="J120" s="35">
        <v>4</v>
      </c>
      <c r="K120" s="35">
        <v>4</v>
      </c>
      <c r="L120" s="35">
        <v>0</v>
      </c>
      <c r="M120" s="35">
        <v>0</v>
      </c>
      <c r="O120" s="35">
        <v>7</v>
      </c>
      <c r="P120" s="35">
        <v>10</v>
      </c>
      <c r="Q120" s="35">
        <v>7</v>
      </c>
      <c r="R120" s="35">
        <v>7</v>
      </c>
      <c r="S120" s="35">
        <v>5</v>
      </c>
      <c r="T120" s="35">
        <v>5</v>
      </c>
      <c r="U120" s="35">
        <v>5</v>
      </c>
      <c r="V120" s="35">
        <v>5</v>
      </c>
      <c r="X120" s="35" t="s">
        <v>59</v>
      </c>
      <c r="Y120" s="35">
        <f>(F120+0.0000000000001)*O120</f>
        <v>38.500000000000703</v>
      </c>
      <c r="Z120" s="35">
        <f>(G120+0.0000000000002)*P120</f>
        <v>40.000000000001997</v>
      </c>
      <c r="AA120" s="35">
        <f>(H120+0.0000000000003)*Q120</f>
        <v>28.000000000002103</v>
      </c>
      <c r="AB120" s="35">
        <f>(I120+0.0000000000004)*R120</f>
        <v>28.0000000000028</v>
      </c>
      <c r="AC120" s="35">
        <f>(J120+0.0000000000005)*S120</f>
        <v>20.000000000002501</v>
      </c>
      <c r="AD120" s="35">
        <f>(K120+0.0000000000006)*T120</f>
        <v>20.000000000003002</v>
      </c>
      <c r="AE120" s="35">
        <f>(L120+0.0000000000007)*U120</f>
        <v>3.5E-12</v>
      </c>
      <c r="AF120" s="35">
        <f>(M120+0.0000000000008)*V120</f>
        <v>3.9999999999999999E-12</v>
      </c>
      <c r="AG120" s="35">
        <f>LARGE(Y120:AF120,1)+LARGE(Y120:AF120,2)+LARGE(Y120:AF120,3)+LARGE(Y120:AF120,4)+LARGE(Y120:AF120,5)</f>
        <v>154.50000000001063</v>
      </c>
      <c r="AH120" s="37"/>
    </row>
    <row r="121" spans="1:34" s="35" customFormat="1">
      <c r="B121" s="37"/>
      <c r="E121" s="35" t="s">
        <v>995</v>
      </c>
      <c r="F121" s="494">
        <v>4</v>
      </c>
      <c r="G121" s="494">
        <v>3</v>
      </c>
      <c r="H121" s="494">
        <v>3</v>
      </c>
      <c r="I121" s="494">
        <v>4</v>
      </c>
      <c r="J121" s="494">
        <v>5.5</v>
      </c>
      <c r="K121" s="494">
        <v>4</v>
      </c>
      <c r="L121" s="494">
        <v>3</v>
      </c>
      <c r="M121" s="494">
        <v>0</v>
      </c>
      <c r="N121" s="495"/>
      <c r="O121" s="494">
        <v>7</v>
      </c>
      <c r="P121" s="494">
        <v>10</v>
      </c>
      <c r="Q121" s="494">
        <v>7</v>
      </c>
      <c r="R121" s="494">
        <v>7</v>
      </c>
      <c r="S121" s="494">
        <v>5</v>
      </c>
      <c r="T121" s="494">
        <v>5</v>
      </c>
      <c r="U121" s="494">
        <v>5</v>
      </c>
      <c r="V121" s="494">
        <v>5</v>
      </c>
      <c r="Y121" s="35">
        <f>(F121+0.0000000000001)*O121</f>
        <v>28.000000000000703</v>
      </c>
      <c r="Z121" s="35">
        <f>(G121+0.0000000000002)*P121</f>
        <v>30.000000000001997</v>
      </c>
      <c r="AA121" s="35">
        <f>(H121+0.0000000000003)*Q121</f>
        <v>21.000000000002103</v>
      </c>
      <c r="AB121" s="35">
        <f>(I121+0.0000000000004)*R121</f>
        <v>28.0000000000028</v>
      </c>
      <c r="AC121" s="35">
        <f>(J121+0.0000000000005)*S121</f>
        <v>27.500000000002501</v>
      </c>
      <c r="AD121" s="35">
        <f>(K121+0.0000000000006)*T121</f>
        <v>20.000000000003002</v>
      </c>
      <c r="AE121" s="35">
        <f>(L121+0.0000000000007)*U121</f>
        <v>15.000000000003499</v>
      </c>
      <c r="AF121" s="35">
        <f>(M121+0.0000000000008)*V121</f>
        <v>3.9999999999999999E-12</v>
      </c>
      <c r="AG121" s="35">
        <f>LARGE(Y121:AF121,1)+LARGE(Y121:AF121,2)+LARGE(Y121:AF121,3)+LARGE(Y121:AF121,4)+LARGE(Y121:AF121,5)</f>
        <v>134.50000000001012</v>
      </c>
      <c r="AH121" s="37"/>
    </row>
    <row r="122" spans="1:34" s="35" customFormat="1">
      <c r="B122" s="37"/>
      <c r="AH122" s="37"/>
    </row>
    <row r="123" spans="1:34" s="35" customFormat="1">
      <c r="A123" s="35" t="s">
        <v>434</v>
      </c>
      <c r="B123" s="37" t="s">
        <v>524</v>
      </c>
      <c r="C123" s="35" t="s">
        <v>189</v>
      </c>
      <c r="D123" s="35" t="s">
        <v>434</v>
      </c>
      <c r="E123" s="35" t="s">
        <v>994</v>
      </c>
      <c r="F123" s="35">
        <v>4</v>
      </c>
      <c r="G123" s="35">
        <v>4</v>
      </c>
      <c r="H123" s="35">
        <v>4</v>
      </c>
      <c r="I123" s="35">
        <v>4</v>
      </c>
      <c r="J123" s="35">
        <v>5.5</v>
      </c>
      <c r="K123" s="35">
        <v>4</v>
      </c>
      <c r="L123" s="35">
        <v>0</v>
      </c>
      <c r="M123" s="35">
        <v>0</v>
      </c>
      <c r="O123" s="35">
        <v>7</v>
      </c>
      <c r="P123" s="35">
        <v>10</v>
      </c>
      <c r="Q123" s="35">
        <v>10</v>
      </c>
      <c r="R123" s="35">
        <v>7</v>
      </c>
      <c r="S123" s="35">
        <v>5</v>
      </c>
      <c r="T123" s="35">
        <v>5</v>
      </c>
      <c r="U123" s="35">
        <v>5</v>
      </c>
      <c r="V123" s="35">
        <v>5</v>
      </c>
      <c r="X123" s="35" t="s">
        <v>189</v>
      </c>
      <c r="Y123" s="35">
        <f>(F123+0.0000000000001)*O123</f>
        <v>28.000000000000703</v>
      </c>
      <c r="Z123" s="35">
        <f>(G123+0.0000000000002)*P123</f>
        <v>40.000000000001997</v>
      </c>
      <c r="AA123" s="35">
        <f>(H123+0.0000000000003)*Q123</f>
        <v>40.000000000002998</v>
      </c>
      <c r="AB123" s="35">
        <f>(I123+0.0000000000004)*R123</f>
        <v>28.0000000000028</v>
      </c>
      <c r="AC123" s="35">
        <f>(J123+0.0000000000005)*S123</f>
        <v>27.500000000002501</v>
      </c>
      <c r="AD123" s="35">
        <f>(K123+0.0000000000006)*T123</f>
        <v>20.000000000003002</v>
      </c>
      <c r="AE123" s="35">
        <f>(L123+0.0000000000007)*U123</f>
        <v>3.5E-12</v>
      </c>
      <c r="AF123" s="35">
        <f>(M123+0.0000000000008)*V123</f>
        <v>3.9999999999999999E-12</v>
      </c>
      <c r="AG123" s="35">
        <f>LARGE(Y123:AF123,1)+LARGE(Y123:AF123,2)+LARGE(Y123:AF123,3)+LARGE(Y123:AF123,4)+LARGE(Y123:AF123,5)</f>
        <v>163.500000000011</v>
      </c>
      <c r="AH123" s="37"/>
    </row>
    <row r="124" spans="1:34" s="35" customFormat="1">
      <c r="B124" s="37"/>
      <c r="E124" s="35" t="s">
        <v>995</v>
      </c>
      <c r="F124" s="494">
        <v>3</v>
      </c>
      <c r="G124" s="494">
        <v>3</v>
      </c>
      <c r="H124" s="494">
        <v>4</v>
      </c>
      <c r="I124" s="494">
        <v>3</v>
      </c>
      <c r="J124" s="494">
        <v>5.5</v>
      </c>
      <c r="K124" s="494">
        <v>5.5</v>
      </c>
      <c r="L124" s="494">
        <v>0</v>
      </c>
      <c r="M124" s="494">
        <v>0</v>
      </c>
      <c r="N124" s="495"/>
      <c r="O124" s="494">
        <v>7</v>
      </c>
      <c r="P124" s="494">
        <v>10</v>
      </c>
      <c r="Q124" s="494">
        <v>10</v>
      </c>
      <c r="R124" s="494">
        <v>7</v>
      </c>
      <c r="S124" s="494">
        <v>5</v>
      </c>
      <c r="T124" s="494">
        <v>5</v>
      </c>
      <c r="U124" s="494">
        <v>5</v>
      </c>
      <c r="V124" s="494">
        <v>5</v>
      </c>
      <c r="Y124" s="35">
        <f>(F124+0.0000000000001)*O124</f>
        <v>21.0000000000007</v>
      </c>
      <c r="Z124" s="35">
        <f>(G124+0.0000000000002)*P124</f>
        <v>30.000000000001997</v>
      </c>
      <c r="AA124" s="35">
        <f>(H124+0.0000000000003)*Q124</f>
        <v>40.000000000002998</v>
      </c>
      <c r="AB124" s="35">
        <f>(I124+0.0000000000004)*R124</f>
        <v>21.0000000000028</v>
      </c>
      <c r="AC124" s="35">
        <f>(J124+0.0000000000005)*S124</f>
        <v>27.500000000002501</v>
      </c>
      <c r="AD124" s="35">
        <f>(K124+0.0000000000006)*T124</f>
        <v>27.500000000003002</v>
      </c>
      <c r="AE124" s="35">
        <f>(L124+0.0000000000007)*U124</f>
        <v>3.5E-12</v>
      </c>
      <c r="AF124" s="35">
        <f>(M124+0.0000000000008)*V124</f>
        <v>3.9999999999999999E-12</v>
      </c>
      <c r="AG124" s="35">
        <f>LARGE(Y124:AF124,1)+LARGE(Y124:AF124,2)+LARGE(Y124:AF124,3)+LARGE(Y124:AF124,4)+LARGE(Y124:AF124,5)</f>
        <v>146.0000000000133</v>
      </c>
      <c r="AH124" s="37"/>
    </row>
    <row r="125" spans="1:34" s="35" customFormat="1">
      <c r="B125" s="37"/>
      <c r="AH125" s="37"/>
    </row>
    <row r="126" spans="1:34" s="35" customFormat="1">
      <c r="A126" s="35" t="s">
        <v>435</v>
      </c>
      <c r="B126" s="37" t="s">
        <v>525</v>
      </c>
      <c r="C126" s="35" t="s">
        <v>189</v>
      </c>
      <c r="D126" s="35" t="s">
        <v>435</v>
      </c>
      <c r="E126" s="35" t="s">
        <v>994</v>
      </c>
      <c r="F126" s="35">
        <v>4</v>
      </c>
      <c r="G126" s="35">
        <v>4</v>
      </c>
      <c r="H126" s="35">
        <v>5.5</v>
      </c>
      <c r="I126" s="35">
        <v>4</v>
      </c>
      <c r="J126" s="35">
        <v>4</v>
      </c>
      <c r="K126" s="35">
        <v>4</v>
      </c>
      <c r="L126" s="35">
        <v>0</v>
      </c>
      <c r="M126" s="35">
        <v>0</v>
      </c>
      <c r="O126" s="35">
        <v>7</v>
      </c>
      <c r="P126" s="35">
        <v>10</v>
      </c>
      <c r="Q126" s="35">
        <v>10</v>
      </c>
      <c r="R126" s="35">
        <v>7</v>
      </c>
      <c r="S126" s="35">
        <v>5</v>
      </c>
      <c r="T126" s="35">
        <v>5</v>
      </c>
      <c r="U126" s="35">
        <v>5</v>
      </c>
      <c r="V126" s="35">
        <v>5</v>
      </c>
      <c r="X126" s="35" t="s">
        <v>189</v>
      </c>
      <c r="Y126" s="35">
        <f>(F126+0.0000000000001)*O126</f>
        <v>28.000000000000703</v>
      </c>
      <c r="Z126" s="35">
        <f>(G126+0.0000000000002)*P126</f>
        <v>40.000000000001997</v>
      </c>
      <c r="AA126" s="35">
        <f>(H126+0.0000000000003)*Q126</f>
        <v>55.000000000002998</v>
      </c>
      <c r="AB126" s="35">
        <f>(I126+0.0000000000004)*R126</f>
        <v>28.0000000000028</v>
      </c>
      <c r="AC126" s="35">
        <f>(J126+0.0000000000005)*S126</f>
        <v>20.000000000002501</v>
      </c>
      <c r="AD126" s="35">
        <f>(K126+0.0000000000006)*T126</f>
        <v>20.000000000003002</v>
      </c>
      <c r="AE126" s="35">
        <f>(L126+0.0000000000007)*U126</f>
        <v>3.5E-12</v>
      </c>
      <c r="AF126" s="35">
        <f>(M126+0.0000000000008)*V126</f>
        <v>3.9999999999999999E-12</v>
      </c>
      <c r="AG126" s="35">
        <f>LARGE(Y126:AF126,1)+LARGE(Y126:AF126,2)+LARGE(Y126:AF126,3)+LARGE(Y126:AF126,4)+LARGE(Y126:AF126,5)</f>
        <v>171.00000000001151</v>
      </c>
      <c r="AH126" s="37"/>
    </row>
    <row r="127" spans="1:34" s="35" customFormat="1">
      <c r="B127" s="37"/>
      <c r="E127" s="35" t="s">
        <v>995</v>
      </c>
      <c r="F127" s="494">
        <v>5.5</v>
      </c>
      <c r="G127" s="494">
        <v>4</v>
      </c>
      <c r="H127" s="494">
        <v>4</v>
      </c>
      <c r="I127" s="494">
        <v>4</v>
      </c>
      <c r="J127" s="494">
        <v>4</v>
      </c>
      <c r="K127" s="494">
        <v>4</v>
      </c>
      <c r="L127" s="494">
        <v>0</v>
      </c>
      <c r="M127" s="494">
        <v>0</v>
      </c>
      <c r="N127" s="495"/>
      <c r="O127" s="494">
        <v>7</v>
      </c>
      <c r="P127" s="494">
        <v>10</v>
      </c>
      <c r="Q127" s="494">
        <v>10</v>
      </c>
      <c r="R127" s="494">
        <v>7</v>
      </c>
      <c r="S127" s="494">
        <v>5</v>
      </c>
      <c r="T127" s="494">
        <v>5</v>
      </c>
      <c r="U127" s="494">
        <v>5</v>
      </c>
      <c r="V127" s="494">
        <v>5</v>
      </c>
      <c r="Y127" s="35">
        <f>(F127+0.0000000000001)*O127</f>
        <v>38.500000000000703</v>
      </c>
      <c r="Z127" s="35">
        <f>(G127+0.0000000000002)*P127</f>
        <v>40.000000000001997</v>
      </c>
      <c r="AA127" s="35">
        <f>(H127+0.0000000000003)*Q127</f>
        <v>40.000000000002998</v>
      </c>
      <c r="AB127" s="35">
        <f>(I127+0.0000000000004)*R127</f>
        <v>28.0000000000028</v>
      </c>
      <c r="AC127" s="35">
        <f>(J127+0.0000000000005)*S127</f>
        <v>20.000000000002501</v>
      </c>
      <c r="AD127" s="35">
        <f>(K127+0.0000000000006)*T127</f>
        <v>20.000000000003002</v>
      </c>
      <c r="AE127" s="35">
        <f>(L127+0.0000000000007)*U127</f>
        <v>3.5E-12</v>
      </c>
      <c r="AF127" s="35">
        <f>(M127+0.0000000000008)*V127</f>
        <v>3.9999999999999999E-12</v>
      </c>
      <c r="AG127" s="35">
        <f>LARGE(Y127:AF127,1)+LARGE(Y127:AF127,2)+LARGE(Y127:AF127,3)+LARGE(Y127:AF127,4)+LARGE(Y127:AF127,5)</f>
        <v>166.50000000001154</v>
      </c>
      <c r="AH127" s="37"/>
    </row>
    <row r="128" spans="1:34" s="35" customFormat="1">
      <c r="B128" s="37"/>
      <c r="AH128" s="37"/>
    </row>
    <row r="129" spans="1:34" s="35" customFormat="1">
      <c r="A129" s="35" t="s">
        <v>436</v>
      </c>
      <c r="B129" s="37" t="s">
        <v>526</v>
      </c>
      <c r="C129" s="35" t="s">
        <v>189</v>
      </c>
      <c r="D129" s="35" t="s">
        <v>436</v>
      </c>
      <c r="E129" s="35" t="s">
        <v>994</v>
      </c>
      <c r="F129" s="35">
        <v>5.5</v>
      </c>
      <c r="G129" s="35">
        <v>4</v>
      </c>
      <c r="H129" s="35">
        <v>4</v>
      </c>
      <c r="I129" s="35">
        <v>4</v>
      </c>
      <c r="J129" s="35">
        <v>4</v>
      </c>
      <c r="K129" s="35">
        <v>4</v>
      </c>
      <c r="L129" s="35">
        <v>4</v>
      </c>
      <c r="M129" s="35">
        <v>0</v>
      </c>
      <c r="O129" s="35">
        <v>7</v>
      </c>
      <c r="P129" s="35">
        <v>10</v>
      </c>
      <c r="Q129" s="35">
        <v>10</v>
      </c>
      <c r="R129" s="35">
        <v>7</v>
      </c>
      <c r="S129" s="35">
        <v>10</v>
      </c>
      <c r="T129" s="35">
        <v>5</v>
      </c>
      <c r="U129" s="35">
        <v>5</v>
      </c>
      <c r="V129" s="35">
        <v>5</v>
      </c>
      <c r="X129" s="35" t="s">
        <v>189</v>
      </c>
      <c r="Y129" s="35">
        <f>(F129+0.0000000000001)*O129</f>
        <v>38.500000000000703</v>
      </c>
      <c r="Z129" s="35">
        <f>(G129+0.0000000000002)*P129</f>
        <v>40.000000000001997</v>
      </c>
      <c r="AA129" s="35">
        <f>(H129+0.0000000000003)*Q129</f>
        <v>40.000000000002998</v>
      </c>
      <c r="AB129" s="35">
        <f>(I129+0.0000000000004)*R129</f>
        <v>28.0000000000028</v>
      </c>
      <c r="AC129" s="35">
        <f>(J129+0.0000000000005)*S129</f>
        <v>40.000000000005002</v>
      </c>
      <c r="AD129" s="35">
        <f>(K129+0.0000000000006)*T129</f>
        <v>20.000000000003002</v>
      </c>
      <c r="AE129" s="35">
        <f>(L129+0.0000000000007)*U129</f>
        <v>20.000000000003499</v>
      </c>
      <c r="AF129" s="35">
        <f>(M129+0.0000000000008)*V129</f>
        <v>3.9999999999999999E-12</v>
      </c>
      <c r="AG129" s="35">
        <f>LARGE(Y129:AF129,1)+LARGE(Y129:AF129,2)+LARGE(Y129:AF129,3)+LARGE(Y129:AF129,4)+LARGE(Y129:AF129,5)</f>
        <v>186.50000000001353</v>
      </c>
      <c r="AH129" s="37"/>
    </row>
    <row r="130" spans="1:34" s="35" customFormat="1">
      <c r="B130" s="37"/>
      <c r="E130" s="35" t="s">
        <v>995</v>
      </c>
      <c r="F130" s="494">
        <v>4</v>
      </c>
      <c r="G130" s="494">
        <v>5.5</v>
      </c>
      <c r="H130" s="494">
        <v>4</v>
      </c>
      <c r="I130" s="494">
        <v>3</v>
      </c>
      <c r="J130" s="494">
        <v>4</v>
      </c>
      <c r="K130" s="494">
        <v>3</v>
      </c>
      <c r="L130" s="494">
        <v>0</v>
      </c>
      <c r="M130" s="494">
        <v>0</v>
      </c>
      <c r="N130" s="495"/>
      <c r="O130" s="494">
        <v>7</v>
      </c>
      <c r="P130" s="494">
        <v>10</v>
      </c>
      <c r="Q130" s="494">
        <v>10</v>
      </c>
      <c r="R130" s="494">
        <v>7</v>
      </c>
      <c r="S130" s="494">
        <v>10</v>
      </c>
      <c r="T130" s="494">
        <v>5</v>
      </c>
      <c r="U130" s="494">
        <v>5</v>
      </c>
      <c r="V130" s="494">
        <v>5</v>
      </c>
      <c r="Y130" s="35">
        <f>(F130+0.0000000000001)*O130</f>
        <v>28.000000000000703</v>
      </c>
      <c r="Z130" s="35">
        <f>(G130+0.0000000000002)*P130</f>
        <v>55.000000000001997</v>
      </c>
      <c r="AA130" s="35">
        <f>(H130+0.0000000000003)*Q130</f>
        <v>40.000000000002998</v>
      </c>
      <c r="AB130" s="35">
        <f>(I130+0.0000000000004)*R130</f>
        <v>21.0000000000028</v>
      </c>
      <c r="AC130" s="35">
        <f>(J130+0.0000000000005)*S130</f>
        <v>40.000000000005002</v>
      </c>
      <c r="AD130" s="35">
        <f>(K130+0.0000000000006)*T130</f>
        <v>15.000000000003</v>
      </c>
      <c r="AE130" s="35">
        <f>(L130+0.0000000000007)*U130</f>
        <v>3.5E-12</v>
      </c>
      <c r="AF130" s="35">
        <f>(M130+0.0000000000008)*V130</f>
        <v>3.9999999999999999E-12</v>
      </c>
      <c r="AG130" s="35">
        <f>LARGE(Y130:AF130,1)+LARGE(Y130:AF130,2)+LARGE(Y130:AF130,3)+LARGE(Y130:AF130,4)+LARGE(Y130:AF130,5)</f>
        <v>184.00000000001353</v>
      </c>
      <c r="AH130" s="37"/>
    </row>
    <row r="131" spans="1:34" s="35" customFormat="1">
      <c r="B131" s="37"/>
      <c r="AH131" s="37"/>
    </row>
    <row r="132" spans="1:34" s="35" customFormat="1">
      <c r="A132" s="35" t="s">
        <v>437</v>
      </c>
      <c r="B132" s="37" t="s">
        <v>527</v>
      </c>
      <c r="C132" s="35" t="s">
        <v>189</v>
      </c>
      <c r="D132" s="35" t="s">
        <v>437</v>
      </c>
      <c r="E132" s="35" t="s">
        <v>994</v>
      </c>
      <c r="F132" s="35">
        <v>4</v>
      </c>
      <c r="G132" s="35">
        <v>3</v>
      </c>
      <c r="H132" s="35">
        <v>4</v>
      </c>
      <c r="I132" s="35">
        <v>3</v>
      </c>
      <c r="J132" s="35">
        <v>4</v>
      </c>
      <c r="K132" s="35">
        <v>3</v>
      </c>
      <c r="L132" s="35">
        <v>3</v>
      </c>
      <c r="M132" s="35">
        <v>0</v>
      </c>
      <c r="O132" s="35">
        <v>7</v>
      </c>
      <c r="P132" s="35">
        <v>10</v>
      </c>
      <c r="Q132" s="35">
        <v>10</v>
      </c>
      <c r="R132" s="35">
        <v>7</v>
      </c>
      <c r="S132" s="35">
        <v>10</v>
      </c>
      <c r="T132" s="35">
        <v>5</v>
      </c>
      <c r="U132" s="35">
        <v>5</v>
      </c>
      <c r="V132" s="35">
        <v>10</v>
      </c>
      <c r="X132" s="35" t="s">
        <v>189</v>
      </c>
      <c r="Y132" s="35">
        <f>(F132+0.0000000000001)*O132</f>
        <v>28.000000000000703</v>
      </c>
      <c r="Z132" s="35">
        <f>(G132+0.0000000000002)*P132</f>
        <v>30.000000000001997</v>
      </c>
      <c r="AA132" s="35">
        <f>(H132+0.0000000000003)*Q132</f>
        <v>40.000000000002998</v>
      </c>
      <c r="AB132" s="35">
        <f>(I132+0.0000000000004)*R132</f>
        <v>21.0000000000028</v>
      </c>
      <c r="AC132" s="35">
        <f>(J132+0.0000000000005)*S132</f>
        <v>40.000000000005002</v>
      </c>
      <c r="AD132" s="35">
        <f>(K132+0.0000000000006)*T132</f>
        <v>15.000000000003</v>
      </c>
      <c r="AE132" s="35">
        <f>(L132+0.0000000000007)*U132</f>
        <v>15.000000000003499</v>
      </c>
      <c r="AF132" s="35">
        <f>(M132+0.0000000000008)*V132</f>
        <v>7.9999999999999998E-12</v>
      </c>
      <c r="AG132" s="35">
        <f>LARGE(Y132:AF132,1)+LARGE(Y132:AF132,2)+LARGE(Y132:AF132,3)+LARGE(Y132:AF132,4)+LARGE(Y132:AF132,5)</f>
        <v>159.00000000001353</v>
      </c>
      <c r="AH132" s="37"/>
    </row>
    <row r="133" spans="1:34" s="35" customFormat="1">
      <c r="B133" s="37"/>
      <c r="E133" s="35" t="s">
        <v>995</v>
      </c>
      <c r="F133" s="494">
        <v>3</v>
      </c>
      <c r="G133" s="494">
        <v>3</v>
      </c>
      <c r="H133" s="494">
        <v>4</v>
      </c>
      <c r="I133" s="494">
        <v>4</v>
      </c>
      <c r="J133" s="494">
        <v>3</v>
      </c>
      <c r="K133" s="494">
        <v>3</v>
      </c>
      <c r="L133" s="494">
        <v>0</v>
      </c>
      <c r="M133" s="494">
        <v>3</v>
      </c>
      <c r="N133" s="495"/>
      <c r="O133" s="494">
        <v>7</v>
      </c>
      <c r="P133" s="494">
        <v>10</v>
      </c>
      <c r="Q133" s="494">
        <v>10</v>
      </c>
      <c r="R133" s="494">
        <v>7</v>
      </c>
      <c r="S133" s="494">
        <v>10</v>
      </c>
      <c r="T133" s="494">
        <v>5</v>
      </c>
      <c r="U133" s="494">
        <v>5</v>
      </c>
      <c r="V133" s="494">
        <v>10</v>
      </c>
      <c r="Y133" s="35">
        <f>(F133+0.0000000000001)*O133</f>
        <v>21.0000000000007</v>
      </c>
      <c r="Z133" s="35">
        <f>(G133+0.0000000000002)*P133</f>
        <v>30.000000000001997</v>
      </c>
      <c r="AA133" s="35">
        <f>(H133+0.0000000000003)*Q133</f>
        <v>40.000000000002998</v>
      </c>
      <c r="AB133" s="35">
        <f>(I133+0.0000000000004)*R133</f>
        <v>28.0000000000028</v>
      </c>
      <c r="AC133" s="35">
        <f>(J133+0.0000000000005)*S133</f>
        <v>30.000000000005002</v>
      </c>
      <c r="AD133" s="35">
        <f>(K133+0.0000000000006)*T133</f>
        <v>15.000000000003</v>
      </c>
      <c r="AE133" s="35">
        <f>(L133+0.0000000000007)*U133</f>
        <v>3.5E-12</v>
      </c>
      <c r="AF133" s="35">
        <f>(M133+0.0000000000008)*V133</f>
        <v>30.000000000007997</v>
      </c>
      <c r="AG133" s="35">
        <f>LARGE(Y133:AF133,1)+LARGE(Y133:AF133,2)+LARGE(Y133:AF133,3)+LARGE(Y133:AF133,4)+LARGE(Y133:AF133,5)</f>
        <v>158.0000000000208</v>
      </c>
      <c r="AH133" s="37"/>
    </row>
    <row r="134" spans="1:34" s="35" customFormat="1">
      <c r="B134" s="37"/>
      <c r="AH134" s="37"/>
    </row>
    <row r="135" spans="1:34" s="35" customFormat="1">
      <c r="A135" s="35" t="s">
        <v>438</v>
      </c>
      <c r="B135" s="37" t="s">
        <v>528</v>
      </c>
      <c r="C135" s="35" t="s">
        <v>189</v>
      </c>
      <c r="D135" s="35" t="s">
        <v>438</v>
      </c>
      <c r="E135" s="35" t="s">
        <v>994</v>
      </c>
      <c r="F135" s="35">
        <v>4</v>
      </c>
      <c r="G135" s="35">
        <v>4</v>
      </c>
      <c r="H135" s="35">
        <v>4</v>
      </c>
      <c r="I135" s="35">
        <v>4</v>
      </c>
      <c r="J135" s="35">
        <v>4</v>
      </c>
      <c r="K135" s="35">
        <v>4</v>
      </c>
      <c r="L135" s="35">
        <v>0</v>
      </c>
      <c r="M135" s="35">
        <v>0</v>
      </c>
      <c r="O135" s="35">
        <v>7</v>
      </c>
      <c r="P135" s="35">
        <v>10</v>
      </c>
      <c r="Q135" s="35">
        <v>10</v>
      </c>
      <c r="R135" s="35">
        <v>7</v>
      </c>
      <c r="S135" s="35">
        <v>10</v>
      </c>
      <c r="T135" s="35">
        <v>5</v>
      </c>
      <c r="U135" s="35">
        <v>5</v>
      </c>
      <c r="V135" s="35">
        <v>5</v>
      </c>
      <c r="X135" s="35" t="s">
        <v>189</v>
      </c>
      <c r="Y135" s="35">
        <f>(F135+0.0000000000001)*O135</f>
        <v>28.000000000000703</v>
      </c>
      <c r="Z135" s="35">
        <f>(G135+0.0000000000002)*P135</f>
        <v>40.000000000001997</v>
      </c>
      <c r="AA135" s="35">
        <f>(H135+0.0000000000003)*Q135</f>
        <v>40.000000000002998</v>
      </c>
      <c r="AB135" s="35">
        <f>(I135+0.0000000000004)*R135</f>
        <v>28.0000000000028</v>
      </c>
      <c r="AC135" s="35">
        <f>(J135+0.0000000000005)*S135</f>
        <v>40.000000000005002</v>
      </c>
      <c r="AD135" s="35">
        <f>(K135+0.0000000000006)*T135</f>
        <v>20.000000000003002</v>
      </c>
      <c r="AE135" s="35">
        <f>(L135+0.0000000000007)*U135</f>
        <v>3.5E-12</v>
      </c>
      <c r="AF135" s="35">
        <f>(M135+0.0000000000008)*V135</f>
        <v>3.9999999999999999E-12</v>
      </c>
      <c r="AG135" s="35">
        <f>LARGE(Y135:AF135,1)+LARGE(Y135:AF135,2)+LARGE(Y135:AF135,3)+LARGE(Y135:AF135,4)+LARGE(Y135:AF135,5)</f>
        <v>176.0000000000135</v>
      </c>
      <c r="AH135" s="37"/>
    </row>
    <row r="136" spans="1:34" s="35" customFormat="1">
      <c r="B136" s="37"/>
      <c r="E136" s="35" t="s">
        <v>995</v>
      </c>
      <c r="F136" s="494">
        <v>4</v>
      </c>
      <c r="G136" s="494">
        <v>3</v>
      </c>
      <c r="H136" s="494">
        <v>5.5</v>
      </c>
      <c r="I136" s="494">
        <v>4</v>
      </c>
      <c r="J136" s="494">
        <v>3</v>
      </c>
      <c r="K136" s="494">
        <v>3</v>
      </c>
      <c r="L136" s="494">
        <v>0</v>
      </c>
      <c r="M136" s="494">
        <v>2</v>
      </c>
      <c r="N136" s="495"/>
      <c r="O136" s="494">
        <v>7</v>
      </c>
      <c r="P136" s="494">
        <v>10</v>
      </c>
      <c r="Q136" s="494">
        <v>10</v>
      </c>
      <c r="R136" s="494">
        <v>7</v>
      </c>
      <c r="S136" s="494">
        <v>10</v>
      </c>
      <c r="T136" s="494">
        <v>5</v>
      </c>
      <c r="U136" s="494">
        <v>5</v>
      </c>
      <c r="V136" s="494">
        <v>5</v>
      </c>
      <c r="Y136" s="35">
        <f>(F136+0.0000000000001)*O136</f>
        <v>28.000000000000703</v>
      </c>
      <c r="Z136" s="35">
        <f>(G136+0.0000000000002)*P136</f>
        <v>30.000000000001997</v>
      </c>
      <c r="AA136" s="35">
        <f>(H136+0.0000000000003)*Q136</f>
        <v>55.000000000002998</v>
      </c>
      <c r="AB136" s="35">
        <f>(I136+0.0000000000004)*R136</f>
        <v>28.0000000000028</v>
      </c>
      <c r="AC136" s="35">
        <f>(J136+0.0000000000005)*S136</f>
        <v>30.000000000005002</v>
      </c>
      <c r="AD136" s="35">
        <f>(K136+0.0000000000006)*T136</f>
        <v>15.000000000003</v>
      </c>
      <c r="AE136" s="35">
        <f>(L136+0.0000000000007)*U136</f>
        <v>3.5E-12</v>
      </c>
      <c r="AF136" s="35">
        <f>(M136+0.0000000000008)*V136</f>
        <v>10.000000000003999</v>
      </c>
      <c r="AG136" s="35">
        <f>LARGE(Y136:AF136,1)+LARGE(Y136:AF136,2)+LARGE(Y136:AF136,3)+LARGE(Y136:AF136,4)+LARGE(Y136:AF136,5)</f>
        <v>171.0000000000135</v>
      </c>
      <c r="AH136" s="37"/>
    </row>
    <row r="137" spans="1:34" s="35" customFormat="1">
      <c r="B137" s="37"/>
      <c r="F137" s="494"/>
      <c r="G137" s="494"/>
      <c r="H137" s="494"/>
      <c r="I137" s="494"/>
      <c r="J137" s="494"/>
      <c r="K137" s="494"/>
      <c r="L137" s="494"/>
      <c r="M137" s="494"/>
      <c r="N137" s="495"/>
      <c r="O137" s="494"/>
      <c r="P137" s="494"/>
      <c r="Q137" s="494"/>
      <c r="R137" s="494"/>
      <c r="S137" s="494"/>
      <c r="T137" s="494"/>
      <c r="U137" s="494"/>
      <c r="V137" s="494"/>
      <c r="Y137" s="272"/>
      <c r="Z137" s="272"/>
      <c r="AA137" s="272"/>
      <c r="AB137" s="272"/>
      <c r="AC137" s="272"/>
      <c r="AH137" s="37"/>
    </row>
    <row r="138" spans="1:34" s="35" customFormat="1">
      <c r="B138" s="37"/>
      <c r="AH138" s="37"/>
    </row>
    <row r="139" spans="1:34" s="35" customFormat="1">
      <c r="B139" s="37"/>
      <c r="AH139" s="37"/>
    </row>
    <row r="140" spans="1:34" s="35" customFormat="1">
      <c r="B140" s="37"/>
      <c r="AH140" s="37"/>
    </row>
    <row r="141" spans="1:34" s="35" customFormat="1">
      <c r="B141" s="37"/>
      <c r="AH141" s="37"/>
    </row>
    <row r="142" spans="1:34" s="35" customFormat="1">
      <c r="B142" s="37"/>
      <c r="AH142" s="37"/>
    </row>
    <row r="143" spans="1:34" s="35" customFormat="1">
      <c r="B143" s="37"/>
      <c r="AH143" s="37"/>
    </row>
  </sheetData>
  <phoneticPr fontId="2" type="noConversion"/>
  <conditionalFormatting sqref="AC3:AF3">
    <cfRule type="top10" dxfId="142" priority="277" rank="2"/>
  </conditionalFormatting>
  <conditionalFormatting sqref="Y3:AB5">
    <cfRule type="cellIs" dxfId="141" priority="265" operator="greaterThan">
      <formula>0</formula>
    </cfRule>
  </conditionalFormatting>
  <conditionalFormatting sqref="Y6:AF6">
    <cfRule type="top10" dxfId="140" priority="275" rank="5"/>
  </conditionalFormatting>
  <conditionalFormatting sqref="Y9:AF9">
    <cfRule type="top10" dxfId="139" priority="100" rank="5"/>
  </conditionalFormatting>
  <conditionalFormatting sqref="Y18:AF18">
    <cfRule type="top10" dxfId="138" priority="91" rank="5"/>
  </conditionalFormatting>
  <conditionalFormatting sqref="Y21:AF21">
    <cfRule type="top10" dxfId="137" priority="85" rank="5"/>
  </conditionalFormatting>
  <conditionalFormatting sqref="Y24:AF24">
    <cfRule type="top10" dxfId="136" priority="65" rank="6"/>
  </conditionalFormatting>
  <conditionalFormatting sqref="Y137:AF137">
    <cfRule type="top10" dxfId="135" priority="226" rank="5"/>
  </conditionalFormatting>
  <conditionalFormatting sqref="A3:AL137">
    <cfRule type="expression" dxfId="134" priority="278">
      <formula>MOD(ROW(),3)=0</formula>
    </cfRule>
  </conditionalFormatting>
  <conditionalFormatting sqref="U12 S15 S21 T24 S36 T60 S72">
    <cfRule type="expression" dxfId="133" priority="161">
      <formula>TRUE</formula>
    </cfRule>
  </conditionalFormatting>
  <conditionalFormatting sqref="S15 S21 S36 S72">
    <cfRule type="expression" dxfId="132" priority="1">
      <formula>TRUE</formula>
    </cfRule>
  </conditionalFormatting>
  <conditionalFormatting sqref="U13">
    <cfRule type="expression" dxfId="131" priority="154">
      <formula>TRUE</formula>
    </cfRule>
  </conditionalFormatting>
  <conditionalFormatting sqref="U13">
    <cfRule type="expression" dxfId="130" priority="153">
      <formula>TRUE</formula>
    </cfRule>
  </conditionalFormatting>
  <conditionalFormatting sqref="S16">
    <cfRule type="expression" dxfId="129" priority="151">
      <formula>TRUE</formula>
    </cfRule>
  </conditionalFormatting>
  <conditionalFormatting sqref="S22">
    <cfRule type="expression" dxfId="128" priority="148">
      <formula>TRUE</formula>
    </cfRule>
  </conditionalFormatting>
  <conditionalFormatting sqref="T25">
    <cfRule type="expression" dxfId="127" priority="146">
      <formula>TRUE</formula>
    </cfRule>
  </conditionalFormatting>
  <conditionalFormatting sqref="T25">
    <cfRule type="expression" dxfId="126" priority="145">
      <formula>TRUE</formula>
    </cfRule>
  </conditionalFormatting>
  <conditionalFormatting sqref="S37">
    <cfRule type="expression" dxfId="125" priority="140">
      <formula>TRUE</formula>
    </cfRule>
  </conditionalFormatting>
  <conditionalFormatting sqref="T61">
    <cfRule type="expression" dxfId="124" priority="131">
      <formula>TRUE</formula>
    </cfRule>
  </conditionalFormatting>
  <conditionalFormatting sqref="T61">
    <cfRule type="expression" dxfId="123" priority="130">
      <formula>TRUE</formula>
    </cfRule>
  </conditionalFormatting>
  <conditionalFormatting sqref="S73">
    <cfRule type="expression" dxfId="122" priority="125">
      <formula>TRUE</formula>
    </cfRule>
  </conditionalFormatting>
  <conditionalFormatting sqref="AC4:AF4">
    <cfRule type="top10" dxfId="121" priority="103" rank="2"/>
  </conditionalFormatting>
  <conditionalFormatting sqref="Y7:AF7">
    <cfRule type="top10" dxfId="120" priority="101" rank="5"/>
  </conditionalFormatting>
  <conditionalFormatting sqref="Y10:AF10">
    <cfRule type="top10" dxfId="119" priority="274" rank="5"/>
  </conditionalFormatting>
  <conditionalFormatting sqref="Y12:AF12">
    <cfRule type="top10" dxfId="118" priority="99" rank="5"/>
  </conditionalFormatting>
  <conditionalFormatting sqref="Y13:AF13">
    <cfRule type="top10" dxfId="117" priority="98" rank="5"/>
  </conditionalFormatting>
  <conditionalFormatting sqref="Y15:AF15">
    <cfRule type="top10" dxfId="116" priority="93" rank="5"/>
  </conditionalFormatting>
  <conditionalFormatting sqref="Y16:AF16">
    <cfRule type="top10" dxfId="115" priority="94" rank="5"/>
    <cfRule type="top10" dxfId="114" priority="95" rank="5"/>
    <cfRule type="top10" dxfId="113" priority="96" rank="5"/>
    <cfRule type="top10" dxfId="112" priority="97" rank="5"/>
    <cfRule type="top10" dxfId="111" priority="267" rank="5"/>
  </conditionalFormatting>
  <conditionalFormatting sqref="Y19:AF19">
    <cfRule type="top10" dxfId="110" priority="92" rank="5"/>
    <cfRule type="top10" dxfId="109" priority="266" rank="5"/>
  </conditionalFormatting>
  <conditionalFormatting sqref="Y31:AF31">
    <cfRule type="top10" dxfId="108" priority="88" rank="5"/>
  </conditionalFormatting>
  <conditionalFormatting sqref="Y25:AF25">
    <cfRule type="top10" dxfId="107" priority="264" rank="6"/>
  </conditionalFormatting>
  <conditionalFormatting sqref="Y27:AF27">
    <cfRule type="top10" dxfId="106" priority="259" rank="5"/>
  </conditionalFormatting>
  <conditionalFormatting sqref="Y28:AF28">
    <cfRule type="top10" dxfId="105" priority="87" rank="5"/>
  </conditionalFormatting>
  <conditionalFormatting sqref="Y30:AF30">
    <cfRule type="top10" dxfId="104" priority="86" rank="5"/>
  </conditionalFormatting>
  <conditionalFormatting sqref="Y22:AF22">
    <cfRule type="top10" dxfId="103" priority="90" rank="5"/>
  </conditionalFormatting>
  <conditionalFormatting sqref="Y33:AF33">
    <cfRule type="top10" dxfId="102" priority="84" rank="5"/>
  </conditionalFormatting>
  <conditionalFormatting sqref="Y34:AF34">
    <cfRule type="top10" dxfId="101" priority="83" rank="5"/>
  </conditionalFormatting>
  <conditionalFormatting sqref="Y36:AF36">
    <cfRule type="top10" dxfId="100" priority="82" rank="5"/>
  </conditionalFormatting>
  <conditionalFormatting sqref="Y37:AF37">
    <cfRule type="top10" dxfId="99" priority="81" rank="5"/>
  </conditionalFormatting>
  <conditionalFormatting sqref="Y50:AF50">
    <cfRule type="top10" dxfId="98" priority="75" rank="5"/>
  </conditionalFormatting>
  <conditionalFormatting sqref="Y42:AF42">
    <cfRule type="top10" dxfId="97" priority="78" rank="5"/>
  </conditionalFormatting>
  <conditionalFormatting sqref="Y43:AF43">
    <cfRule type="top10" dxfId="96" priority="77" rank="5"/>
  </conditionalFormatting>
  <conditionalFormatting sqref="Y45:AF45">
    <cfRule type="top10" dxfId="95" priority="76" rank="5"/>
    <cfRule type="top10" dxfId="94" priority="79" rank="5"/>
  </conditionalFormatting>
  <conditionalFormatting sqref="Y40:AF40">
    <cfRule type="top10" dxfId="93" priority="66" rank="5"/>
  </conditionalFormatting>
  <conditionalFormatting sqref="Y46:AF46">
    <cfRule type="top10" dxfId="92" priority="72" rank="5"/>
  </conditionalFormatting>
  <conditionalFormatting sqref="Y49:AF49">
    <cfRule type="top10" dxfId="91" priority="73" rank="5"/>
  </conditionalFormatting>
  <conditionalFormatting sqref="Y48:AF48">
    <cfRule type="top10" dxfId="90" priority="74" rank="5"/>
  </conditionalFormatting>
  <conditionalFormatting sqref="Y39:AF39">
    <cfRule type="top10" dxfId="89" priority="71" rank="5"/>
  </conditionalFormatting>
  <conditionalFormatting sqref="Y51:AF51">
    <cfRule type="top10" dxfId="88" priority="68" rank="5"/>
  </conditionalFormatting>
  <conditionalFormatting sqref="Y52:AF52">
    <cfRule type="top10" dxfId="87" priority="69" rank="5"/>
    <cfRule type="top10" dxfId="86" priority="80" rank="5"/>
  </conditionalFormatting>
  <conditionalFormatting sqref="Y54:AF54">
    <cfRule type="top10" dxfId="85" priority="64" rank="6"/>
  </conditionalFormatting>
  <conditionalFormatting sqref="Y55:AF55">
    <cfRule type="top10" dxfId="84" priority="89" rank="6"/>
  </conditionalFormatting>
  <conditionalFormatting sqref="Y57:AF57">
    <cfRule type="top10" dxfId="83" priority="62" rank="6"/>
  </conditionalFormatting>
  <conditionalFormatting sqref="Y58:AF58">
    <cfRule type="top10" dxfId="82" priority="63" rank="6"/>
  </conditionalFormatting>
  <conditionalFormatting sqref="Y60:AF60">
    <cfRule type="top10" dxfId="81" priority="60" rank="6"/>
  </conditionalFormatting>
  <conditionalFormatting sqref="Y61:AF61">
    <cfRule type="top10" dxfId="80" priority="61" rank="6"/>
  </conditionalFormatting>
  <conditionalFormatting sqref="Y66:AF66">
    <cfRule type="top10" dxfId="79" priority="58" rank="6"/>
  </conditionalFormatting>
  <conditionalFormatting sqref="Y67:AF67">
    <cfRule type="top10" dxfId="78" priority="59" rank="6"/>
  </conditionalFormatting>
  <conditionalFormatting sqref="Y72:AF72">
    <cfRule type="top10" dxfId="77" priority="57" rank="5"/>
  </conditionalFormatting>
  <conditionalFormatting sqref="Y73:AF73">
    <cfRule type="top10" dxfId="76" priority="67" rank="5"/>
  </conditionalFormatting>
  <conditionalFormatting sqref="Y75:AF75">
    <cfRule type="top10" dxfId="75" priority="55" rank="5"/>
  </conditionalFormatting>
  <conditionalFormatting sqref="Y76:AF76">
    <cfRule type="top10" dxfId="74" priority="56" rank="5"/>
  </conditionalFormatting>
  <conditionalFormatting sqref="Y79:AF79">
    <cfRule type="top10" dxfId="73" priority="48" rank="5"/>
  </conditionalFormatting>
  <conditionalFormatting sqref="Y81:AF81">
    <cfRule type="top10" dxfId="72" priority="49" rank="5"/>
  </conditionalFormatting>
  <conditionalFormatting sqref="Y82:AF82">
    <cfRule type="top10" dxfId="71" priority="50" rank="5"/>
  </conditionalFormatting>
  <conditionalFormatting sqref="Y84:AF84">
    <cfRule type="top10" dxfId="70" priority="51" rank="5"/>
  </conditionalFormatting>
  <conditionalFormatting sqref="Y85:AF85">
    <cfRule type="top10" dxfId="69" priority="52" rank="5"/>
  </conditionalFormatting>
  <conditionalFormatting sqref="Y87:AF87">
    <cfRule type="top10" dxfId="68" priority="47" rank="5"/>
  </conditionalFormatting>
  <conditionalFormatting sqref="Y88:AF88">
    <cfRule type="top10" dxfId="67" priority="53" rank="5"/>
  </conditionalFormatting>
  <conditionalFormatting sqref="Y93:AF93">
    <cfRule type="top10" dxfId="66" priority="46" rank="5"/>
  </conditionalFormatting>
  <conditionalFormatting sqref="Y94:AF94">
    <cfRule type="top10" dxfId="65" priority="54" rank="5"/>
  </conditionalFormatting>
  <conditionalFormatting sqref="Y96:AF96">
    <cfRule type="top10" dxfId="64" priority="40" rank="5"/>
  </conditionalFormatting>
  <conditionalFormatting sqref="Y97:AF97">
    <cfRule type="top10" dxfId="63" priority="41" rank="5"/>
  </conditionalFormatting>
  <conditionalFormatting sqref="Y99:AF99">
    <cfRule type="top10" dxfId="62" priority="42" rank="5"/>
  </conditionalFormatting>
  <conditionalFormatting sqref="Y100:AF100">
    <cfRule type="top10" dxfId="61" priority="43" rank="5"/>
  </conditionalFormatting>
  <conditionalFormatting sqref="Y102:AF102">
    <cfRule type="top10" dxfId="60" priority="44" rank="5"/>
  </conditionalFormatting>
  <conditionalFormatting sqref="Y103:AF103">
    <cfRule type="top10" dxfId="59" priority="45" rank="5"/>
  </conditionalFormatting>
  <conditionalFormatting sqref="Y108:AF108">
    <cfRule type="top10" dxfId="58" priority="22" rank="5"/>
  </conditionalFormatting>
  <conditionalFormatting sqref="Y109:AF109">
    <cfRule type="top10" dxfId="57" priority="23" rank="5"/>
  </conditionalFormatting>
  <conditionalFormatting sqref="Y114:AF114">
    <cfRule type="top10" dxfId="56" priority="24" rank="5"/>
  </conditionalFormatting>
  <conditionalFormatting sqref="Y115:AF115">
    <cfRule type="top10" dxfId="55" priority="25" rank="5"/>
  </conditionalFormatting>
  <conditionalFormatting sqref="Y117:AF117">
    <cfRule type="top10" dxfId="54" priority="26" rank="5"/>
  </conditionalFormatting>
  <conditionalFormatting sqref="Y118:AF118">
    <cfRule type="top10" dxfId="53" priority="27" rank="5"/>
  </conditionalFormatting>
  <conditionalFormatting sqref="Y120:AF120">
    <cfRule type="top10" dxfId="52" priority="28" rank="5"/>
  </conditionalFormatting>
  <conditionalFormatting sqref="Y121:AF121">
    <cfRule type="top10" dxfId="51" priority="29" rank="5"/>
  </conditionalFormatting>
  <conditionalFormatting sqref="Y123:AF123">
    <cfRule type="top10" dxfId="50" priority="30" rank="5"/>
  </conditionalFormatting>
  <conditionalFormatting sqref="Y124:AF124">
    <cfRule type="top10" dxfId="49" priority="31" rank="5"/>
  </conditionalFormatting>
  <conditionalFormatting sqref="Y126:AF126">
    <cfRule type="top10" dxfId="48" priority="32" rank="5"/>
  </conditionalFormatting>
  <conditionalFormatting sqref="Y127:AF127">
    <cfRule type="top10" dxfId="47" priority="33" rank="5"/>
  </conditionalFormatting>
  <conditionalFormatting sqref="Y129:AF129">
    <cfRule type="top10" dxfId="46" priority="34" rank="5"/>
  </conditionalFormatting>
  <conditionalFormatting sqref="Y130:AF130">
    <cfRule type="top10" dxfId="45" priority="35" rank="5"/>
  </conditionalFormatting>
  <conditionalFormatting sqref="Y132:AF132">
    <cfRule type="top10" dxfId="44" priority="36" rank="5"/>
  </conditionalFormatting>
  <conditionalFormatting sqref="Y133:AF133">
    <cfRule type="top10" dxfId="43" priority="37" rank="5"/>
  </conditionalFormatting>
  <conditionalFormatting sqref="Y135:AF135">
    <cfRule type="top10" dxfId="42" priority="38" rank="5"/>
  </conditionalFormatting>
  <conditionalFormatting sqref="Y136:AF136">
    <cfRule type="top10" dxfId="41" priority="39" rank="5"/>
  </conditionalFormatting>
  <conditionalFormatting sqref="Y111:Z111">
    <cfRule type="cellIs" dxfId="40" priority="20" operator="greaterThan">
      <formula>0</formula>
    </cfRule>
  </conditionalFormatting>
  <conditionalFormatting sqref="Y112:Z112">
    <cfRule type="cellIs" dxfId="39" priority="21" operator="greaterThan">
      <formula>0</formula>
    </cfRule>
  </conditionalFormatting>
  <conditionalFormatting sqref="Y105:Z105">
    <cfRule type="cellIs" dxfId="38" priority="18" operator="greaterThan">
      <formula>0</formula>
    </cfRule>
  </conditionalFormatting>
  <conditionalFormatting sqref="Y106:Z106">
    <cfRule type="cellIs" dxfId="37" priority="19" operator="greaterThan">
      <formula>0</formula>
    </cfRule>
  </conditionalFormatting>
  <conditionalFormatting sqref="AA111:AF111">
    <cfRule type="top10" dxfId="36" priority="16" rank="3"/>
  </conditionalFormatting>
  <conditionalFormatting sqref="AA112:AF112">
    <cfRule type="top10" dxfId="35" priority="17" rank="3"/>
  </conditionalFormatting>
  <conditionalFormatting sqref="AA105:AF105">
    <cfRule type="top10" dxfId="34" priority="14" rank="3"/>
  </conditionalFormatting>
  <conditionalFormatting sqref="AA106:AF106">
    <cfRule type="top10" dxfId="33" priority="15" rank="3"/>
  </conditionalFormatting>
  <conditionalFormatting sqref="Y63:AB63">
    <cfRule type="cellIs" dxfId="32" priority="13" operator="greaterThan">
      <formula>0</formula>
    </cfRule>
  </conditionalFormatting>
  <conditionalFormatting sqref="Y64:AB64">
    <cfRule type="cellIs" dxfId="31" priority="10" operator="greaterThan">
      <formula>0</formula>
    </cfRule>
  </conditionalFormatting>
  <conditionalFormatting sqref="Y69:AB69">
    <cfRule type="cellIs" dxfId="30" priority="11" operator="greaterThan">
      <formula>0</formula>
    </cfRule>
  </conditionalFormatting>
  <conditionalFormatting sqref="Y70:AB70">
    <cfRule type="cellIs" dxfId="29" priority="12" operator="greaterThan">
      <formula>0</formula>
    </cfRule>
  </conditionalFormatting>
  <conditionalFormatting sqref="AC63:AF63">
    <cfRule type="top10" dxfId="28" priority="6" rank="2"/>
  </conditionalFormatting>
  <conditionalFormatting sqref="AC64:AF64">
    <cfRule type="top10" dxfId="27" priority="7" rank="2"/>
  </conditionalFormatting>
  <conditionalFormatting sqref="AC69:AF69">
    <cfRule type="top10" dxfId="26" priority="8" rank="2"/>
  </conditionalFormatting>
  <conditionalFormatting sqref="AC70:AF70">
    <cfRule type="top10" dxfId="25" priority="9" rank="2"/>
  </conditionalFormatting>
  <conditionalFormatting sqref="Y90:AB90">
    <cfRule type="cellIs" dxfId="24" priority="4" operator="greaterThan">
      <formula>0</formula>
    </cfRule>
  </conditionalFormatting>
  <conditionalFormatting sqref="Y91:AB91">
    <cfRule type="cellIs" dxfId="23" priority="5" operator="greaterThan">
      <formula>0</formula>
    </cfRule>
  </conditionalFormatting>
  <conditionalFormatting sqref="AC90:AF90">
    <cfRule type="top10" dxfId="22" priority="2" rank="2"/>
  </conditionalFormatting>
  <conditionalFormatting sqref="AC91:AF91">
    <cfRule type="top10" dxfId="21" priority="3" rank="2"/>
  </conditionalFormatting>
  <conditionalFormatting sqref="A4:AL138">
    <cfRule type="expression" dxfId="20" priority="162">
      <formula>MOD(ROW(),3)=1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16"/>
  <dimension ref="A1:H108"/>
  <sheetViews>
    <sheetView zoomScale="85" zoomScaleNormal="85" workbookViewId="0">
      <selection activeCell="J48" sqref="J48"/>
    </sheetView>
  </sheetViews>
  <sheetFormatPr defaultColWidth="9" defaultRowHeight="13.8"/>
  <cols>
    <col min="1" max="3" width="9" style="174"/>
    <col min="4" max="4" width="8.109375" style="174" customWidth="1"/>
    <col min="5" max="16384" width="9" style="174"/>
  </cols>
  <sheetData>
    <row r="1" spans="1:8">
      <c r="A1" s="174" t="s">
        <v>1712</v>
      </c>
    </row>
    <row r="2" spans="1:8">
      <c r="A2" s="174" t="s">
        <v>206</v>
      </c>
      <c r="B2" s="174" t="s">
        <v>2018</v>
      </c>
      <c r="C2" s="174" t="s">
        <v>207</v>
      </c>
      <c r="G2" s="182"/>
      <c r="H2" s="174" t="s">
        <v>760</v>
      </c>
    </row>
    <row r="3" spans="1:8">
      <c r="A3" s="174" t="s">
        <v>208</v>
      </c>
      <c r="B3" s="174" t="s">
        <v>2018</v>
      </c>
      <c r="C3" s="174" t="s">
        <v>209</v>
      </c>
      <c r="G3" s="182"/>
      <c r="H3" s="174" t="s">
        <v>761</v>
      </c>
    </row>
    <row r="4" spans="1:8">
      <c r="A4" s="174" t="s">
        <v>210</v>
      </c>
      <c r="B4" s="174" t="s">
        <v>2018</v>
      </c>
      <c r="C4" s="174" t="s">
        <v>211</v>
      </c>
      <c r="G4" s="182"/>
      <c r="H4" s="174" t="s">
        <v>760</v>
      </c>
    </row>
    <row r="5" spans="1:8">
      <c r="A5" s="174" t="s">
        <v>212</v>
      </c>
      <c r="B5" s="174" t="s">
        <v>2018</v>
      </c>
      <c r="C5" s="174" t="s">
        <v>213</v>
      </c>
      <c r="G5" s="182"/>
      <c r="H5" s="174" t="s">
        <v>762</v>
      </c>
    </row>
    <row r="6" spans="1:8">
      <c r="A6" s="174" t="s">
        <v>214</v>
      </c>
      <c r="B6" s="174" t="s">
        <v>287</v>
      </c>
      <c r="C6" s="174" t="s">
        <v>215</v>
      </c>
      <c r="G6" s="182"/>
      <c r="H6" s="174" t="s">
        <v>760</v>
      </c>
    </row>
    <row r="7" spans="1:8">
      <c r="A7" s="174" t="s">
        <v>257</v>
      </c>
      <c r="B7" s="174" t="s">
        <v>378</v>
      </c>
      <c r="C7" s="174" t="s">
        <v>258</v>
      </c>
      <c r="G7" s="182"/>
      <c r="H7" s="174" t="s">
        <v>763</v>
      </c>
    </row>
    <row r="8" spans="1:8">
      <c r="A8" s="174" t="s">
        <v>259</v>
      </c>
      <c r="B8" s="174" t="s">
        <v>378</v>
      </c>
      <c r="C8" s="174" t="s">
        <v>260</v>
      </c>
      <c r="G8" s="182"/>
      <c r="H8" s="174" t="s">
        <v>763</v>
      </c>
    </row>
    <row r="9" spans="1:8">
      <c r="A9" s="174" t="s">
        <v>269</v>
      </c>
      <c r="B9" s="174" t="s">
        <v>378</v>
      </c>
      <c r="C9" s="174" t="s">
        <v>270</v>
      </c>
      <c r="G9" s="182"/>
      <c r="H9" s="174" t="s">
        <v>763</v>
      </c>
    </row>
    <row r="10" spans="1:8">
      <c r="A10" s="174" t="s">
        <v>261</v>
      </c>
      <c r="B10" s="174" t="s">
        <v>378</v>
      </c>
      <c r="C10" s="174" t="s">
        <v>262</v>
      </c>
      <c r="G10" s="182"/>
      <c r="H10" s="174" t="s">
        <v>763</v>
      </c>
    </row>
    <row r="11" spans="1:8">
      <c r="A11" s="174" t="s">
        <v>263</v>
      </c>
      <c r="B11" s="174" t="s">
        <v>378</v>
      </c>
      <c r="C11" s="174" t="s">
        <v>264</v>
      </c>
      <c r="G11" s="182"/>
      <c r="H11" s="174" t="s">
        <v>763</v>
      </c>
    </row>
    <row r="12" spans="1:8">
      <c r="A12" s="174" t="s">
        <v>271</v>
      </c>
      <c r="B12" s="174" t="s">
        <v>378</v>
      </c>
      <c r="C12" s="174" t="s">
        <v>272</v>
      </c>
      <c r="G12" s="182"/>
      <c r="H12" s="174" t="s">
        <v>763</v>
      </c>
    </row>
    <row r="13" spans="1:8">
      <c r="A13" s="174" t="s">
        <v>273</v>
      </c>
      <c r="B13" s="174" t="s">
        <v>378</v>
      </c>
      <c r="C13" s="174" t="s">
        <v>274</v>
      </c>
      <c r="G13" s="182"/>
      <c r="H13" s="174" t="s">
        <v>763</v>
      </c>
    </row>
    <row r="14" spans="1:8">
      <c r="A14" s="174" t="s">
        <v>224</v>
      </c>
      <c r="B14" s="174" t="s">
        <v>1011</v>
      </c>
      <c r="C14" s="174" t="s">
        <v>225</v>
      </c>
      <c r="G14" s="266">
        <v>0.1</v>
      </c>
      <c r="H14" s="174" t="s">
        <v>761</v>
      </c>
    </row>
    <row r="15" spans="1:8">
      <c r="A15" s="174" t="s">
        <v>216</v>
      </c>
      <c r="B15" s="174" t="s">
        <v>292</v>
      </c>
      <c r="C15" s="174" t="s">
        <v>217</v>
      </c>
      <c r="G15" s="182"/>
      <c r="H15" s="174" t="s">
        <v>760</v>
      </c>
    </row>
    <row r="16" spans="1:8">
      <c r="A16" s="174" t="s">
        <v>220</v>
      </c>
      <c r="B16" s="174" t="s">
        <v>292</v>
      </c>
      <c r="C16" s="174" t="s">
        <v>221</v>
      </c>
      <c r="G16" s="182"/>
      <c r="H16" s="174" t="s">
        <v>760</v>
      </c>
    </row>
    <row r="17" spans="1:8">
      <c r="A17" s="174" t="s">
        <v>222</v>
      </c>
      <c r="B17" s="174" t="s">
        <v>292</v>
      </c>
      <c r="C17" s="174" t="s">
        <v>223</v>
      </c>
      <c r="G17" s="182"/>
      <c r="H17" s="174" t="s">
        <v>760</v>
      </c>
    </row>
    <row r="18" spans="1:8">
      <c r="A18" s="174" t="s">
        <v>226</v>
      </c>
      <c r="B18" s="174" t="s">
        <v>292</v>
      </c>
      <c r="C18" s="174" t="s">
        <v>227</v>
      </c>
      <c r="G18" s="182"/>
      <c r="H18" s="174" t="s">
        <v>761</v>
      </c>
    </row>
    <row r="19" spans="1:8">
      <c r="A19" s="174" t="s">
        <v>228</v>
      </c>
      <c r="B19" s="174" t="s">
        <v>292</v>
      </c>
      <c r="C19" s="174" t="s">
        <v>229</v>
      </c>
      <c r="G19" s="182"/>
      <c r="H19" s="174" t="s">
        <v>760</v>
      </c>
    </row>
    <row r="20" spans="1:8">
      <c r="A20" s="174" t="s">
        <v>230</v>
      </c>
      <c r="B20" s="174" t="s">
        <v>292</v>
      </c>
      <c r="C20" s="174" t="s">
        <v>231</v>
      </c>
      <c r="G20" s="182"/>
      <c r="H20" s="174" t="s">
        <v>761</v>
      </c>
    </row>
    <row r="21" spans="1:8">
      <c r="A21" s="174" t="s">
        <v>277</v>
      </c>
      <c r="B21" s="174" t="s">
        <v>293</v>
      </c>
      <c r="C21" s="174" t="s">
        <v>278</v>
      </c>
      <c r="G21" s="182"/>
      <c r="H21" s="174" t="s">
        <v>764</v>
      </c>
    </row>
    <row r="22" spans="1:8">
      <c r="A22" s="174" t="s">
        <v>279</v>
      </c>
      <c r="B22" s="174" t="s">
        <v>293</v>
      </c>
      <c r="C22" s="174" t="s">
        <v>280</v>
      </c>
      <c r="G22" s="182"/>
      <c r="H22" s="174" t="s">
        <v>761</v>
      </c>
    </row>
    <row r="23" spans="1:8">
      <c r="A23" s="174" t="s">
        <v>283</v>
      </c>
      <c r="B23" s="174" t="s">
        <v>293</v>
      </c>
      <c r="C23" s="174" t="s">
        <v>284</v>
      </c>
      <c r="G23" s="182"/>
      <c r="H23" s="174" t="s">
        <v>764</v>
      </c>
    </row>
    <row r="24" spans="1:8">
      <c r="A24" s="174" t="s">
        <v>285</v>
      </c>
      <c r="B24" s="174" t="s">
        <v>293</v>
      </c>
      <c r="C24" s="174" t="s">
        <v>286</v>
      </c>
      <c r="G24" s="182"/>
      <c r="H24" s="174" t="s">
        <v>764</v>
      </c>
    </row>
    <row r="25" spans="1:8">
      <c r="A25" s="174" t="s">
        <v>218</v>
      </c>
      <c r="B25" s="174" t="s">
        <v>2019</v>
      </c>
      <c r="C25" s="174" t="s">
        <v>219</v>
      </c>
      <c r="G25" s="182"/>
      <c r="H25" s="174" t="s">
        <v>761</v>
      </c>
    </row>
    <row r="26" spans="1:8">
      <c r="A26" s="174" t="s">
        <v>242</v>
      </c>
      <c r="B26" s="174" t="s">
        <v>2019</v>
      </c>
      <c r="C26" s="174" t="s">
        <v>144</v>
      </c>
      <c r="G26" s="182"/>
      <c r="H26" s="174" t="s">
        <v>761</v>
      </c>
    </row>
    <row r="27" spans="1:8">
      <c r="A27" s="174" t="s">
        <v>243</v>
      </c>
      <c r="B27" s="174" t="s">
        <v>294</v>
      </c>
      <c r="C27" s="174" t="s">
        <v>244</v>
      </c>
      <c r="G27" s="266">
        <v>0.1</v>
      </c>
      <c r="H27" s="174" t="s">
        <v>765</v>
      </c>
    </row>
    <row r="28" spans="1:8">
      <c r="A28" s="174" t="s">
        <v>245</v>
      </c>
      <c r="B28" s="174" t="s">
        <v>294</v>
      </c>
      <c r="C28" s="174" t="s">
        <v>246</v>
      </c>
      <c r="G28" s="182"/>
      <c r="H28" s="174" t="s">
        <v>760</v>
      </c>
    </row>
    <row r="29" spans="1:8">
      <c r="A29" s="174" t="s">
        <v>247</v>
      </c>
      <c r="B29" s="174" t="s">
        <v>294</v>
      </c>
      <c r="C29" s="174" t="s">
        <v>248</v>
      </c>
      <c r="G29" s="182"/>
      <c r="H29" s="174" t="s">
        <v>760</v>
      </c>
    </row>
    <row r="30" spans="1:8">
      <c r="A30" s="174" t="s">
        <v>249</v>
      </c>
      <c r="B30" s="174" t="s">
        <v>294</v>
      </c>
      <c r="C30" s="174" t="s">
        <v>250</v>
      </c>
      <c r="G30" s="266">
        <v>0.1</v>
      </c>
      <c r="H30" s="174" t="s">
        <v>765</v>
      </c>
    </row>
    <row r="31" spans="1:8">
      <c r="A31" s="174" t="s">
        <v>281</v>
      </c>
      <c r="B31" s="174" t="s">
        <v>294</v>
      </c>
      <c r="C31" s="174" t="s">
        <v>282</v>
      </c>
      <c r="G31" s="266">
        <v>0.1</v>
      </c>
      <c r="H31" s="174" t="s">
        <v>765</v>
      </c>
    </row>
    <row r="32" spans="1:8">
      <c r="A32" s="174" t="s">
        <v>1343</v>
      </c>
      <c r="B32" s="174" t="s">
        <v>295</v>
      </c>
      <c r="C32" s="174" t="s">
        <v>1345</v>
      </c>
      <c r="G32" s="266"/>
    </row>
    <row r="33" spans="1:8">
      <c r="A33" s="174" t="s">
        <v>253</v>
      </c>
      <c r="B33" s="174" t="s">
        <v>295</v>
      </c>
      <c r="C33" s="174" t="s">
        <v>254</v>
      </c>
      <c r="G33" s="266">
        <v>0.1</v>
      </c>
      <c r="H33" s="174" t="s">
        <v>766</v>
      </c>
    </row>
    <row r="34" spans="1:8">
      <c r="A34" s="174" t="s">
        <v>275</v>
      </c>
      <c r="B34" s="174" t="s">
        <v>295</v>
      </c>
      <c r="C34" s="174" t="s">
        <v>276</v>
      </c>
      <c r="G34" s="182"/>
      <c r="H34" s="174" t="s">
        <v>766</v>
      </c>
    </row>
    <row r="35" spans="1:8">
      <c r="A35" s="174" t="s">
        <v>251</v>
      </c>
      <c r="B35" s="174" t="s">
        <v>296</v>
      </c>
      <c r="C35" s="174" t="s">
        <v>252</v>
      </c>
      <c r="G35" s="182"/>
      <c r="H35" s="174" t="s">
        <v>761</v>
      </c>
    </row>
    <row r="36" spans="1:8">
      <c r="A36" s="174" t="s">
        <v>255</v>
      </c>
      <c r="B36" s="174" t="s">
        <v>296</v>
      </c>
      <c r="C36" s="174" t="s">
        <v>256</v>
      </c>
      <c r="G36" s="182"/>
      <c r="H36" s="174" t="s">
        <v>761</v>
      </c>
    </row>
    <row r="37" spans="1:8">
      <c r="A37" s="174" t="s">
        <v>265</v>
      </c>
      <c r="B37" s="174" t="s">
        <v>296</v>
      </c>
      <c r="C37" s="174" t="s">
        <v>266</v>
      </c>
      <c r="G37" s="182"/>
      <c r="H37" s="174" t="s">
        <v>761</v>
      </c>
    </row>
    <row r="38" spans="1:8">
      <c r="A38" s="174" t="s">
        <v>267</v>
      </c>
      <c r="B38" s="174" t="s">
        <v>296</v>
      </c>
      <c r="C38" s="174" t="s">
        <v>268</v>
      </c>
      <c r="G38" s="182"/>
      <c r="H38" s="174" t="s">
        <v>761</v>
      </c>
    </row>
    <row r="39" spans="1:8">
      <c r="A39" s="174" t="s">
        <v>232</v>
      </c>
      <c r="B39" s="174" t="s">
        <v>2020</v>
      </c>
      <c r="C39" s="174" t="s">
        <v>233</v>
      </c>
      <c r="G39" s="182"/>
      <c r="H39" s="174" t="s">
        <v>761</v>
      </c>
    </row>
    <row r="40" spans="1:8">
      <c r="A40" s="174" t="s">
        <v>234</v>
      </c>
      <c r="B40" s="174" t="s">
        <v>2020</v>
      </c>
      <c r="C40" s="174" t="s">
        <v>235</v>
      </c>
      <c r="G40" s="266">
        <v>0.1</v>
      </c>
      <c r="H40" s="174" t="s">
        <v>766</v>
      </c>
    </row>
    <row r="41" spans="1:8">
      <c r="A41" s="174" t="s">
        <v>236</v>
      </c>
      <c r="B41" s="174" t="s">
        <v>2020</v>
      </c>
      <c r="C41" s="174" t="s">
        <v>237</v>
      </c>
      <c r="G41" s="182"/>
      <c r="H41" s="174" t="s">
        <v>760</v>
      </c>
    </row>
    <row r="42" spans="1:8">
      <c r="A42" s="174" t="s">
        <v>238</v>
      </c>
      <c r="B42" s="174" t="s">
        <v>2020</v>
      </c>
      <c r="C42" s="174" t="s">
        <v>239</v>
      </c>
      <c r="G42" s="182"/>
      <c r="H42" s="174" t="s">
        <v>761</v>
      </c>
    </row>
    <row r="43" spans="1:8">
      <c r="A43" s="174" t="s">
        <v>240</v>
      </c>
      <c r="B43" s="174" t="s">
        <v>2020</v>
      </c>
      <c r="C43" s="174" t="s">
        <v>241</v>
      </c>
      <c r="G43" s="182"/>
      <c r="H43" s="174" t="s">
        <v>762</v>
      </c>
    </row>
    <row r="47" spans="1:8">
      <c r="A47" s="174" t="s">
        <v>1551</v>
      </c>
    </row>
    <row r="48" spans="1:8">
      <c r="A48" s="174" t="s">
        <v>71</v>
      </c>
      <c r="B48" s="174" t="s">
        <v>287</v>
      </c>
      <c r="C48" s="174" t="s">
        <v>72</v>
      </c>
    </row>
    <row r="49" spans="1:7">
      <c r="A49" s="174" t="s">
        <v>73</v>
      </c>
      <c r="B49" s="174" t="s">
        <v>287</v>
      </c>
      <c r="C49" s="174" t="s">
        <v>74</v>
      </c>
    </row>
    <row r="50" spans="1:7">
      <c r="A50" s="174" t="s">
        <v>75</v>
      </c>
      <c r="B50" s="174" t="s">
        <v>287</v>
      </c>
      <c r="C50" s="174" t="s">
        <v>76</v>
      </c>
    </row>
    <row r="51" spans="1:7">
      <c r="A51" s="174" t="s">
        <v>77</v>
      </c>
      <c r="B51" s="174" t="s">
        <v>287</v>
      </c>
      <c r="C51" s="174" t="s">
        <v>78</v>
      </c>
    </row>
    <row r="52" spans="1:7">
      <c r="A52" s="174" t="s">
        <v>79</v>
      </c>
      <c r="B52" s="174" t="s">
        <v>287</v>
      </c>
      <c r="C52" s="174" t="s">
        <v>145</v>
      </c>
    </row>
    <row r="53" spans="1:7">
      <c r="A53" s="174" t="s">
        <v>80</v>
      </c>
      <c r="B53" s="174" t="s">
        <v>287</v>
      </c>
      <c r="C53" s="174" t="s">
        <v>81</v>
      </c>
    </row>
    <row r="54" spans="1:7">
      <c r="A54" s="174" t="s">
        <v>82</v>
      </c>
      <c r="B54" s="174" t="s">
        <v>287</v>
      </c>
      <c r="C54" s="174" t="s">
        <v>22</v>
      </c>
    </row>
    <row r="55" spans="1:7">
      <c r="A55" s="174" t="s">
        <v>83</v>
      </c>
      <c r="B55" s="174" t="s">
        <v>287</v>
      </c>
      <c r="C55" s="174" t="s">
        <v>84</v>
      </c>
    </row>
    <row r="56" spans="1:7">
      <c r="A56" s="174" t="s">
        <v>85</v>
      </c>
      <c r="B56" s="174" t="s">
        <v>287</v>
      </c>
      <c r="C56" s="174" t="s">
        <v>146</v>
      </c>
    </row>
    <row r="57" spans="1:7">
      <c r="A57" s="174" t="s">
        <v>86</v>
      </c>
      <c r="B57" s="174" t="s">
        <v>287</v>
      </c>
      <c r="C57" s="174" t="s">
        <v>21</v>
      </c>
    </row>
    <row r="58" spans="1:7">
      <c r="A58" s="174" t="s">
        <v>87</v>
      </c>
      <c r="B58" s="174" t="s">
        <v>287</v>
      </c>
      <c r="C58" s="174" t="s">
        <v>147</v>
      </c>
    </row>
    <row r="59" spans="1:7">
      <c r="A59" s="174" t="s">
        <v>88</v>
      </c>
      <c r="B59" s="174" t="s">
        <v>287</v>
      </c>
      <c r="C59" s="174" t="s">
        <v>148</v>
      </c>
    </row>
    <row r="60" spans="1:7">
      <c r="A60" s="174" t="s">
        <v>89</v>
      </c>
      <c r="B60" s="174" t="s">
        <v>287</v>
      </c>
      <c r="C60" s="174" t="s">
        <v>149</v>
      </c>
    </row>
    <row r="61" spans="1:7">
      <c r="A61" s="174" t="s">
        <v>90</v>
      </c>
      <c r="B61" s="174" t="s">
        <v>287</v>
      </c>
      <c r="C61" s="174" t="s">
        <v>91</v>
      </c>
      <c r="G61" s="174" t="s">
        <v>1256</v>
      </c>
    </row>
    <row r="62" spans="1:7">
      <c r="A62" s="174" t="s">
        <v>183</v>
      </c>
      <c r="B62" s="174" t="s">
        <v>287</v>
      </c>
      <c r="C62" s="174" t="s">
        <v>184</v>
      </c>
    </row>
    <row r="63" spans="1:7">
      <c r="A63" s="174" t="s">
        <v>92</v>
      </c>
      <c r="B63" s="174" t="s">
        <v>288</v>
      </c>
      <c r="C63" s="174" t="s">
        <v>93</v>
      </c>
      <c r="G63" s="174" t="s">
        <v>1256</v>
      </c>
    </row>
    <row r="64" spans="1:7">
      <c r="A64" s="174" t="s">
        <v>94</v>
      </c>
      <c r="B64" s="174" t="s">
        <v>288</v>
      </c>
      <c r="C64" s="174" t="s">
        <v>95</v>
      </c>
      <c r="G64" s="174" t="s">
        <v>1256</v>
      </c>
    </row>
    <row r="65" spans="1:7">
      <c r="A65" s="174" t="s">
        <v>96</v>
      </c>
      <c r="B65" s="174" t="s">
        <v>288</v>
      </c>
      <c r="C65" s="174" t="s">
        <v>150</v>
      </c>
      <c r="G65" s="174" t="s">
        <v>1256</v>
      </c>
    </row>
    <row r="66" spans="1:7">
      <c r="A66" s="174" t="s">
        <v>151</v>
      </c>
      <c r="B66" s="174" t="s">
        <v>288</v>
      </c>
      <c r="C66" s="174" t="s">
        <v>152</v>
      </c>
      <c r="G66" s="174" t="s">
        <v>1257</v>
      </c>
    </row>
    <row r="67" spans="1:7">
      <c r="A67" s="174" t="s">
        <v>97</v>
      </c>
      <c r="B67" s="174" t="s">
        <v>288</v>
      </c>
      <c r="C67" s="174" t="s">
        <v>153</v>
      </c>
      <c r="G67" s="174" t="s">
        <v>1256</v>
      </c>
    </row>
    <row r="68" spans="1:7">
      <c r="A68" s="174" t="s">
        <v>154</v>
      </c>
      <c r="B68" s="174" t="s">
        <v>288</v>
      </c>
      <c r="C68" s="174" t="s">
        <v>155</v>
      </c>
      <c r="G68" s="174" t="s">
        <v>1256</v>
      </c>
    </row>
    <row r="69" spans="1:7">
      <c r="A69" s="174" t="s">
        <v>98</v>
      </c>
      <c r="B69" s="174" t="s">
        <v>289</v>
      </c>
      <c r="C69" s="174" t="s">
        <v>99</v>
      </c>
    </row>
    <row r="70" spans="1:7">
      <c r="A70" s="174" t="s">
        <v>156</v>
      </c>
      <c r="B70" s="174" t="s">
        <v>290</v>
      </c>
      <c r="C70" s="174" t="s">
        <v>157</v>
      </c>
      <c r="G70" s="174" t="s">
        <v>1256</v>
      </c>
    </row>
    <row r="71" spans="1:7">
      <c r="A71" s="174" t="s">
        <v>100</v>
      </c>
      <c r="B71" s="174" t="s">
        <v>291</v>
      </c>
      <c r="C71" s="174" t="s">
        <v>158</v>
      </c>
    </row>
    <row r="72" spans="1:7">
      <c r="A72" s="174" t="s">
        <v>101</v>
      </c>
      <c r="B72" s="174" t="s">
        <v>292</v>
      </c>
      <c r="C72" s="174" t="s">
        <v>185</v>
      </c>
      <c r="G72" s="174" t="s">
        <v>1256</v>
      </c>
    </row>
    <row r="73" spans="1:7">
      <c r="A73" s="174" t="s">
        <v>102</v>
      </c>
      <c r="B73" s="174" t="s">
        <v>292</v>
      </c>
      <c r="C73" s="174" t="s">
        <v>103</v>
      </c>
      <c r="G73" s="174" t="s">
        <v>1256</v>
      </c>
    </row>
    <row r="74" spans="1:7">
      <c r="A74" s="174" t="s">
        <v>104</v>
      </c>
      <c r="B74" s="174" t="s">
        <v>292</v>
      </c>
      <c r="C74" s="174" t="s">
        <v>105</v>
      </c>
      <c r="G74" s="174" t="s">
        <v>1256</v>
      </c>
    </row>
    <row r="75" spans="1:7">
      <c r="A75" s="174" t="s">
        <v>106</v>
      </c>
      <c r="B75" s="174" t="s">
        <v>292</v>
      </c>
      <c r="C75" s="174" t="s">
        <v>107</v>
      </c>
      <c r="G75" s="174" t="s">
        <v>1256</v>
      </c>
    </row>
    <row r="76" spans="1:7">
      <c r="A76" s="174" t="s">
        <v>186</v>
      </c>
      <c r="B76" s="174" t="s">
        <v>292</v>
      </c>
      <c r="C76" s="174" t="s">
        <v>181</v>
      </c>
    </row>
    <row r="77" spans="1:7">
      <c r="A77" s="174" t="s">
        <v>108</v>
      </c>
      <c r="B77" s="174" t="s">
        <v>293</v>
      </c>
      <c r="C77" s="174" t="s">
        <v>191</v>
      </c>
    </row>
    <row r="78" spans="1:7">
      <c r="A78" s="174" t="s">
        <v>159</v>
      </c>
      <c r="B78" s="174" t="s">
        <v>293</v>
      </c>
      <c r="C78" s="174" t="s">
        <v>160</v>
      </c>
    </row>
    <row r="79" spans="1:7">
      <c r="A79" s="174" t="s">
        <v>161</v>
      </c>
      <c r="B79" s="174" t="s">
        <v>293</v>
      </c>
      <c r="C79" s="174" t="s">
        <v>162</v>
      </c>
    </row>
    <row r="80" spans="1:7">
      <c r="A80" s="174" t="s">
        <v>163</v>
      </c>
      <c r="B80" s="174" t="s">
        <v>293</v>
      </c>
      <c r="C80" s="174" t="s">
        <v>164</v>
      </c>
    </row>
    <row r="81" spans="1:7">
      <c r="A81" s="174" t="s">
        <v>165</v>
      </c>
      <c r="B81" s="174" t="s">
        <v>293</v>
      </c>
      <c r="C81" s="174" t="s">
        <v>166</v>
      </c>
    </row>
    <row r="82" spans="1:7">
      <c r="A82" s="174" t="s">
        <v>187</v>
      </c>
      <c r="B82" s="174" t="s">
        <v>293</v>
      </c>
      <c r="C82" s="174" t="s">
        <v>192</v>
      </c>
    </row>
    <row r="83" spans="1:7">
      <c r="A83" s="174" t="s">
        <v>109</v>
      </c>
      <c r="B83" s="174" t="s">
        <v>294</v>
      </c>
      <c r="C83" s="174" t="s">
        <v>167</v>
      </c>
      <c r="G83" s="174" t="s">
        <v>1257</v>
      </c>
    </row>
    <row r="84" spans="1:7">
      <c r="A84" s="174" t="s">
        <v>110</v>
      </c>
      <c r="B84" s="174" t="s">
        <v>294</v>
      </c>
      <c r="C84" s="174" t="s">
        <v>168</v>
      </c>
      <c r="G84" s="174" t="s">
        <v>1257</v>
      </c>
    </row>
    <row r="85" spans="1:7">
      <c r="A85" s="174" t="s">
        <v>111</v>
      </c>
      <c r="B85" s="174" t="s">
        <v>294</v>
      </c>
      <c r="C85" s="174" t="s">
        <v>112</v>
      </c>
    </row>
    <row r="86" spans="1:7">
      <c r="A86" s="174" t="s">
        <v>113</v>
      </c>
      <c r="B86" s="174" t="s">
        <v>294</v>
      </c>
      <c r="C86" s="174" t="s">
        <v>114</v>
      </c>
      <c r="G86" s="174" t="s">
        <v>1256</v>
      </c>
    </row>
    <row r="87" spans="1:7">
      <c r="A87" s="174" t="s">
        <v>115</v>
      </c>
      <c r="B87" s="174" t="s">
        <v>294</v>
      </c>
      <c r="C87" s="174" t="s">
        <v>116</v>
      </c>
    </row>
    <row r="88" spans="1:7">
      <c r="A88" s="174" t="s">
        <v>117</v>
      </c>
      <c r="B88" s="174" t="s">
        <v>294</v>
      </c>
      <c r="C88" s="174" t="s">
        <v>118</v>
      </c>
    </row>
    <row r="89" spans="1:7">
      <c r="A89" s="174" t="s">
        <v>169</v>
      </c>
      <c r="B89" s="174" t="s">
        <v>294</v>
      </c>
      <c r="C89" s="174" t="s">
        <v>170</v>
      </c>
    </row>
    <row r="90" spans="1:7">
      <c r="A90" s="174" t="s">
        <v>119</v>
      </c>
      <c r="B90" s="174" t="s">
        <v>295</v>
      </c>
      <c r="C90" s="174" t="s">
        <v>120</v>
      </c>
    </row>
    <row r="91" spans="1:7">
      <c r="A91" s="174" t="s">
        <v>171</v>
      </c>
      <c r="B91" s="174" t="s">
        <v>295</v>
      </c>
      <c r="C91" s="174" t="s">
        <v>172</v>
      </c>
    </row>
    <row r="92" spans="1:7">
      <c r="A92" s="174" t="s">
        <v>121</v>
      </c>
      <c r="B92" s="174" t="s">
        <v>295</v>
      </c>
      <c r="C92" s="174" t="s">
        <v>173</v>
      </c>
    </row>
    <row r="93" spans="1:7">
      <c r="A93" s="174" t="s">
        <v>122</v>
      </c>
      <c r="B93" s="174" t="s">
        <v>295</v>
      </c>
      <c r="C93" s="174" t="s">
        <v>174</v>
      </c>
    </row>
    <row r="94" spans="1:7">
      <c r="A94" s="174" t="s">
        <v>123</v>
      </c>
      <c r="B94" s="174" t="s">
        <v>295</v>
      </c>
      <c r="C94" s="174" t="s">
        <v>124</v>
      </c>
    </row>
    <row r="95" spans="1:7">
      <c r="A95" s="174" t="s">
        <v>125</v>
      </c>
      <c r="B95" s="174" t="s">
        <v>296</v>
      </c>
      <c r="C95" s="174" t="s">
        <v>126</v>
      </c>
    </row>
    <row r="96" spans="1:7">
      <c r="A96" s="174" t="s">
        <v>127</v>
      </c>
      <c r="B96" s="174" t="s">
        <v>296</v>
      </c>
      <c r="C96" s="174" t="s">
        <v>128</v>
      </c>
    </row>
    <row r="97" spans="1:7">
      <c r="A97" s="174" t="s">
        <v>129</v>
      </c>
      <c r="B97" s="174" t="s">
        <v>296</v>
      </c>
      <c r="C97" s="174" t="s">
        <v>175</v>
      </c>
    </row>
    <row r="98" spans="1:7">
      <c r="A98" s="174" t="s">
        <v>130</v>
      </c>
      <c r="B98" s="174" t="s">
        <v>296</v>
      </c>
      <c r="C98" s="174" t="s">
        <v>176</v>
      </c>
    </row>
    <row r="99" spans="1:7">
      <c r="A99" s="174" t="s">
        <v>131</v>
      </c>
      <c r="B99" s="174" t="s">
        <v>296</v>
      </c>
      <c r="C99" s="174" t="s">
        <v>132</v>
      </c>
    </row>
    <row r="100" spans="1:7">
      <c r="A100" s="174" t="s">
        <v>133</v>
      </c>
      <c r="B100" s="174" t="s">
        <v>296</v>
      </c>
      <c r="C100" s="174" t="s">
        <v>134</v>
      </c>
      <c r="G100" s="174" t="s">
        <v>1257</v>
      </c>
    </row>
    <row r="101" spans="1:7">
      <c r="A101" s="174" t="s">
        <v>135</v>
      </c>
      <c r="B101" s="174" t="s">
        <v>296</v>
      </c>
      <c r="C101" s="174" t="s">
        <v>136</v>
      </c>
    </row>
    <row r="102" spans="1:7">
      <c r="A102" s="174" t="s">
        <v>177</v>
      </c>
      <c r="B102" s="174" t="s">
        <v>296</v>
      </c>
      <c r="C102" s="174" t="s">
        <v>178</v>
      </c>
    </row>
    <row r="103" spans="1:7">
      <c r="A103" s="174" t="s">
        <v>137</v>
      </c>
      <c r="B103" s="174" t="s">
        <v>296</v>
      </c>
      <c r="C103" s="174" t="s">
        <v>138</v>
      </c>
    </row>
    <row r="104" spans="1:7">
      <c r="A104" s="174" t="s">
        <v>139</v>
      </c>
      <c r="B104" s="174" t="s">
        <v>296</v>
      </c>
      <c r="C104" s="174" t="s">
        <v>140</v>
      </c>
    </row>
    <row r="105" spans="1:7">
      <c r="A105" s="174" t="s">
        <v>141</v>
      </c>
      <c r="B105" s="174" t="s">
        <v>296</v>
      </c>
      <c r="C105" s="174" t="s">
        <v>142</v>
      </c>
    </row>
    <row r="106" spans="1:7">
      <c r="A106" s="174" t="s">
        <v>179</v>
      </c>
      <c r="B106" s="174" t="s">
        <v>296</v>
      </c>
      <c r="C106" s="174" t="s">
        <v>180</v>
      </c>
    </row>
    <row r="107" spans="1:7">
      <c r="A107" s="174" t="s">
        <v>188</v>
      </c>
      <c r="B107" s="174" t="s">
        <v>296</v>
      </c>
      <c r="C107" s="174" t="s">
        <v>182</v>
      </c>
    </row>
    <row r="108" spans="1:7">
      <c r="A108" s="174" t="s">
        <v>143</v>
      </c>
      <c r="B108" s="174" t="s">
        <v>297</v>
      </c>
      <c r="C108" s="174" t="s">
        <v>144</v>
      </c>
      <c r="G108" s="174" t="s">
        <v>1256</v>
      </c>
    </row>
  </sheetData>
  <phoneticPr fontId="2" type="noConversion"/>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FC99"/>
  <sheetViews>
    <sheetView zoomScaleNormal="100" workbookViewId="0"/>
  </sheetViews>
  <sheetFormatPr defaultColWidth="0" defaultRowHeight="13.8" zeroHeight="1"/>
  <cols>
    <col min="1" max="1" width="9" style="175" customWidth="1"/>
    <col min="2" max="2" width="10.33203125" style="175" customWidth="1"/>
    <col min="3" max="3" width="9" style="175" customWidth="1"/>
    <col min="4" max="4" width="7.6640625" style="175" customWidth="1"/>
    <col min="5" max="6" width="7.6640625" style="447" customWidth="1"/>
    <col min="7" max="7" width="8.44140625" style="447" customWidth="1"/>
    <col min="8" max="14" width="7.6640625" style="447" customWidth="1"/>
    <col min="15" max="17" width="7.6640625" style="175" customWidth="1"/>
    <col min="18" max="18" width="8.33203125" style="447" customWidth="1"/>
    <col min="19" max="19" width="10.21875" style="175" customWidth="1"/>
    <col min="20" max="20" width="7.6640625" style="175" customWidth="1"/>
    <col min="21" max="30" width="9" style="175" customWidth="1"/>
    <col min="31" max="16383" width="9" style="174" hidden="1"/>
    <col min="16384" max="16384" width="5.88671875" style="174" hidden="1"/>
  </cols>
  <sheetData>
    <row r="1" spans="1:23" s="175" customFormat="1" ht="18">
      <c r="A1" s="462" t="s">
        <v>2356</v>
      </c>
      <c r="E1" s="447"/>
      <c r="F1" s="447"/>
      <c r="G1" s="447"/>
      <c r="H1" s="447"/>
      <c r="I1" s="447"/>
      <c r="J1" s="447"/>
      <c r="K1" s="447"/>
      <c r="L1" s="447"/>
      <c r="M1" s="447"/>
      <c r="N1" s="447"/>
      <c r="R1" s="447"/>
    </row>
    <row r="2" spans="1:23" s="175" customFormat="1" ht="13.5" customHeight="1">
      <c r="E2" s="447"/>
      <c r="F2" s="447"/>
      <c r="G2" s="447"/>
      <c r="H2" s="447"/>
      <c r="I2" s="447"/>
      <c r="J2" s="447"/>
      <c r="K2" s="447"/>
      <c r="L2" s="447"/>
      <c r="M2" s="447"/>
      <c r="N2" s="447"/>
      <c r="R2" s="447"/>
    </row>
    <row r="3" spans="1:23" s="175" customFormat="1" ht="13.5" customHeight="1">
      <c r="A3" s="453" t="str">
        <f>主頁!B28</f>
        <v>核心科目</v>
      </c>
      <c r="B3" s="452"/>
      <c r="C3" s="455" t="s">
        <v>2364</v>
      </c>
      <c r="E3" s="453" t="str">
        <f>主頁!B35</f>
        <v>選修科目</v>
      </c>
      <c r="F3" s="452"/>
      <c r="G3" s="455" t="s">
        <v>2364</v>
      </c>
      <c r="H3" s="447"/>
      <c r="I3" s="447"/>
      <c r="J3" s="447"/>
      <c r="K3" s="447"/>
      <c r="L3" s="447"/>
      <c r="M3" s="447"/>
      <c r="N3" s="447"/>
      <c r="R3" s="447"/>
    </row>
    <row r="4" spans="1:23" s="175" customFormat="1" ht="13.5" customHeight="1">
      <c r="A4" s="454" t="str">
        <f>主頁!B29</f>
        <v>中國語文</v>
      </c>
      <c r="B4" s="456" t="str">
        <f>IF(主頁!C29=0,"",主頁!C29)</f>
        <v>請選擇等級</v>
      </c>
      <c r="C4" s="456" t="str">
        <f>IF(計分版!E15=TRUE,"是","")</f>
        <v/>
      </c>
      <c r="E4" s="454" t="str">
        <f>主頁!B36</f>
        <v>請選擇第一選修科</v>
      </c>
      <c r="F4" s="456" t="str">
        <f>IF(主頁!C36=0,"",主頁!C36)</f>
        <v>請選擇等級</v>
      </c>
      <c r="G4" s="456" t="str">
        <f>IF(計分版!J15=TRUE,"是","")</f>
        <v/>
      </c>
      <c r="H4" s="447"/>
      <c r="I4" s="447"/>
      <c r="J4" s="447"/>
      <c r="K4" s="447"/>
      <c r="L4" s="447"/>
      <c r="M4" s="447"/>
      <c r="N4" s="447"/>
      <c r="R4" s="447"/>
    </row>
    <row r="5" spans="1:23" s="175" customFormat="1" ht="13.5" customHeight="1">
      <c r="A5" s="457" t="str">
        <f>主頁!B30</f>
        <v>英國語文</v>
      </c>
      <c r="B5" s="458" t="str">
        <f>IF(主頁!C30=0,"",主頁!C30)</f>
        <v>請選擇等級</v>
      </c>
      <c r="C5" s="458" t="str">
        <f>IF(計分版!F15=TRUE,"是","")</f>
        <v/>
      </c>
      <c r="E5" s="457" t="str">
        <f>主頁!B37</f>
        <v>請選擇第二選修科</v>
      </c>
      <c r="F5" s="458" t="str">
        <f>IF(主頁!C37=0,"",主頁!C37)</f>
        <v>請選擇等級</v>
      </c>
      <c r="G5" s="458" t="str">
        <f>IF(計分版!K15=TRUE,"是","")</f>
        <v/>
      </c>
      <c r="H5" s="447"/>
      <c r="I5" s="447"/>
      <c r="J5" s="447"/>
      <c r="K5" s="447"/>
      <c r="L5" s="447"/>
      <c r="M5" s="447"/>
      <c r="N5" s="447"/>
      <c r="R5" s="447"/>
    </row>
    <row r="6" spans="1:23" s="175" customFormat="1" ht="13.5" customHeight="1">
      <c r="A6" s="454" t="str">
        <f>主頁!B31</f>
        <v>數學</v>
      </c>
      <c r="B6" s="456" t="str">
        <f>IF(主頁!C31=0,"",主頁!C31)</f>
        <v>請選擇等級</v>
      </c>
      <c r="C6" s="456" t="str">
        <f>IF(計分版!G15=TRUE,"是","")</f>
        <v/>
      </c>
      <c r="E6" s="454" t="str">
        <f>主頁!B38</f>
        <v>請選擇第三選修科</v>
      </c>
      <c r="F6" s="456" t="str">
        <f>IF(主頁!C38=0,"",主頁!C38)</f>
        <v>請選擇等級</v>
      </c>
      <c r="G6" s="456" t="str">
        <f>IF(計分版!L15=TRUE,"是","")</f>
        <v/>
      </c>
      <c r="H6" s="447"/>
      <c r="I6" s="447"/>
      <c r="J6" s="447"/>
      <c r="K6" s="447"/>
      <c r="L6" s="447"/>
      <c r="M6" s="447"/>
      <c r="N6" s="447"/>
      <c r="R6" s="447"/>
    </row>
    <row r="7" spans="1:23" s="175" customFormat="1" ht="13.5" customHeight="1">
      <c r="A7" s="457" t="str">
        <f>主頁!B32</f>
        <v>通識教育</v>
      </c>
      <c r="B7" s="458" t="str">
        <f>IF(主頁!C32=0,"",主頁!C32)</f>
        <v>請選擇等級</v>
      </c>
      <c r="C7" s="458" t="str">
        <f>IF(計分版!H15=TRUE,"是","")</f>
        <v/>
      </c>
      <c r="E7" s="457" t="str">
        <f>主頁!B39</f>
        <v>請選擇第四選修科</v>
      </c>
      <c r="F7" s="458" t="str">
        <f>IF(主頁!C39=0,"",主頁!C39)</f>
        <v>請選擇等級</v>
      </c>
      <c r="G7" s="458" t="str">
        <f>IF(計分版!M15=TRUE,"是","")</f>
        <v/>
      </c>
      <c r="H7" s="447"/>
      <c r="I7" s="447"/>
      <c r="J7" s="447"/>
      <c r="K7" s="447"/>
      <c r="L7" s="447"/>
      <c r="M7" s="447"/>
      <c r="N7" s="447"/>
      <c r="R7" s="447"/>
    </row>
    <row r="8" spans="1:23" s="175" customFormat="1" ht="13.5" customHeight="1">
      <c r="A8" s="454" t="str">
        <f>主頁!B33</f>
        <v>M1/2</v>
      </c>
      <c r="B8" s="456" t="str">
        <f>IF(主頁!C33=0,"",主頁!C33)</f>
        <v>請選擇等級</v>
      </c>
      <c r="C8" s="456" t="str">
        <f>IF(計分版!I15=TRUE,"是","")</f>
        <v/>
      </c>
      <c r="E8" s="454" t="str">
        <f>主頁!B40</f>
        <v>請選擇語言科目</v>
      </c>
      <c r="F8" s="456" t="str">
        <f>IF(主頁!C40=0,"",主頁!C40)</f>
        <v>請選擇等級</v>
      </c>
      <c r="G8" s="456" t="str">
        <f>IF(計分版!N15=TRUE,"是","")</f>
        <v/>
      </c>
      <c r="H8" s="447"/>
      <c r="I8" s="447"/>
      <c r="J8" s="447"/>
      <c r="K8" s="447"/>
      <c r="L8" s="447"/>
      <c r="M8" s="447"/>
      <c r="N8" s="447"/>
      <c r="R8" s="447"/>
    </row>
    <row r="9" spans="1:23" s="187" customFormat="1" ht="13.5" customHeight="1">
      <c r="A9" s="186"/>
      <c r="B9" s="447"/>
      <c r="C9" s="447"/>
      <c r="D9" s="175"/>
      <c r="E9" s="447"/>
      <c r="F9" s="447"/>
      <c r="G9" s="447"/>
      <c r="H9" s="447"/>
      <c r="I9" s="447"/>
      <c r="J9" s="447"/>
      <c r="K9" s="447"/>
      <c r="L9" s="447"/>
      <c r="M9" s="447"/>
      <c r="N9" s="447"/>
      <c r="O9" s="175"/>
      <c r="P9" s="175"/>
      <c r="Q9" s="175"/>
      <c r="R9" s="447"/>
      <c r="S9" s="175"/>
    </row>
    <row r="10" spans="1:23" s="187" customFormat="1" ht="13.5" customHeight="1">
      <c r="A10" s="175" t="s">
        <v>2358</v>
      </c>
      <c r="B10" s="175"/>
      <c r="C10" s="175"/>
      <c r="D10" s="175"/>
      <c r="E10" s="447"/>
      <c r="F10" s="447"/>
      <c r="G10" s="447"/>
      <c r="H10" s="447"/>
      <c r="I10" s="447"/>
      <c r="J10" s="447"/>
      <c r="K10" s="447"/>
      <c r="L10" s="447"/>
      <c r="M10" s="447"/>
      <c r="N10" s="447"/>
      <c r="O10" s="175"/>
      <c r="P10" s="175"/>
      <c r="Q10" s="175"/>
      <c r="R10" s="447"/>
      <c r="S10" s="175"/>
    </row>
    <row r="11" spans="1:23" s="187" customFormat="1" ht="13.5" customHeight="1">
      <c r="A11" s="175"/>
      <c r="B11" s="175"/>
      <c r="C11" s="175"/>
      <c r="D11" s="175"/>
      <c r="E11" s="447"/>
      <c r="F11" s="447"/>
      <c r="G11" s="447"/>
      <c r="H11" s="447"/>
      <c r="I11" s="447"/>
      <c r="J11" s="447"/>
      <c r="K11" s="447"/>
      <c r="L11" s="447"/>
      <c r="M11" s="447"/>
      <c r="N11" s="447"/>
      <c r="O11" s="175"/>
      <c r="P11" s="175"/>
      <c r="Q11" s="175"/>
      <c r="R11" s="447"/>
      <c r="S11" s="175"/>
    </row>
    <row r="12" spans="1:23" s="272" customFormat="1" ht="13.5" customHeight="1">
      <c r="A12" s="460" t="s">
        <v>1551</v>
      </c>
      <c r="B12" s="459"/>
      <c r="C12" s="459"/>
      <c r="D12" s="459" t="s">
        <v>299</v>
      </c>
      <c r="E12" s="459" t="s">
        <v>300</v>
      </c>
      <c r="F12" s="459" t="s">
        <v>301</v>
      </c>
      <c r="G12" s="459" t="s">
        <v>2379</v>
      </c>
      <c r="H12" s="459" t="s">
        <v>2</v>
      </c>
      <c r="I12" s="459" t="s">
        <v>2360</v>
      </c>
      <c r="J12" s="459" t="s">
        <v>2361</v>
      </c>
      <c r="K12" s="459" t="s">
        <v>2362</v>
      </c>
      <c r="L12" s="459" t="s">
        <v>2363</v>
      </c>
      <c r="M12" s="459" t="str">
        <f>計分版!J1</f>
        <v>請選擇第一選修科</v>
      </c>
      <c r="N12" s="459" t="str">
        <f>計分版!K1</f>
        <v>請選擇第二選修科</v>
      </c>
      <c r="O12" s="459" t="str">
        <f>計分版!L1</f>
        <v>請選擇第三選修科</v>
      </c>
      <c r="P12" s="459" t="str">
        <f>計分版!M1</f>
        <v>請選擇第四選修科</v>
      </c>
      <c r="Q12" s="459" t="str">
        <f>計分版!N1</f>
        <v>請選擇語言科目</v>
      </c>
      <c r="R12" s="459" t="s">
        <v>2365</v>
      </c>
      <c r="S12" s="459" t="s">
        <v>2368</v>
      </c>
    </row>
    <row r="13" spans="1:23" s="187" customFormat="1" ht="13.5" customHeight="1">
      <c r="A13" s="175" t="s">
        <v>90</v>
      </c>
      <c r="B13" s="175" t="s">
        <v>91</v>
      </c>
      <c r="C13" s="447" t="s">
        <v>189</v>
      </c>
      <c r="D13" s="467">
        <f>CUHK!F15</f>
        <v>33.5</v>
      </c>
      <c r="E13" s="467">
        <f>CUHK!G15</f>
        <v>29</v>
      </c>
      <c r="F13" s="467">
        <f>CUHK!H15</f>
        <v>26</v>
      </c>
      <c r="G13" s="468">
        <f>計分版!D178</f>
        <v>3.9500000000000006E-9</v>
      </c>
      <c r="H13" s="463">
        <f>計分版!E178</f>
        <v>1E-10</v>
      </c>
      <c r="I13" s="463">
        <f>計分版!F178</f>
        <v>2.0000000000000001E-10</v>
      </c>
      <c r="J13" s="463">
        <f>計分版!G178</f>
        <v>3E-10</v>
      </c>
      <c r="K13" s="463">
        <f>計分版!H178</f>
        <v>4.0000000000000001E-10</v>
      </c>
      <c r="L13" s="463">
        <f>計分版!I178</f>
        <v>5.0000000000000003E-10</v>
      </c>
      <c r="M13" s="463">
        <f>計分版!J178</f>
        <v>6E-10</v>
      </c>
      <c r="N13" s="463">
        <f>計分版!K178</f>
        <v>6.9999999999999996E-10</v>
      </c>
      <c r="O13" s="463">
        <f>計分版!L178</f>
        <v>8.0000000000000003E-10</v>
      </c>
      <c r="P13" s="463">
        <f>計分版!M178</f>
        <v>8.9999999999999999E-10</v>
      </c>
      <c r="Q13" s="463">
        <f>計分版!N178</f>
        <v>9.5000000000000003E-10</v>
      </c>
      <c r="R13" s="447" t="s">
        <v>1256</v>
      </c>
      <c r="S13" s="35" t="s">
        <v>2432</v>
      </c>
      <c r="T13" s="35"/>
      <c r="U13" s="44"/>
      <c r="V13" s="44"/>
      <c r="W13" s="44"/>
    </row>
    <row r="14" spans="1:23" s="187" customFormat="1" ht="13.5" customHeight="1">
      <c r="A14" s="175" t="s">
        <v>92</v>
      </c>
      <c r="B14" s="175" t="s">
        <v>93</v>
      </c>
      <c r="C14" s="447" t="s">
        <v>189</v>
      </c>
      <c r="D14" s="467">
        <f>CUHK!F17</f>
        <v>27.5</v>
      </c>
      <c r="E14" s="467">
        <f>CUHK!G17</f>
        <v>26</v>
      </c>
      <c r="F14" s="467">
        <f>CUHK!H17</f>
        <v>24.5</v>
      </c>
      <c r="G14" s="468">
        <f>計分版!D180</f>
        <v>3.9500000000000006E-9</v>
      </c>
      <c r="H14" s="463">
        <f>計分版!E180</f>
        <v>1E-10</v>
      </c>
      <c r="I14" s="463">
        <f>計分版!F180</f>
        <v>2.0000000000000001E-10</v>
      </c>
      <c r="J14" s="463">
        <f>計分版!G180</f>
        <v>3E-10</v>
      </c>
      <c r="K14" s="463">
        <f>計分版!H180</f>
        <v>4.0000000000000001E-10</v>
      </c>
      <c r="L14" s="463">
        <f>計分版!I180</f>
        <v>5.0000000000000003E-10</v>
      </c>
      <c r="M14" s="463">
        <f>計分版!J180</f>
        <v>6E-10</v>
      </c>
      <c r="N14" s="463">
        <f>計分版!K180</f>
        <v>6.9999999999999996E-10</v>
      </c>
      <c r="O14" s="463">
        <f>計分版!L180</f>
        <v>8.0000000000000003E-10</v>
      </c>
      <c r="P14" s="463">
        <f>計分版!M180</f>
        <v>8.9999999999999999E-10</v>
      </c>
      <c r="Q14" s="463">
        <f>計分版!N180</f>
        <v>9.5000000000000003E-10</v>
      </c>
      <c r="R14" s="447" t="s">
        <v>1256</v>
      </c>
      <c r="S14" s="35" t="s">
        <v>2431</v>
      </c>
      <c r="T14" s="35"/>
      <c r="U14" s="44"/>
      <c r="V14" s="44"/>
      <c r="W14" s="44"/>
    </row>
    <row r="15" spans="1:23" s="187" customFormat="1" ht="13.5" customHeight="1">
      <c r="A15" s="175" t="s">
        <v>94</v>
      </c>
      <c r="B15" s="175" t="s">
        <v>95</v>
      </c>
      <c r="C15" s="447" t="s">
        <v>190</v>
      </c>
      <c r="D15" s="467">
        <f>CUHK!F18</f>
        <v>48</v>
      </c>
      <c r="E15" s="467">
        <f>CUHK!G18</f>
        <v>45</v>
      </c>
      <c r="F15" s="467">
        <f>CUHK!H18</f>
        <v>45</v>
      </c>
      <c r="G15" s="468">
        <f>計分版!D181</f>
        <v>2.8499999999999999E-9</v>
      </c>
      <c r="H15" s="463">
        <f>計分版!E181</f>
        <v>1E-10</v>
      </c>
      <c r="I15" s="463">
        <f>計分版!F181</f>
        <v>2.0000000000000001E-10</v>
      </c>
      <c r="J15" s="463">
        <f>計分版!G181</f>
        <v>3E-10</v>
      </c>
      <c r="K15" s="463">
        <f>計分版!H181</f>
        <v>4.0000000000000001E-10</v>
      </c>
      <c r="L15" s="463">
        <f>計分版!I181</f>
        <v>5.0000000000000003E-10</v>
      </c>
      <c r="M15" s="463">
        <f>計分版!J181</f>
        <v>6E-10</v>
      </c>
      <c r="N15" s="463">
        <f>計分版!K181</f>
        <v>6.9999999999999996E-10</v>
      </c>
      <c r="O15" s="463">
        <f>計分版!L181</f>
        <v>8.0000000000000003E-10</v>
      </c>
      <c r="P15" s="463">
        <f>計分版!M181</f>
        <v>8.9999999999999999E-10</v>
      </c>
      <c r="Q15" s="463">
        <f>計分版!N181</f>
        <v>9.5000000000000003E-10</v>
      </c>
      <c r="R15" s="447" t="s">
        <v>1256</v>
      </c>
      <c r="S15" s="35" t="s">
        <v>2431</v>
      </c>
      <c r="T15" s="35"/>
      <c r="U15" s="44"/>
      <c r="V15" s="44"/>
      <c r="W15" s="44"/>
    </row>
    <row r="16" spans="1:23" s="187" customFormat="1" ht="13.5" customHeight="1">
      <c r="A16" s="175" t="s">
        <v>96</v>
      </c>
      <c r="B16" s="175" t="s">
        <v>150</v>
      </c>
      <c r="C16" s="313" t="s">
        <v>189</v>
      </c>
      <c r="D16" s="467">
        <f>CUHK!F19</f>
        <v>26</v>
      </c>
      <c r="E16" s="467">
        <f>CUHK!G19</f>
        <v>26</v>
      </c>
      <c r="F16" s="467">
        <f>CUHK!H19</f>
        <v>24.5</v>
      </c>
      <c r="G16" s="468">
        <f>計分版!D182</f>
        <v>3.9500000000000006E-9</v>
      </c>
      <c r="H16" s="463">
        <f>計分版!E182</f>
        <v>1E-10</v>
      </c>
      <c r="I16" s="463">
        <f>計分版!F182</f>
        <v>2.0000000000000001E-10</v>
      </c>
      <c r="J16" s="463">
        <f>計分版!G182</f>
        <v>3E-10</v>
      </c>
      <c r="K16" s="463">
        <f>計分版!H182</f>
        <v>4.0000000000000001E-10</v>
      </c>
      <c r="L16" s="463">
        <f>計分版!I182</f>
        <v>5.0000000000000003E-10</v>
      </c>
      <c r="M16" s="463">
        <f>計分版!J182</f>
        <v>6E-10</v>
      </c>
      <c r="N16" s="463">
        <f>計分版!K182</f>
        <v>6.9999999999999996E-10</v>
      </c>
      <c r="O16" s="463">
        <f>計分版!L182</f>
        <v>8.0000000000000003E-10</v>
      </c>
      <c r="P16" s="463">
        <f>計分版!M182</f>
        <v>8.9999999999999999E-10</v>
      </c>
      <c r="Q16" s="463">
        <f>計分版!N182</f>
        <v>9.5000000000000003E-10</v>
      </c>
      <c r="R16" s="447" t="s">
        <v>1256</v>
      </c>
      <c r="S16" s="35" t="s">
        <v>2431</v>
      </c>
      <c r="T16" s="464"/>
      <c r="U16" s="44"/>
      <c r="V16" s="44"/>
      <c r="W16" s="44"/>
    </row>
    <row r="17" spans="1:27" s="187" customFormat="1" ht="13.5" customHeight="1">
      <c r="A17" s="175" t="s">
        <v>151</v>
      </c>
      <c r="B17" s="175" t="s">
        <v>152</v>
      </c>
      <c r="C17" s="446" t="s">
        <v>189</v>
      </c>
      <c r="D17" s="467">
        <f>CUHK!F20</f>
        <v>32</v>
      </c>
      <c r="E17" s="467">
        <f>CUHK!G20</f>
        <v>30.5</v>
      </c>
      <c r="F17" s="467">
        <f>CUHK!H20</f>
        <v>29</v>
      </c>
      <c r="G17" s="468">
        <f>計分版!D183</f>
        <v>3.3500000000000002E-9</v>
      </c>
      <c r="H17" s="463">
        <f>計分版!E183</f>
        <v>1E-10</v>
      </c>
      <c r="I17" s="463">
        <f>計分版!F183</f>
        <v>2.0000000000000001E-10</v>
      </c>
      <c r="J17" s="463">
        <f>計分版!G183</f>
        <v>3E-10</v>
      </c>
      <c r="K17" s="463">
        <f>計分版!H183</f>
        <v>4.0000000000000001E-10</v>
      </c>
      <c r="L17" s="463">
        <f>計分版!I183</f>
        <v>5.0000000000000003E-10</v>
      </c>
      <c r="M17" s="463">
        <f>計分版!J183</f>
        <v>6E-10</v>
      </c>
      <c r="N17" s="463">
        <f>計分版!K183</f>
        <v>6.9999999999999996E-10</v>
      </c>
      <c r="O17" s="463">
        <f>計分版!L183</f>
        <v>8.0000000000000003E-10</v>
      </c>
      <c r="P17" s="463">
        <f>計分版!M183</f>
        <v>8.9999999999999999E-10</v>
      </c>
      <c r="Q17" s="463">
        <f>計分版!N183</f>
        <v>9.5000000000000003E-10</v>
      </c>
      <c r="R17" s="447" t="s">
        <v>1257</v>
      </c>
      <c r="S17" s="35" t="s">
        <v>2431</v>
      </c>
      <c r="T17" s="465"/>
      <c r="U17" s="44"/>
      <c r="V17" s="44"/>
      <c r="W17" s="44"/>
    </row>
    <row r="18" spans="1:27" s="187" customFormat="1" ht="13.5" customHeight="1">
      <c r="A18" s="175" t="s">
        <v>97</v>
      </c>
      <c r="B18" s="175" t="s">
        <v>153</v>
      </c>
      <c r="C18" s="446" t="s">
        <v>189</v>
      </c>
      <c r="D18" s="467">
        <f>CUHK!F21</f>
        <v>30.5</v>
      </c>
      <c r="E18" s="467">
        <f>CUHK!G21</f>
        <v>27.5</v>
      </c>
      <c r="F18" s="467">
        <f>CUHK!H21</f>
        <v>26</v>
      </c>
      <c r="G18" s="468">
        <f>計分版!D184</f>
        <v>3.9500000000000006E-9</v>
      </c>
      <c r="H18" s="463">
        <f>計分版!E184</f>
        <v>1E-10</v>
      </c>
      <c r="I18" s="463">
        <f>計分版!F184</f>
        <v>2.0000000000000001E-10</v>
      </c>
      <c r="J18" s="463">
        <f>計分版!G184</f>
        <v>3E-10</v>
      </c>
      <c r="K18" s="463">
        <f>計分版!H184</f>
        <v>4.0000000000000001E-10</v>
      </c>
      <c r="L18" s="463">
        <f>計分版!I184</f>
        <v>5.0000000000000003E-10</v>
      </c>
      <c r="M18" s="463">
        <f>計分版!J184</f>
        <v>6E-10</v>
      </c>
      <c r="N18" s="463">
        <f>計分版!K184</f>
        <v>6.9999999999999996E-10</v>
      </c>
      <c r="O18" s="463">
        <f>計分版!L184</f>
        <v>8.0000000000000003E-10</v>
      </c>
      <c r="P18" s="463">
        <f>計分版!M184</f>
        <v>8.9999999999999999E-10</v>
      </c>
      <c r="Q18" s="463">
        <f>計分版!N184</f>
        <v>9.5000000000000003E-10</v>
      </c>
      <c r="R18" s="447" t="s">
        <v>1256</v>
      </c>
      <c r="S18" s="35" t="s">
        <v>2431</v>
      </c>
      <c r="T18" s="465"/>
      <c r="U18" s="44"/>
      <c r="V18" s="44"/>
      <c r="W18" s="44"/>
    </row>
    <row r="19" spans="1:27" s="187" customFormat="1" ht="13.5" customHeight="1">
      <c r="A19" s="175" t="s">
        <v>154</v>
      </c>
      <c r="B19" s="175" t="s">
        <v>155</v>
      </c>
      <c r="C19" s="313" t="s">
        <v>189</v>
      </c>
      <c r="D19" s="467">
        <f>CUHK!F22</f>
        <v>53.25</v>
      </c>
      <c r="E19" s="467">
        <f>CUHK!G22</f>
        <v>50.25</v>
      </c>
      <c r="F19" s="467">
        <f>CUHK!H22</f>
        <v>49</v>
      </c>
      <c r="G19" s="468">
        <f>計分版!D185</f>
        <v>4.1000000000000003E-9</v>
      </c>
      <c r="H19" s="463">
        <f>計分版!E185</f>
        <v>1E-10</v>
      </c>
      <c r="I19" s="463">
        <f>計分版!F185</f>
        <v>4.0000000000000001E-10</v>
      </c>
      <c r="J19" s="463">
        <f>計分版!G185</f>
        <v>6E-10</v>
      </c>
      <c r="K19" s="463">
        <f>計分版!H185</f>
        <v>4.0000000000000001E-10</v>
      </c>
      <c r="L19" s="463">
        <f>計分版!I185</f>
        <v>7.500000000000001E-10</v>
      </c>
      <c r="M19" s="463">
        <f>計分版!J185</f>
        <v>6E-10</v>
      </c>
      <c r="N19" s="463">
        <f>計分版!K185</f>
        <v>6.9999999999999996E-10</v>
      </c>
      <c r="O19" s="463">
        <f>計分版!L185</f>
        <v>8.0000000000000003E-10</v>
      </c>
      <c r="P19" s="463">
        <f>計分版!M185</f>
        <v>8.9999999999999999E-10</v>
      </c>
      <c r="Q19" s="463">
        <f>計分版!N185</f>
        <v>9.5000000000000003E-10</v>
      </c>
      <c r="R19" s="447" t="s">
        <v>1256</v>
      </c>
      <c r="S19" s="35" t="s">
        <v>2431</v>
      </c>
      <c r="T19" s="464"/>
      <c r="U19" s="44"/>
      <c r="V19" s="44"/>
      <c r="W19" s="44"/>
    </row>
    <row r="20" spans="1:27" s="187" customFormat="1" ht="13.5" customHeight="1">
      <c r="A20" s="175" t="s">
        <v>156</v>
      </c>
      <c r="B20" s="175" t="s">
        <v>157</v>
      </c>
      <c r="C20" s="449" t="s">
        <v>190</v>
      </c>
      <c r="D20" s="467">
        <f>CUHK!F24</f>
        <v>52</v>
      </c>
      <c r="E20" s="467">
        <f>CUHK!G24</f>
        <v>51.25</v>
      </c>
      <c r="F20" s="467">
        <f>CUHK!H24</f>
        <v>49</v>
      </c>
      <c r="G20" s="468">
        <f>計分版!D187</f>
        <v>3.4999999999999999E-9</v>
      </c>
      <c r="H20" s="463">
        <f>計分版!E187</f>
        <v>1.5E-10</v>
      </c>
      <c r="I20" s="463">
        <f>計分版!F187</f>
        <v>4.0000000000000001E-10</v>
      </c>
      <c r="J20" s="463">
        <f>計分版!G187</f>
        <v>3E-10</v>
      </c>
      <c r="K20" s="463">
        <f>計分版!H187</f>
        <v>8.0000000000000003E-10</v>
      </c>
      <c r="L20" s="463">
        <f>計分版!I187</f>
        <v>5.0000000000000003E-10</v>
      </c>
      <c r="M20" s="463">
        <f>計分版!J187</f>
        <v>6E-10</v>
      </c>
      <c r="N20" s="463">
        <f>計分版!K187</f>
        <v>6.9999999999999996E-10</v>
      </c>
      <c r="O20" s="463">
        <f>計分版!L187</f>
        <v>8.0000000000000003E-10</v>
      </c>
      <c r="P20" s="463">
        <f>計分版!M187</f>
        <v>8.9999999999999999E-10</v>
      </c>
      <c r="Q20" s="463">
        <f>計分版!N187</f>
        <v>9.5000000000000003E-10</v>
      </c>
      <c r="R20" s="447" t="s">
        <v>1256</v>
      </c>
      <c r="S20" s="35" t="s">
        <v>2431</v>
      </c>
      <c r="T20" s="466"/>
      <c r="U20" s="44"/>
      <c r="V20" s="44"/>
      <c r="W20" s="44"/>
    </row>
    <row r="21" spans="1:27" s="187" customFormat="1" ht="13.5" customHeight="1">
      <c r="A21" s="175" t="s">
        <v>101</v>
      </c>
      <c r="B21" s="175" t="s">
        <v>185</v>
      </c>
      <c r="C21" s="447" t="s">
        <v>189</v>
      </c>
      <c r="D21" s="467">
        <f>CUHK!F26</f>
        <v>29</v>
      </c>
      <c r="E21" s="467">
        <f>CUHK!G26</f>
        <v>29</v>
      </c>
      <c r="F21" s="467">
        <f>CUHK!H26</f>
        <v>26</v>
      </c>
      <c r="G21" s="468">
        <f>計分版!D189</f>
        <v>3.9500000000000006E-9</v>
      </c>
      <c r="H21" s="463">
        <f>計分版!E189</f>
        <v>1E-10</v>
      </c>
      <c r="I21" s="463">
        <f>計分版!F189</f>
        <v>2.0000000000000001E-10</v>
      </c>
      <c r="J21" s="463">
        <f>計分版!G189</f>
        <v>3E-10</v>
      </c>
      <c r="K21" s="463">
        <f>計分版!H189</f>
        <v>4.0000000000000001E-10</v>
      </c>
      <c r="L21" s="463">
        <f>計分版!I189</f>
        <v>5.0000000000000003E-10</v>
      </c>
      <c r="M21" s="463">
        <f>計分版!J189</f>
        <v>6E-10</v>
      </c>
      <c r="N21" s="463">
        <f>計分版!K189</f>
        <v>6.9999999999999996E-10</v>
      </c>
      <c r="O21" s="463">
        <f>計分版!L189</f>
        <v>8.0000000000000003E-10</v>
      </c>
      <c r="P21" s="463">
        <f>計分版!M189</f>
        <v>8.9999999999999999E-10</v>
      </c>
      <c r="Q21" s="463">
        <f>計分版!N189</f>
        <v>9.5000000000000003E-10</v>
      </c>
      <c r="R21" s="447" t="s">
        <v>1256</v>
      </c>
      <c r="S21" s="35" t="s">
        <v>2431</v>
      </c>
      <c r="T21" s="35"/>
      <c r="U21" s="44"/>
      <c r="V21" s="44"/>
      <c r="W21" s="44"/>
    </row>
    <row r="22" spans="1:27" s="187" customFormat="1" ht="13.5" customHeight="1">
      <c r="A22" s="175" t="s">
        <v>102</v>
      </c>
      <c r="B22" s="175" t="s">
        <v>103</v>
      </c>
      <c r="C22" s="445" t="s">
        <v>189</v>
      </c>
      <c r="D22" s="467">
        <f>CUHK!F27</f>
        <v>33.25</v>
      </c>
      <c r="E22" s="467">
        <f>CUHK!G27</f>
        <v>33.25</v>
      </c>
      <c r="F22" s="467">
        <f>CUHK!H27</f>
        <v>31.75</v>
      </c>
      <c r="G22" s="468">
        <f>計分版!D190</f>
        <v>3.4999999999999999E-9</v>
      </c>
      <c r="H22" s="463">
        <f>計分版!E190</f>
        <v>1.5E-10</v>
      </c>
      <c r="I22" s="463">
        <f>計分版!F190</f>
        <v>2.0000000000000001E-10</v>
      </c>
      <c r="J22" s="463">
        <f>計分版!G190</f>
        <v>3E-10</v>
      </c>
      <c r="K22" s="463">
        <f>計分版!H190</f>
        <v>4.0000000000000001E-10</v>
      </c>
      <c r="L22" s="463">
        <f>計分版!I190</f>
        <v>5.0000000000000003E-10</v>
      </c>
      <c r="M22" s="463">
        <f>計分版!J190</f>
        <v>6E-10</v>
      </c>
      <c r="N22" s="463">
        <f>計分版!K190</f>
        <v>6.9999999999999996E-10</v>
      </c>
      <c r="O22" s="463">
        <f>計分版!L190</f>
        <v>8.0000000000000003E-10</v>
      </c>
      <c r="P22" s="463">
        <f>計分版!M190</f>
        <v>8.9999999999999999E-10</v>
      </c>
      <c r="Q22" s="463">
        <f>計分版!N190</f>
        <v>9.5000000000000003E-10</v>
      </c>
      <c r="R22" s="447" t="s">
        <v>1256</v>
      </c>
      <c r="S22" s="35" t="s">
        <v>2431</v>
      </c>
      <c r="T22" s="272"/>
      <c r="U22" s="44"/>
      <c r="V22" s="44"/>
      <c r="W22" s="44"/>
    </row>
    <row r="23" spans="1:27" s="187" customFormat="1" ht="13.5" customHeight="1">
      <c r="A23" s="175" t="s">
        <v>104</v>
      </c>
      <c r="B23" s="175" t="s">
        <v>105</v>
      </c>
      <c r="C23" s="445" t="s">
        <v>189</v>
      </c>
      <c r="D23" s="467">
        <f>CUHK!F28</f>
        <v>34</v>
      </c>
      <c r="E23" s="467">
        <f>CUHK!G28</f>
        <v>32.5</v>
      </c>
      <c r="F23" s="467">
        <f>CUHK!H28</f>
        <v>30.25</v>
      </c>
      <c r="G23" s="468">
        <f>計分版!D191</f>
        <v>3.6500000000000004E-9</v>
      </c>
      <c r="H23" s="463">
        <f>計分版!E191</f>
        <v>1E-10</v>
      </c>
      <c r="I23" s="463">
        <f>計分版!F191</f>
        <v>3E-10</v>
      </c>
      <c r="J23" s="463">
        <f>計分版!G191</f>
        <v>3E-10</v>
      </c>
      <c r="K23" s="463">
        <f>計分版!H191</f>
        <v>4.0000000000000001E-10</v>
      </c>
      <c r="L23" s="463">
        <f>計分版!I191</f>
        <v>5.0000000000000003E-10</v>
      </c>
      <c r="M23" s="463">
        <f>計分版!J191</f>
        <v>6E-10</v>
      </c>
      <c r="N23" s="463">
        <f>計分版!K191</f>
        <v>6.9999999999999996E-10</v>
      </c>
      <c r="O23" s="463">
        <f>計分版!L191</f>
        <v>8.0000000000000003E-10</v>
      </c>
      <c r="P23" s="463">
        <f>計分版!M191</f>
        <v>8.9999999999999999E-10</v>
      </c>
      <c r="Q23" s="463">
        <f>計分版!N191</f>
        <v>9.5000000000000003E-10</v>
      </c>
      <c r="R23" s="447" t="s">
        <v>1256</v>
      </c>
      <c r="S23" s="35" t="s">
        <v>2431</v>
      </c>
      <c r="T23" s="272"/>
      <c r="U23" s="44"/>
      <c r="V23" s="44"/>
      <c r="W23" s="44"/>
    </row>
    <row r="24" spans="1:27" s="187" customFormat="1" ht="13.5" customHeight="1">
      <c r="A24" s="175" t="s">
        <v>106</v>
      </c>
      <c r="B24" s="175" t="s">
        <v>107</v>
      </c>
      <c r="C24" s="445" t="s">
        <v>189</v>
      </c>
      <c r="D24" s="467">
        <f>CUHK!F29</f>
        <v>45.25</v>
      </c>
      <c r="E24" s="467">
        <f>CUHK!G29</f>
        <v>40</v>
      </c>
      <c r="F24" s="467">
        <f>CUHK!H29</f>
        <v>39.5</v>
      </c>
      <c r="G24" s="468">
        <f>計分版!D192</f>
        <v>3.8499999999999997E-9</v>
      </c>
      <c r="H24" s="463">
        <f>計分版!E192</f>
        <v>1.5E-10</v>
      </c>
      <c r="I24" s="463">
        <f>計分版!F192</f>
        <v>3E-10</v>
      </c>
      <c r="J24" s="463">
        <f>計分版!G192</f>
        <v>4.5E-10</v>
      </c>
      <c r="K24" s="463">
        <f>計分版!H192</f>
        <v>4.0000000000000001E-10</v>
      </c>
      <c r="L24" s="463">
        <f>計分版!I192</f>
        <v>7.500000000000001E-10</v>
      </c>
      <c r="M24" s="463">
        <f>計分版!J192</f>
        <v>6E-10</v>
      </c>
      <c r="N24" s="463">
        <f>計分版!K192</f>
        <v>6.9999999999999996E-10</v>
      </c>
      <c r="O24" s="463">
        <f>計分版!L192</f>
        <v>8.0000000000000003E-10</v>
      </c>
      <c r="P24" s="463">
        <f>計分版!M192</f>
        <v>8.9999999999999999E-10</v>
      </c>
      <c r="Q24" s="463">
        <f>計分版!N192</f>
        <v>9.5000000000000003E-10</v>
      </c>
      <c r="R24" s="447" t="s">
        <v>1256</v>
      </c>
      <c r="S24" s="35" t="s">
        <v>2431</v>
      </c>
      <c r="T24" s="272"/>
      <c r="U24" s="44"/>
      <c r="V24" s="44"/>
      <c r="W24" s="44"/>
    </row>
    <row r="25" spans="1:27" s="187" customFormat="1" ht="13.5" customHeight="1">
      <c r="A25" s="175" t="s">
        <v>109</v>
      </c>
      <c r="B25" s="175" t="s">
        <v>167</v>
      </c>
      <c r="C25" s="447" t="s">
        <v>362</v>
      </c>
      <c r="D25" s="467">
        <f>CUHK!F37</f>
        <v>43</v>
      </c>
      <c r="E25" s="467">
        <f>CUHK!G37</f>
        <v>42</v>
      </c>
      <c r="F25" s="467">
        <f>CUHK!H37</f>
        <v>41</v>
      </c>
      <c r="G25" s="468">
        <f>計分版!D200</f>
        <v>3.8499999999999997E-9</v>
      </c>
      <c r="H25" s="463">
        <f>計分版!E200</f>
        <v>3E-10</v>
      </c>
      <c r="I25" s="463">
        <f>計分版!F200</f>
        <v>2.0000000000000001E-10</v>
      </c>
      <c r="J25" s="463">
        <f>計分版!G200</f>
        <v>3E-10</v>
      </c>
      <c r="K25" s="463">
        <f>計分版!H200</f>
        <v>4.0000000000000001E-10</v>
      </c>
      <c r="L25" s="463" t="str">
        <f>計分版!I200</f>
        <v>/</v>
      </c>
      <c r="M25" s="463" t="str">
        <f>計分版!J200</f>
        <v/>
      </c>
      <c r="N25" s="463" t="str">
        <f>計分版!K200</f>
        <v/>
      </c>
      <c r="O25" s="463">
        <f>計分版!L200</f>
        <v>8.0000000000000003E-10</v>
      </c>
      <c r="P25" s="463">
        <f>計分版!M200</f>
        <v>8.9999999999999999E-10</v>
      </c>
      <c r="Q25" s="463">
        <f>計分版!N200</f>
        <v>9.5000000000000003E-10</v>
      </c>
      <c r="R25" s="447" t="s">
        <v>1257</v>
      </c>
      <c r="S25" s="35" t="s">
        <v>2431</v>
      </c>
      <c r="T25" s="35"/>
      <c r="U25" s="44"/>
      <c r="V25" s="44"/>
      <c r="W25" s="44"/>
    </row>
    <row r="26" spans="1:27" s="187" customFormat="1" ht="13.5" customHeight="1">
      <c r="A26" s="175" t="s">
        <v>110</v>
      </c>
      <c r="B26" s="175" t="s">
        <v>168</v>
      </c>
      <c r="C26" s="447" t="s">
        <v>362</v>
      </c>
      <c r="D26" s="467">
        <f>CUHK!F38</f>
        <v>48</v>
      </c>
      <c r="E26" s="467">
        <f>CUHK!G38</f>
        <v>47</v>
      </c>
      <c r="F26" s="467">
        <f>CUHK!H38</f>
        <v>46</v>
      </c>
      <c r="G26" s="468">
        <f>計分版!D201</f>
        <v>3.8499999999999997E-9</v>
      </c>
      <c r="H26" s="463">
        <f>計分版!E201</f>
        <v>3E-10</v>
      </c>
      <c r="I26" s="463">
        <f>計分版!F201</f>
        <v>2.0000000000000001E-10</v>
      </c>
      <c r="J26" s="463">
        <f>計分版!G201</f>
        <v>3E-10</v>
      </c>
      <c r="K26" s="463">
        <f>計分版!H201</f>
        <v>4.0000000000000001E-10</v>
      </c>
      <c r="L26" s="463" t="str">
        <f>計分版!I201</f>
        <v>/</v>
      </c>
      <c r="M26" s="463" t="str">
        <f>計分版!J201</f>
        <v/>
      </c>
      <c r="N26" s="463" t="str">
        <f>計分版!K201</f>
        <v/>
      </c>
      <c r="O26" s="463">
        <f>計分版!L201</f>
        <v>8.0000000000000003E-10</v>
      </c>
      <c r="P26" s="463">
        <f>計分版!M201</f>
        <v>8.9999999999999999E-10</v>
      </c>
      <c r="Q26" s="463">
        <f>計分版!N201</f>
        <v>9.5000000000000003E-10</v>
      </c>
      <c r="R26" s="447" t="s">
        <v>1257</v>
      </c>
      <c r="S26" s="35" t="s">
        <v>2431</v>
      </c>
      <c r="T26" s="35"/>
      <c r="U26" s="44"/>
      <c r="V26" s="44"/>
      <c r="W26" s="44"/>
    </row>
    <row r="27" spans="1:27" s="187" customFormat="1" ht="13.5" customHeight="1">
      <c r="A27" s="175" t="s">
        <v>113</v>
      </c>
      <c r="B27" s="175" t="s">
        <v>114</v>
      </c>
      <c r="C27" s="447" t="s">
        <v>190</v>
      </c>
      <c r="D27" s="467">
        <f>CUHK!F40</f>
        <v>37.5</v>
      </c>
      <c r="E27" s="467">
        <f>CUHK!G40</f>
        <v>36</v>
      </c>
      <c r="F27" s="467">
        <f>CUHK!H40</f>
        <v>34.5</v>
      </c>
      <c r="G27" s="468">
        <f>計分版!D203</f>
        <v>2.8499999999999999E-9</v>
      </c>
      <c r="H27" s="463">
        <f>計分版!E203</f>
        <v>1E-10</v>
      </c>
      <c r="I27" s="463">
        <f>計分版!F203</f>
        <v>2.0000000000000001E-10</v>
      </c>
      <c r="J27" s="463">
        <f>計分版!G203</f>
        <v>3E-10</v>
      </c>
      <c r="K27" s="463">
        <f>計分版!H203</f>
        <v>4.0000000000000001E-10</v>
      </c>
      <c r="L27" s="463">
        <f>計分版!I203</f>
        <v>5.0000000000000003E-10</v>
      </c>
      <c r="M27" s="463">
        <f>計分版!J203</f>
        <v>6E-10</v>
      </c>
      <c r="N27" s="463">
        <f>計分版!K203</f>
        <v>6.9999999999999996E-10</v>
      </c>
      <c r="O27" s="463">
        <f>計分版!L203</f>
        <v>8.0000000000000003E-10</v>
      </c>
      <c r="P27" s="463">
        <f>計分版!M203</f>
        <v>8.9999999999999999E-10</v>
      </c>
      <c r="Q27" s="463">
        <f>計分版!N203</f>
        <v>9.5000000000000003E-10</v>
      </c>
      <c r="R27" s="447" t="s">
        <v>1256</v>
      </c>
      <c r="S27" s="35" t="s">
        <v>2431</v>
      </c>
      <c r="T27" s="35"/>
      <c r="U27" s="44"/>
      <c r="V27" s="44"/>
      <c r="W27" s="44"/>
    </row>
    <row r="28" spans="1:27" s="187" customFormat="1" ht="13.5" customHeight="1">
      <c r="A28" s="175" t="s">
        <v>133</v>
      </c>
      <c r="B28" s="175" t="s">
        <v>134</v>
      </c>
      <c r="C28" s="445" t="s">
        <v>190</v>
      </c>
      <c r="D28" s="467">
        <f>CUHK!F54</f>
        <v>37.75</v>
      </c>
      <c r="E28" s="467">
        <f>CUHK!G54</f>
        <v>35.5</v>
      </c>
      <c r="F28" s="467">
        <f>CUHK!H54</f>
        <v>33.625</v>
      </c>
      <c r="G28" s="468">
        <f>計分版!D217</f>
        <v>3.0750000000000002E-9</v>
      </c>
      <c r="H28" s="463">
        <f>計分版!E217</f>
        <v>1.2500000000000001E-10</v>
      </c>
      <c r="I28" s="463">
        <f>計分版!F217</f>
        <v>3E-10</v>
      </c>
      <c r="J28" s="463">
        <f>計分版!G217</f>
        <v>3E-10</v>
      </c>
      <c r="K28" s="463">
        <f>計分版!H217</f>
        <v>5.0000000000000003E-10</v>
      </c>
      <c r="L28" s="463">
        <f>計分版!I217</f>
        <v>5.0000000000000003E-10</v>
      </c>
      <c r="M28" s="463">
        <f>計分版!J217</f>
        <v>6E-10</v>
      </c>
      <c r="N28" s="463">
        <f>計分版!K217</f>
        <v>6.9999999999999996E-10</v>
      </c>
      <c r="O28" s="463">
        <f>計分版!L217</f>
        <v>8.0000000000000003E-10</v>
      </c>
      <c r="P28" s="463">
        <f>計分版!M217</f>
        <v>8.9999999999999999E-10</v>
      </c>
      <c r="Q28" s="463">
        <f>計分版!N217</f>
        <v>9.5000000000000003E-10</v>
      </c>
      <c r="R28" s="447" t="s">
        <v>1257</v>
      </c>
      <c r="S28" s="35" t="s">
        <v>2431</v>
      </c>
      <c r="T28" s="272"/>
      <c r="U28" s="44"/>
      <c r="V28" s="44"/>
      <c r="W28" s="44"/>
    </row>
    <row r="29" spans="1:27" s="187" customFormat="1" ht="13.5" customHeight="1">
      <c r="A29" s="175" t="s">
        <v>143</v>
      </c>
      <c r="B29" s="175" t="s">
        <v>144</v>
      </c>
      <c r="C29" s="445" t="s">
        <v>190</v>
      </c>
      <c r="D29" s="467">
        <f>CUHK!F62</f>
        <v>52</v>
      </c>
      <c r="E29" s="467">
        <f>CUHK!G62</f>
        <v>47.5</v>
      </c>
      <c r="F29" s="467">
        <f>CUHK!H62</f>
        <v>46.75</v>
      </c>
      <c r="G29" s="468">
        <f>計分版!D225</f>
        <v>3.4999999999999999E-9</v>
      </c>
      <c r="H29" s="463">
        <f>計分版!E225</f>
        <v>1.5E-10</v>
      </c>
      <c r="I29" s="463">
        <f>計分版!F225</f>
        <v>4.0000000000000001E-10</v>
      </c>
      <c r="J29" s="463">
        <f>計分版!G225</f>
        <v>3E-10</v>
      </c>
      <c r="K29" s="463">
        <f>計分版!H225</f>
        <v>8.0000000000000003E-10</v>
      </c>
      <c r="L29" s="463">
        <f>計分版!I225</f>
        <v>5.0000000000000003E-10</v>
      </c>
      <c r="M29" s="463">
        <f>計分版!J225</f>
        <v>6E-10</v>
      </c>
      <c r="N29" s="463">
        <f>計分版!K225</f>
        <v>6.9999999999999996E-10</v>
      </c>
      <c r="O29" s="463">
        <f>計分版!L225</f>
        <v>8.0000000000000003E-10</v>
      </c>
      <c r="P29" s="463">
        <f>計分版!M225</f>
        <v>8.9999999999999999E-10</v>
      </c>
      <c r="Q29" s="463">
        <f>計分版!N225</f>
        <v>9.5000000000000003E-10</v>
      </c>
      <c r="R29" s="447" t="s">
        <v>1256</v>
      </c>
      <c r="S29" s="35" t="s">
        <v>2431</v>
      </c>
      <c r="T29" s="272"/>
      <c r="U29" s="44"/>
      <c r="V29" s="44"/>
      <c r="W29" s="44"/>
    </row>
    <row r="30" spans="1:27" s="187" customFormat="1" ht="13.5" customHeight="1">
      <c r="A30" s="175"/>
      <c r="B30" s="175"/>
      <c r="C30" s="175"/>
      <c r="D30" s="175"/>
      <c r="E30" s="447"/>
      <c r="F30" s="447"/>
      <c r="G30" s="447"/>
      <c r="H30" s="447"/>
      <c r="I30" s="447"/>
      <c r="J30" s="447"/>
      <c r="K30" s="447"/>
      <c r="L30" s="447"/>
      <c r="M30" s="447"/>
      <c r="N30" s="447"/>
      <c r="O30" s="175"/>
      <c r="P30" s="175"/>
      <c r="Q30" s="175"/>
      <c r="R30" s="447"/>
      <c r="S30" s="175"/>
    </row>
    <row r="31" spans="1:27" s="187" customFormat="1" ht="13.5" customHeight="1">
      <c r="A31" s="175"/>
      <c r="B31" s="175"/>
      <c r="C31" s="175"/>
      <c r="D31" s="175"/>
      <c r="E31" s="447"/>
      <c r="F31" s="447"/>
      <c r="G31" s="447"/>
      <c r="H31" s="447"/>
      <c r="I31" s="447"/>
      <c r="J31" s="447"/>
      <c r="K31" s="447"/>
      <c r="L31" s="447"/>
      <c r="M31" s="447"/>
      <c r="N31" s="447"/>
      <c r="O31" s="175"/>
      <c r="P31" s="175"/>
      <c r="Q31" s="175"/>
      <c r="R31" s="447"/>
      <c r="S31" s="175"/>
    </row>
    <row r="32" spans="1:27" s="35" customFormat="1" ht="13.5" customHeight="1">
      <c r="A32" s="461" t="s">
        <v>1712</v>
      </c>
      <c r="B32" s="448"/>
      <c r="C32" s="448"/>
      <c r="D32" s="448" t="s">
        <v>299</v>
      </c>
      <c r="E32" s="448" t="s">
        <v>300</v>
      </c>
      <c r="F32" s="448" t="s">
        <v>301</v>
      </c>
      <c r="G32" s="448" t="s">
        <v>2379</v>
      </c>
      <c r="H32" s="448" t="s">
        <v>2359</v>
      </c>
      <c r="I32" s="448" t="s">
        <v>2360</v>
      </c>
      <c r="J32" s="448" t="s">
        <v>2361</v>
      </c>
      <c r="K32" s="448" t="s">
        <v>2362</v>
      </c>
      <c r="L32" s="448" t="s">
        <v>2363</v>
      </c>
      <c r="M32" s="448" t="s">
        <v>16</v>
      </c>
      <c r="N32" s="448" t="s">
        <v>8</v>
      </c>
      <c r="O32" s="448" t="s">
        <v>2353</v>
      </c>
      <c r="P32" s="448" t="s">
        <v>2037</v>
      </c>
      <c r="Q32" s="448" t="s">
        <v>2176</v>
      </c>
      <c r="R32" s="448" t="s">
        <v>2365</v>
      </c>
      <c r="S32" s="448" t="s">
        <v>2368</v>
      </c>
      <c r="T32" s="470"/>
      <c r="U32" s="470"/>
      <c r="V32" s="470"/>
      <c r="W32" s="470"/>
      <c r="X32" s="470"/>
      <c r="Y32" s="470"/>
      <c r="Z32" s="470"/>
      <c r="AA32" s="470"/>
    </row>
    <row r="33" spans="1:19" s="187" customFormat="1" ht="14.4">
      <c r="A33" s="175" t="s">
        <v>206</v>
      </c>
      <c r="B33" s="175" t="s">
        <v>207</v>
      </c>
      <c r="C33" s="175" t="s">
        <v>548</v>
      </c>
      <c r="D33" s="467">
        <f>HKU!F2</f>
        <v>36</v>
      </c>
      <c r="E33" s="467">
        <f>HKU!G2</f>
        <v>35</v>
      </c>
      <c r="F33" s="467">
        <f>HKU!H2</f>
        <v>33</v>
      </c>
      <c r="G33" s="468">
        <f>計分版!D256</f>
        <v>4.450000000000001E-9</v>
      </c>
      <c r="H33" s="463">
        <f>計分版!E256</f>
        <v>1E-10</v>
      </c>
      <c r="I33" s="463">
        <f>計分版!F256</f>
        <v>2.0000000000000001E-10</v>
      </c>
      <c r="J33" s="463">
        <f>計分版!G256</f>
        <v>3E-10</v>
      </c>
      <c r="K33" s="463">
        <f>計分版!H256</f>
        <v>4.0000000000000001E-10</v>
      </c>
      <c r="L33" s="463">
        <f>計分版!I256</f>
        <v>5.0000000000000003E-10</v>
      </c>
      <c r="M33" s="463">
        <f>計分版!J256</f>
        <v>6E-10</v>
      </c>
      <c r="N33" s="463">
        <f>計分版!K256</f>
        <v>6.9999999999999996E-10</v>
      </c>
      <c r="O33" s="463">
        <f>計分版!L256</f>
        <v>8.0000000000000003E-10</v>
      </c>
      <c r="P33" s="463">
        <f>計分版!M256</f>
        <v>8.9999999999999999E-10</v>
      </c>
      <c r="Q33" s="463">
        <f>計分版!N256</f>
        <v>9.5000000000000003E-10</v>
      </c>
      <c r="R33" s="469"/>
      <c r="S33" s="175" t="s">
        <v>2370</v>
      </c>
    </row>
    <row r="34" spans="1:19" s="187" customFormat="1" ht="14.4">
      <c r="A34" s="175" t="s">
        <v>208</v>
      </c>
      <c r="B34" s="175" t="s">
        <v>209</v>
      </c>
      <c r="C34" s="175" t="s">
        <v>189</v>
      </c>
      <c r="D34" s="467">
        <f>HKU!F3</f>
        <v>32</v>
      </c>
      <c r="E34" s="467">
        <f>HKU!G3</f>
        <v>31</v>
      </c>
      <c r="F34" s="467">
        <f>HKU!H3</f>
        <v>29</v>
      </c>
      <c r="G34" s="468">
        <f>計分版!D257</f>
        <v>3.9500000000000006E-9</v>
      </c>
      <c r="H34" s="463">
        <f>計分版!E257</f>
        <v>1E-10</v>
      </c>
      <c r="I34" s="463">
        <f>計分版!F257</f>
        <v>2.0000000000000001E-10</v>
      </c>
      <c r="J34" s="463">
        <f>計分版!G257</f>
        <v>3E-10</v>
      </c>
      <c r="K34" s="463">
        <f>計分版!H257</f>
        <v>4.0000000000000001E-10</v>
      </c>
      <c r="L34" s="463">
        <f>計分版!I257</f>
        <v>5.0000000000000003E-10</v>
      </c>
      <c r="M34" s="463">
        <f>計分版!J257</f>
        <v>6E-10</v>
      </c>
      <c r="N34" s="463">
        <f>計分版!K257</f>
        <v>6.9999999999999996E-10</v>
      </c>
      <c r="O34" s="463">
        <f>計分版!L257</f>
        <v>8.0000000000000003E-10</v>
      </c>
      <c r="P34" s="463">
        <f>計分版!M257</f>
        <v>8.9999999999999999E-10</v>
      </c>
      <c r="Q34" s="463">
        <f>計分版!N257</f>
        <v>9.5000000000000003E-10</v>
      </c>
      <c r="R34" s="469"/>
      <c r="S34" s="175" t="s">
        <v>2372</v>
      </c>
    </row>
    <row r="35" spans="1:19" s="187" customFormat="1" ht="14.4">
      <c r="A35" s="175" t="s">
        <v>210</v>
      </c>
      <c r="B35" s="175" t="s">
        <v>211</v>
      </c>
      <c r="C35" s="175" t="s">
        <v>189</v>
      </c>
      <c r="D35" s="467">
        <f>HKU!F4</f>
        <v>28</v>
      </c>
      <c r="E35" s="467">
        <f>HKU!G4</f>
        <v>28</v>
      </c>
      <c r="F35" s="467">
        <f>HKU!H4</f>
        <v>28</v>
      </c>
      <c r="G35" s="468">
        <f>計分版!D258</f>
        <v>3.9500000000000006E-9</v>
      </c>
      <c r="H35" s="463">
        <f>計分版!E258</f>
        <v>1E-10</v>
      </c>
      <c r="I35" s="463">
        <f>計分版!F258</f>
        <v>2.0000000000000001E-10</v>
      </c>
      <c r="J35" s="463">
        <f>計分版!G258</f>
        <v>3E-10</v>
      </c>
      <c r="K35" s="463">
        <f>計分版!H258</f>
        <v>4.0000000000000001E-10</v>
      </c>
      <c r="L35" s="463">
        <f>計分版!I258</f>
        <v>5.0000000000000003E-10</v>
      </c>
      <c r="M35" s="463">
        <f>計分版!J258</f>
        <v>6E-10</v>
      </c>
      <c r="N35" s="463">
        <f>計分版!K258</f>
        <v>6.9999999999999996E-10</v>
      </c>
      <c r="O35" s="463">
        <f>計分版!L258</f>
        <v>8.0000000000000003E-10</v>
      </c>
      <c r="P35" s="463">
        <f>計分版!M258</f>
        <v>8.9999999999999999E-10</v>
      </c>
      <c r="Q35" s="463">
        <f>計分版!N258</f>
        <v>9.5000000000000003E-10</v>
      </c>
      <c r="R35" s="469"/>
      <c r="S35" s="175" t="s">
        <v>2369</v>
      </c>
    </row>
    <row r="36" spans="1:19" s="187" customFormat="1" ht="14.4">
      <c r="A36" s="175" t="s">
        <v>212</v>
      </c>
      <c r="B36" s="175" t="s">
        <v>213</v>
      </c>
      <c r="C36" s="175" t="s">
        <v>189</v>
      </c>
      <c r="D36" s="467">
        <f>HKU!F5</f>
        <v>31</v>
      </c>
      <c r="E36" s="467">
        <f>HKU!G5</f>
        <v>29</v>
      </c>
      <c r="F36" s="467">
        <f>HKU!H5</f>
        <v>28</v>
      </c>
      <c r="G36" s="468">
        <f>計分版!D259</f>
        <v>3.9500000000000006E-9</v>
      </c>
      <c r="H36" s="463">
        <f>計分版!E259</f>
        <v>1E-10</v>
      </c>
      <c r="I36" s="463">
        <f>計分版!F259</f>
        <v>2.0000000000000001E-10</v>
      </c>
      <c r="J36" s="463">
        <f>計分版!G259</f>
        <v>3E-10</v>
      </c>
      <c r="K36" s="463">
        <f>計分版!H259</f>
        <v>4.0000000000000001E-10</v>
      </c>
      <c r="L36" s="463">
        <f>計分版!I259</f>
        <v>5.0000000000000003E-10</v>
      </c>
      <c r="M36" s="463">
        <f>計分版!J259</f>
        <v>6E-10</v>
      </c>
      <c r="N36" s="463">
        <f>計分版!K259</f>
        <v>6.9999999999999996E-10</v>
      </c>
      <c r="O36" s="463">
        <f>計分版!L259</f>
        <v>8.0000000000000003E-10</v>
      </c>
      <c r="P36" s="463">
        <f>計分版!M259</f>
        <v>8.9999999999999999E-10</v>
      </c>
      <c r="Q36" s="463">
        <f>計分版!N259</f>
        <v>9.5000000000000003E-10</v>
      </c>
      <c r="R36" s="469"/>
      <c r="S36" s="175" t="s">
        <v>2371</v>
      </c>
    </row>
    <row r="37" spans="1:19" s="187" customFormat="1" ht="14.4">
      <c r="A37" s="175" t="s">
        <v>214</v>
      </c>
      <c r="B37" s="175" t="s">
        <v>215</v>
      </c>
      <c r="C37" s="175" t="s">
        <v>189</v>
      </c>
      <c r="D37" s="467">
        <f>HKU!F6</f>
        <v>26</v>
      </c>
      <c r="E37" s="467">
        <f>HKU!G6</f>
        <v>25</v>
      </c>
      <c r="F37" s="467">
        <f>HKU!H6</f>
        <v>24</v>
      </c>
      <c r="G37" s="468">
        <f>計分版!D260</f>
        <v>3.5500000000000004E-9</v>
      </c>
      <c r="H37" s="463">
        <f>計分版!E260</f>
        <v>1E-10</v>
      </c>
      <c r="I37" s="463">
        <f>計分版!F260</f>
        <v>2.0000000000000001E-10</v>
      </c>
      <c r="J37" s="463">
        <f>計分版!G260</f>
        <v>3E-10</v>
      </c>
      <c r="K37" s="463">
        <f>計分版!H260</f>
        <v>4.0000000000000001E-10</v>
      </c>
      <c r="L37" s="463">
        <f>計分版!I260</f>
        <v>5.0000000000000003E-10</v>
      </c>
      <c r="M37" s="463">
        <f>計分版!J260</f>
        <v>6E-10</v>
      </c>
      <c r="N37" s="463">
        <f>計分版!K260</f>
        <v>6.9999999999999996E-10</v>
      </c>
      <c r="O37" s="463">
        <f>計分版!L260</f>
        <v>8.0000000000000003E-10</v>
      </c>
      <c r="P37" s="463">
        <f>計分版!M260</f>
        <v>8.9999999999999999E-10</v>
      </c>
      <c r="Q37" s="463">
        <f>計分版!N260</f>
        <v>9.5000000000000003E-10</v>
      </c>
      <c r="R37" s="469"/>
      <c r="S37" s="175" t="s">
        <v>2370</v>
      </c>
    </row>
    <row r="38" spans="1:19" s="187" customFormat="1" ht="14.4">
      <c r="A38" s="175" t="s">
        <v>257</v>
      </c>
      <c r="B38" s="175" t="s">
        <v>258</v>
      </c>
      <c r="C38" s="175" t="s">
        <v>548</v>
      </c>
      <c r="D38" s="467">
        <f>HKU!F7</f>
        <v>37</v>
      </c>
      <c r="E38" s="467">
        <f>HKU!G7</f>
        <v>36</v>
      </c>
      <c r="F38" s="467">
        <f>HKU!H7</f>
        <v>34</v>
      </c>
      <c r="G38" s="468">
        <f>計分版!D261</f>
        <v>3.7500000000000005E-9</v>
      </c>
      <c r="H38" s="463">
        <f>計分版!E261</f>
        <v>1E-10</v>
      </c>
      <c r="I38" s="463">
        <f>計分版!F261</f>
        <v>3E-10</v>
      </c>
      <c r="J38" s="463">
        <f>計分版!G261</f>
        <v>4.5E-10</v>
      </c>
      <c r="K38" s="463">
        <f>計分版!H261</f>
        <v>4.0000000000000001E-10</v>
      </c>
      <c r="L38" s="463">
        <f>計分版!I261</f>
        <v>5.0000000000000003E-10</v>
      </c>
      <c r="M38" s="463">
        <f>計分版!J261</f>
        <v>6E-10</v>
      </c>
      <c r="N38" s="463">
        <f>計分版!K261</f>
        <v>6.9999999999999996E-10</v>
      </c>
      <c r="O38" s="463">
        <f>計分版!L261</f>
        <v>8.0000000000000003E-10</v>
      </c>
      <c r="P38" s="463">
        <f>計分版!M261</f>
        <v>8.9999999999999999E-10</v>
      </c>
      <c r="Q38" s="463">
        <f>計分版!N261</f>
        <v>9.5000000000000003E-10</v>
      </c>
      <c r="R38" s="469"/>
      <c r="S38" s="175" t="s">
        <v>2373</v>
      </c>
    </row>
    <row r="39" spans="1:19" s="187" customFormat="1" ht="14.4">
      <c r="A39" s="175" t="s">
        <v>259</v>
      </c>
      <c r="B39" s="175" t="s">
        <v>260</v>
      </c>
      <c r="C39" s="175" t="s">
        <v>548</v>
      </c>
      <c r="D39" s="467">
        <f>HKU!F8</f>
        <v>39</v>
      </c>
      <c r="E39" s="467">
        <f>HKU!G8</f>
        <v>36</v>
      </c>
      <c r="F39" s="467">
        <f>HKU!H8</f>
        <v>35</v>
      </c>
      <c r="G39" s="468">
        <f>計分版!D262</f>
        <v>4.0499999999999999E-9</v>
      </c>
      <c r="H39" s="463">
        <f>計分版!E262</f>
        <v>1E-10</v>
      </c>
      <c r="I39" s="463">
        <f>計分版!F262</f>
        <v>3E-10</v>
      </c>
      <c r="J39" s="463">
        <f>計分版!G262</f>
        <v>3E-10</v>
      </c>
      <c r="K39" s="463">
        <f>計分版!H262</f>
        <v>4.0000000000000001E-10</v>
      </c>
      <c r="L39" s="463">
        <f>計分版!I262</f>
        <v>5.0000000000000003E-10</v>
      </c>
      <c r="M39" s="463">
        <f>計分版!J262</f>
        <v>6E-10</v>
      </c>
      <c r="N39" s="463">
        <f>計分版!K262</f>
        <v>6.9999999999999996E-10</v>
      </c>
      <c r="O39" s="463">
        <f>計分版!L262</f>
        <v>8.0000000000000003E-10</v>
      </c>
      <c r="P39" s="463">
        <f>計分版!M262</f>
        <v>8.9999999999999999E-10</v>
      </c>
      <c r="Q39" s="463">
        <f>計分版!N262</f>
        <v>9.5000000000000003E-10</v>
      </c>
      <c r="R39" s="469"/>
      <c r="S39" s="175" t="s">
        <v>2373</v>
      </c>
    </row>
    <row r="40" spans="1:19" s="187" customFormat="1" ht="14.4">
      <c r="A40" s="175" t="s">
        <v>269</v>
      </c>
      <c r="B40" s="175" t="s">
        <v>270</v>
      </c>
      <c r="C40" s="175" t="s">
        <v>548</v>
      </c>
      <c r="D40" s="467">
        <f>HKU!F9</f>
        <v>45</v>
      </c>
      <c r="E40" s="467">
        <f>HKU!G9</f>
        <v>44</v>
      </c>
      <c r="F40" s="467">
        <f>HKU!H9</f>
        <v>43</v>
      </c>
      <c r="G40" s="468">
        <f>計分版!D263</f>
        <v>4.0499999999999999E-9</v>
      </c>
      <c r="H40" s="463">
        <f>計分版!E263</f>
        <v>1E-10</v>
      </c>
      <c r="I40" s="463">
        <f>計分版!F263</f>
        <v>3E-10</v>
      </c>
      <c r="J40" s="463">
        <f>計分版!G263</f>
        <v>3E-10</v>
      </c>
      <c r="K40" s="463">
        <f>計分版!H263</f>
        <v>4.0000000000000001E-10</v>
      </c>
      <c r="L40" s="463">
        <f>計分版!I263</f>
        <v>5.0000000000000003E-10</v>
      </c>
      <c r="M40" s="463">
        <f>計分版!J263</f>
        <v>6E-10</v>
      </c>
      <c r="N40" s="463">
        <f>計分版!K263</f>
        <v>6.9999999999999996E-10</v>
      </c>
      <c r="O40" s="463">
        <f>計分版!L263</f>
        <v>8.0000000000000003E-10</v>
      </c>
      <c r="P40" s="463">
        <f>計分版!M263</f>
        <v>8.9999999999999999E-10</v>
      </c>
      <c r="Q40" s="463">
        <f>計分版!N263</f>
        <v>9.5000000000000003E-10</v>
      </c>
      <c r="R40" s="469"/>
      <c r="S40" s="175" t="s">
        <v>2373</v>
      </c>
    </row>
    <row r="41" spans="1:19" s="187" customFormat="1" ht="14.4">
      <c r="A41" s="175" t="s">
        <v>261</v>
      </c>
      <c r="B41" s="175" t="s">
        <v>262</v>
      </c>
      <c r="C41" s="175" t="s">
        <v>548</v>
      </c>
      <c r="D41" s="467">
        <f>HKU!F10</f>
        <v>39</v>
      </c>
      <c r="E41" s="467">
        <f>HKU!G10</f>
        <v>36</v>
      </c>
      <c r="F41" s="467">
        <f>HKU!H10</f>
        <v>34</v>
      </c>
      <c r="G41" s="468">
        <f>計分版!D264</f>
        <v>3.7500000000000005E-9</v>
      </c>
      <c r="H41" s="463">
        <f>計分版!E264</f>
        <v>1E-10</v>
      </c>
      <c r="I41" s="463">
        <f>計分版!F264</f>
        <v>3E-10</v>
      </c>
      <c r="J41" s="463">
        <f>計分版!G264</f>
        <v>4.5E-10</v>
      </c>
      <c r="K41" s="463">
        <f>計分版!H264</f>
        <v>4.0000000000000001E-10</v>
      </c>
      <c r="L41" s="463">
        <f>計分版!I264</f>
        <v>5.0000000000000003E-10</v>
      </c>
      <c r="M41" s="463">
        <f>計分版!J264</f>
        <v>6E-10</v>
      </c>
      <c r="N41" s="463">
        <f>計分版!K264</f>
        <v>6.9999999999999996E-10</v>
      </c>
      <c r="O41" s="463">
        <f>計分版!L264</f>
        <v>8.0000000000000003E-10</v>
      </c>
      <c r="P41" s="463">
        <f>計分版!M264</f>
        <v>8.9999999999999999E-10</v>
      </c>
      <c r="Q41" s="463">
        <f>計分版!N264</f>
        <v>9.5000000000000003E-10</v>
      </c>
      <c r="R41" s="469"/>
      <c r="S41" s="175" t="s">
        <v>2373</v>
      </c>
    </row>
    <row r="42" spans="1:19" s="187" customFormat="1" ht="14.4">
      <c r="A42" s="175" t="s">
        <v>263</v>
      </c>
      <c r="B42" s="175" t="s">
        <v>264</v>
      </c>
      <c r="C42" s="175" t="s">
        <v>548</v>
      </c>
      <c r="D42" s="467">
        <f>HKU!F11</f>
        <v>51</v>
      </c>
      <c r="E42" s="467">
        <f>HKU!G11</f>
        <v>47</v>
      </c>
      <c r="F42" s="467">
        <f>HKU!H11</f>
        <v>45</v>
      </c>
      <c r="G42" s="468">
        <f>計分版!D265</f>
        <v>4.0499999999999999E-9</v>
      </c>
      <c r="H42" s="463">
        <f>計分版!E265</f>
        <v>1E-10</v>
      </c>
      <c r="I42" s="463">
        <f>計分版!F265</f>
        <v>3E-10</v>
      </c>
      <c r="J42" s="463">
        <f>計分版!G265</f>
        <v>3E-10</v>
      </c>
      <c r="K42" s="463">
        <f>計分版!H265</f>
        <v>4.0000000000000001E-10</v>
      </c>
      <c r="L42" s="463">
        <f>計分版!I265</f>
        <v>5.0000000000000003E-10</v>
      </c>
      <c r="M42" s="463">
        <f>計分版!J265</f>
        <v>6E-10</v>
      </c>
      <c r="N42" s="463">
        <f>計分版!K265</f>
        <v>6.9999999999999996E-10</v>
      </c>
      <c r="O42" s="463">
        <f>計分版!L265</f>
        <v>8.0000000000000003E-10</v>
      </c>
      <c r="P42" s="463">
        <f>計分版!M265</f>
        <v>8.9999999999999999E-10</v>
      </c>
      <c r="Q42" s="463">
        <f>計分版!N265</f>
        <v>9.5000000000000003E-10</v>
      </c>
      <c r="R42" s="469"/>
      <c r="S42" s="175" t="s">
        <v>2373</v>
      </c>
    </row>
    <row r="43" spans="1:19" s="187" customFormat="1" ht="14.4">
      <c r="A43" s="175" t="s">
        <v>271</v>
      </c>
      <c r="B43" s="175" t="s">
        <v>272</v>
      </c>
      <c r="C43" s="175" t="s">
        <v>548</v>
      </c>
      <c r="D43" s="467">
        <f>HKU!F12</f>
        <v>48</v>
      </c>
      <c r="E43" s="467">
        <f>HKU!G12</f>
        <v>46</v>
      </c>
      <c r="F43" s="467">
        <f>HKU!H12</f>
        <v>44</v>
      </c>
      <c r="G43" s="468">
        <f>計分版!D266</f>
        <v>3.7E-9</v>
      </c>
      <c r="H43" s="463">
        <f>計分版!E266</f>
        <v>1E-10</v>
      </c>
      <c r="I43" s="463">
        <f>計分版!F266</f>
        <v>3E-10</v>
      </c>
      <c r="J43" s="463">
        <f>計分版!G266</f>
        <v>3.75E-10</v>
      </c>
      <c r="K43" s="463">
        <f>計分版!H266</f>
        <v>4.0000000000000001E-10</v>
      </c>
      <c r="L43" s="463">
        <f>計分版!I266</f>
        <v>6.2500000000000001E-10</v>
      </c>
      <c r="M43" s="463">
        <f>計分版!J266</f>
        <v>6E-10</v>
      </c>
      <c r="N43" s="463">
        <f>計分版!K266</f>
        <v>6.9999999999999996E-10</v>
      </c>
      <c r="O43" s="463">
        <f>計分版!L266</f>
        <v>8.0000000000000003E-10</v>
      </c>
      <c r="P43" s="463">
        <f>計分版!M266</f>
        <v>8.9999999999999999E-10</v>
      </c>
      <c r="Q43" s="463">
        <f>計分版!N266</f>
        <v>9.5000000000000003E-10</v>
      </c>
      <c r="R43" s="469"/>
      <c r="S43" s="175" t="s">
        <v>2373</v>
      </c>
    </row>
    <row r="44" spans="1:19" s="187" customFormat="1" ht="14.4">
      <c r="A44" s="175" t="s">
        <v>273</v>
      </c>
      <c r="B44" s="175" t="s">
        <v>274</v>
      </c>
      <c r="C44" s="175" t="s">
        <v>548</v>
      </c>
      <c r="D44" s="467">
        <f>HKU!F13</f>
        <v>54</v>
      </c>
      <c r="E44" s="467">
        <f>HKU!G13</f>
        <v>52</v>
      </c>
      <c r="F44" s="467">
        <f>HKU!H13</f>
        <v>51</v>
      </c>
      <c r="G44" s="468">
        <f>計分版!D267</f>
        <v>4.0499999999999999E-9</v>
      </c>
      <c r="H44" s="463">
        <f>計分版!E267</f>
        <v>1E-10</v>
      </c>
      <c r="I44" s="463">
        <f>計分版!F267</f>
        <v>3E-10</v>
      </c>
      <c r="J44" s="463">
        <f>計分版!G267</f>
        <v>3E-10</v>
      </c>
      <c r="K44" s="463">
        <f>計分版!H267</f>
        <v>4.0000000000000001E-10</v>
      </c>
      <c r="L44" s="463">
        <f>計分版!I267</f>
        <v>5.0000000000000003E-10</v>
      </c>
      <c r="M44" s="463">
        <f>計分版!J267</f>
        <v>6E-10</v>
      </c>
      <c r="N44" s="463">
        <f>計分版!K267</f>
        <v>6.9999999999999996E-10</v>
      </c>
      <c r="O44" s="463">
        <f>計分版!L267</f>
        <v>8.0000000000000003E-10</v>
      </c>
      <c r="P44" s="463">
        <f>計分版!M267</f>
        <v>8.9999999999999999E-10</v>
      </c>
      <c r="Q44" s="463">
        <f>計分版!N267</f>
        <v>9.5000000000000003E-10</v>
      </c>
      <c r="R44" s="469"/>
      <c r="S44" s="175" t="s">
        <v>2373</v>
      </c>
    </row>
    <row r="45" spans="1:19" s="187" customFormat="1" ht="14.4">
      <c r="A45" s="175" t="s">
        <v>224</v>
      </c>
      <c r="B45" s="175" t="s">
        <v>225</v>
      </c>
      <c r="C45" s="175" t="s">
        <v>548</v>
      </c>
      <c r="D45" s="467">
        <f>HKU!F14</f>
        <v>49</v>
      </c>
      <c r="E45" s="467">
        <f>HKU!G14</f>
        <v>46</v>
      </c>
      <c r="F45" s="467">
        <f>HKU!H14</f>
        <v>45</v>
      </c>
      <c r="G45" s="468">
        <f>計分版!D268</f>
        <v>3.0999999999999996E-9</v>
      </c>
      <c r="H45" s="463">
        <f>計分版!E268</f>
        <v>1E-10</v>
      </c>
      <c r="I45" s="463">
        <f>計分版!F268</f>
        <v>2.0000000000000001E-10</v>
      </c>
      <c r="J45" s="463">
        <f>計分版!G268</f>
        <v>3E-10</v>
      </c>
      <c r="K45" s="463">
        <f>計分版!H268</f>
        <v>4.0000000000000001E-10</v>
      </c>
      <c r="L45" s="463">
        <f>計分版!I268</f>
        <v>5.0000000000000003E-10</v>
      </c>
      <c r="M45" s="463">
        <f>計分版!J268</f>
        <v>0</v>
      </c>
      <c r="N45" s="463">
        <f>計分版!K268</f>
        <v>6.9999999999999996E-10</v>
      </c>
      <c r="O45" s="463">
        <f>計分版!L268</f>
        <v>8.0000000000000003E-10</v>
      </c>
      <c r="P45" s="463">
        <f>計分版!M268</f>
        <v>8.9999999999999999E-10</v>
      </c>
      <c r="Q45" s="463">
        <f>計分版!N268</f>
        <v>9.5000000000000003E-10</v>
      </c>
      <c r="R45" s="469">
        <v>0.1</v>
      </c>
      <c r="S45" s="175" t="s">
        <v>2372</v>
      </c>
    </row>
    <row r="46" spans="1:19" s="187" customFormat="1" ht="14.4">
      <c r="A46" s="175" t="s">
        <v>216</v>
      </c>
      <c r="B46" s="175" t="s">
        <v>217</v>
      </c>
      <c r="C46" s="175" t="s">
        <v>189</v>
      </c>
      <c r="D46" s="467">
        <f>HKU!F15</f>
        <v>33</v>
      </c>
      <c r="E46" s="467">
        <f>HKU!G15</f>
        <v>30</v>
      </c>
      <c r="F46" s="467">
        <f>HKU!H15</f>
        <v>28</v>
      </c>
      <c r="G46" s="468">
        <f>計分版!D269</f>
        <v>3.1800000000000002E-9</v>
      </c>
      <c r="H46" s="463">
        <f>計分版!E269</f>
        <v>1E-10</v>
      </c>
      <c r="I46" s="463">
        <f>計分版!F269</f>
        <v>3E-10</v>
      </c>
      <c r="J46" s="463">
        <f>計分版!G269</f>
        <v>3E-10</v>
      </c>
      <c r="K46" s="463">
        <f>計分版!H269</f>
        <v>4.8E-10</v>
      </c>
      <c r="L46" s="463">
        <f>計分版!I269</f>
        <v>5.0000000000000003E-10</v>
      </c>
      <c r="M46" s="463">
        <f>計分版!J269</f>
        <v>6E-10</v>
      </c>
      <c r="N46" s="463">
        <f>計分版!K269</f>
        <v>6.9999999999999996E-10</v>
      </c>
      <c r="O46" s="463">
        <f>計分版!L269</f>
        <v>8.0000000000000003E-10</v>
      </c>
      <c r="P46" s="463">
        <f>計分版!M269</f>
        <v>8.9999999999999999E-10</v>
      </c>
      <c r="Q46" s="463">
        <f>計分版!N269</f>
        <v>9.5000000000000003E-10</v>
      </c>
      <c r="R46" s="469"/>
      <c r="S46" s="175" t="s">
        <v>2370</v>
      </c>
    </row>
    <row r="47" spans="1:19" s="187" customFormat="1" ht="14.4">
      <c r="A47" s="175" t="s">
        <v>220</v>
      </c>
      <c r="B47" s="175" t="s">
        <v>221</v>
      </c>
      <c r="C47" s="175" t="s">
        <v>189</v>
      </c>
      <c r="D47" s="467">
        <f>HKU!F16</f>
        <v>33</v>
      </c>
      <c r="E47" s="467">
        <f>HKU!G16</f>
        <v>31</v>
      </c>
      <c r="F47" s="467">
        <f>HKU!H16</f>
        <v>31</v>
      </c>
      <c r="G47" s="468">
        <f>計分版!D270</f>
        <v>3.0300000000000001E-9</v>
      </c>
      <c r="H47" s="463">
        <f>計分版!E270</f>
        <v>1.5E-10</v>
      </c>
      <c r="I47" s="463">
        <f>計分版!F270</f>
        <v>2.0000000000000001E-10</v>
      </c>
      <c r="J47" s="463">
        <f>計分版!G270</f>
        <v>3E-10</v>
      </c>
      <c r="K47" s="463">
        <f>計分版!H270</f>
        <v>4.8E-10</v>
      </c>
      <c r="L47" s="463">
        <f>計分版!I270</f>
        <v>5.0000000000000003E-10</v>
      </c>
      <c r="M47" s="463">
        <f>計分版!J270</f>
        <v>6E-10</v>
      </c>
      <c r="N47" s="463">
        <f>計分版!K270</f>
        <v>6.9999999999999996E-10</v>
      </c>
      <c r="O47" s="463">
        <f>計分版!L270</f>
        <v>8.0000000000000003E-10</v>
      </c>
      <c r="P47" s="463">
        <f>計分版!M270</f>
        <v>8.9999999999999999E-10</v>
      </c>
      <c r="Q47" s="463">
        <f>計分版!N270</f>
        <v>9.5000000000000003E-10</v>
      </c>
      <c r="R47" s="469"/>
      <c r="S47" s="175" t="s">
        <v>2370</v>
      </c>
    </row>
    <row r="48" spans="1:19" s="187" customFormat="1" ht="14.4">
      <c r="A48" s="175" t="s">
        <v>222</v>
      </c>
      <c r="B48" s="175" t="s">
        <v>223</v>
      </c>
      <c r="C48" s="175" t="s">
        <v>189</v>
      </c>
      <c r="D48" s="467">
        <f>HKU!F17</f>
        <v>28</v>
      </c>
      <c r="E48" s="467">
        <f>HKU!G17</f>
        <v>27</v>
      </c>
      <c r="F48" s="467">
        <f>HKU!H17</f>
        <v>26</v>
      </c>
      <c r="G48" s="468">
        <f>計分版!D271</f>
        <v>2.8200000000000002E-9</v>
      </c>
      <c r="H48" s="463">
        <f>計分版!E271</f>
        <v>1.2E-10</v>
      </c>
      <c r="I48" s="463">
        <f>計分版!F271</f>
        <v>3E-10</v>
      </c>
      <c r="J48" s="463">
        <f>計分版!G271</f>
        <v>3E-10</v>
      </c>
      <c r="K48" s="463">
        <f>計分版!H271</f>
        <v>4.0000000000000001E-10</v>
      </c>
      <c r="L48" s="463">
        <f>計分版!I271</f>
        <v>5.0000000000000003E-10</v>
      </c>
      <c r="M48" s="463">
        <f>計分版!J271</f>
        <v>6E-10</v>
      </c>
      <c r="N48" s="463">
        <f>計分版!K271</f>
        <v>6.9999999999999996E-10</v>
      </c>
      <c r="O48" s="463">
        <f>計分版!L271</f>
        <v>8.0000000000000003E-10</v>
      </c>
      <c r="P48" s="463">
        <f>計分版!M271</f>
        <v>8.9999999999999999E-10</v>
      </c>
      <c r="Q48" s="463">
        <f>計分版!N271</f>
        <v>9.5000000000000003E-10</v>
      </c>
      <c r="R48" s="469"/>
      <c r="S48" s="175" t="s">
        <v>2370</v>
      </c>
    </row>
    <row r="49" spans="1:19" s="187" customFormat="1" ht="14.4">
      <c r="A49" s="175" t="s">
        <v>226</v>
      </c>
      <c r="B49" s="175" t="s">
        <v>227</v>
      </c>
      <c r="C49" s="175" t="s">
        <v>189</v>
      </c>
      <c r="D49" s="467">
        <f>HKU!F18</f>
        <v>56</v>
      </c>
      <c r="E49" s="467">
        <f>HKU!G18</f>
        <v>53</v>
      </c>
      <c r="F49" s="467">
        <f>HKU!H18</f>
        <v>52</v>
      </c>
      <c r="G49" s="468">
        <f>計分版!D272</f>
        <v>3.0249999999999998E-9</v>
      </c>
      <c r="H49" s="463">
        <f>計分版!E272</f>
        <v>1E-10</v>
      </c>
      <c r="I49" s="463">
        <f>計分版!F272</f>
        <v>3E-10</v>
      </c>
      <c r="J49" s="463">
        <f>計分版!G272</f>
        <v>6E-10</v>
      </c>
      <c r="K49" s="463">
        <f>計分版!H272</f>
        <v>4.0000000000000001E-10</v>
      </c>
      <c r="L49" s="463">
        <f>計分版!I272</f>
        <v>1.0000000000000001E-9</v>
      </c>
      <c r="M49" s="463">
        <f>計分版!J272</f>
        <v>7.5E-10</v>
      </c>
      <c r="N49" s="463">
        <f>計分版!K272</f>
        <v>8.7499999999999998E-10</v>
      </c>
      <c r="O49" s="463">
        <f>計分版!L272</f>
        <v>1.0000000000000001E-9</v>
      </c>
      <c r="P49" s="463">
        <f>計分版!M272</f>
        <v>1.1249999999999999E-9</v>
      </c>
      <c r="Q49" s="463">
        <f>計分版!N272</f>
        <v>9.5000000000000003E-10</v>
      </c>
      <c r="R49" s="469"/>
      <c r="S49" s="175" t="s">
        <v>2372</v>
      </c>
    </row>
    <row r="50" spans="1:19" s="187" customFormat="1" ht="14.4">
      <c r="A50" s="175" t="s">
        <v>228</v>
      </c>
      <c r="B50" s="175" t="s">
        <v>229</v>
      </c>
      <c r="C50" s="175" t="s">
        <v>548</v>
      </c>
      <c r="D50" s="467">
        <f>HKU!F19</f>
        <v>39</v>
      </c>
      <c r="E50" s="467">
        <f>HKU!G19</f>
        <v>38</v>
      </c>
      <c r="F50" s="467">
        <f>HKU!H19</f>
        <v>36</v>
      </c>
      <c r="G50" s="468">
        <f>計分版!D273</f>
        <v>3.7E-9</v>
      </c>
      <c r="H50" s="463">
        <f>計分版!E273</f>
        <v>1E-10</v>
      </c>
      <c r="I50" s="463">
        <f>計分版!F273</f>
        <v>2.0000000000000001E-10</v>
      </c>
      <c r="J50" s="463">
        <f>計分版!G273</f>
        <v>3E-10</v>
      </c>
      <c r="K50" s="463">
        <f>計分版!H273</f>
        <v>4.0000000000000001E-10</v>
      </c>
      <c r="L50" s="463">
        <f>計分版!I273</f>
        <v>5.0000000000000003E-10</v>
      </c>
      <c r="M50" s="463">
        <f>計分版!J273</f>
        <v>6E-10</v>
      </c>
      <c r="N50" s="463">
        <f>計分版!K273</f>
        <v>6.9999999999999996E-10</v>
      </c>
      <c r="O50" s="463">
        <f>計分版!L273</f>
        <v>8.0000000000000003E-10</v>
      </c>
      <c r="P50" s="463">
        <f>計分版!M273</f>
        <v>8.9999999999999999E-10</v>
      </c>
      <c r="Q50" s="463">
        <f>計分版!N273</f>
        <v>9.5000000000000003E-10</v>
      </c>
      <c r="R50" s="469"/>
      <c r="S50" s="175" t="s">
        <v>2370</v>
      </c>
    </row>
    <row r="51" spans="1:19" s="187" customFormat="1" ht="14.4">
      <c r="A51" s="175" t="s">
        <v>230</v>
      </c>
      <c r="B51" s="175" t="s">
        <v>231</v>
      </c>
      <c r="C51" s="175" t="s">
        <v>189</v>
      </c>
      <c r="D51" s="467">
        <f>HKU!F20</f>
        <v>32</v>
      </c>
      <c r="E51" s="467">
        <f>HKU!G20</f>
        <v>31</v>
      </c>
      <c r="F51" s="467">
        <f>HKU!H20</f>
        <v>31</v>
      </c>
      <c r="G51" s="468">
        <f>計分版!D274</f>
        <v>3.9500000000000006E-9</v>
      </c>
      <c r="H51" s="463">
        <f>計分版!E274</f>
        <v>1E-10</v>
      </c>
      <c r="I51" s="463">
        <f>計分版!F274</f>
        <v>2.0000000000000001E-10</v>
      </c>
      <c r="J51" s="463">
        <f>計分版!G274</f>
        <v>3E-10</v>
      </c>
      <c r="K51" s="463">
        <f>計分版!H274</f>
        <v>4.0000000000000001E-10</v>
      </c>
      <c r="L51" s="463">
        <f>計分版!I274</f>
        <v>5.0000000000000003E-10</v>
      </c>
      <c r="M51" s="463">
        <f>計分版!J274</f>
        <v>6E-10</v>
      </c>
      <c r="N51" s="463">
        <f>計分版!K274</f>
        <v>6.9999999999999996E-10</v>
      </c>
      <c r="O51" s="463">
        <f>計分版!L274</f>
        <v>8.0000000000000003E-10</v>
      </c>
      <c r="P51" s="463">
        <f>計分版!M274</f>
        <v>8.9999999999999999E-10</v>
      </c>
      <c r="Q51" s="463">
        <f>計分版!N274</f>
        <v>9.5000000000000003E-10</v>
      </c>
      <c r="R51" s="469"/>
      <c r="S51" s="175" t="s">
        <v>2372</v>
      </c>
    </row>
    <row r="52" spans="1:19" s="187" customFormat="1" ht="14.4">
      <c r="A52" s="175" t="s">
        <v>277</v>
      </c>
      <c r="B52" s="175" t="s">
        <v>278</v>
      </c>
      <c r="C52" s="175" t="s">
        <v>189</v>
      </c>
      <c r="D52" s="467">
        <f>HKU!F21</f>
        <v>31</v>
      </c>
      <c r="E52" s="467">
        <f>HKU!G21</f>
        <v>29</v>
      </c>
      <c r="F52" s="467">
        <f>HKU!H21</f>
        <v>28</v>
      </c>
      <c r="G52" s="468">
        <f>計分版!D275</f>
        <v>3.1500000000000005E-9</v>
      </c>
      <c r="H52" s="463">
        <f>計分版!E275</f>
        <v>1E-10</v>
      </c>
      <c r="I52" s="463">
        <f>計分版!F275</f>
        <v>2.0000000000000001E-10</v>
      </c>
      <c r="J52" s="463">
        <f>計分版!G275</f>
        <v>3E-10</v>
      </c>
      <c r="K52" s="463">
        <f>計分版!H275</f>
        <v>4.0000000000000001E-10</v>
      </c>
      <c r="L52" s="463">
        <f>計分版!I275</f>
        <v>5.0000000000000003E-10</v>
      </c>
      <c r="M52" s="463">
        <f>計分版!J275</f>
        <v>6E-10</v>
      </c>
      <c r="N52" s="463">
        <f>計分版!K275</f>
        <v>6.9999999999999996E-10</v>
      </c>
      <c r="O52" s="463">
        <f>計分版!L275</f>
        <v>8.0000000000000003E-10</v>
      </c>
      <c r="P52" s="463">
        <f>計分版!M275</f>
        <v>8.9999999999999999E-10</v>
      </c>
      <c r="Q52" s="463">
        <f>計分版!N275</f>
        <v>9.5000000000000003E-10</v>
      </c>
      <c r="R52" s="469"/>
      <c r="S52" s="175" t="s">
        <v>2374</v>
      </c>
    </row>
    <row r="53" spans="1:19" s="187" customFormat="1" ht="14.4">
      <c r="A53" s="175" t="s">
        <v>279</v>
      </c>
      <c r="B53" s="175" t="s">
        <v>280</v>
      </c>
      <c r="C53" s="175" t="s">
        <v>189</v>
      </c>
      <c r="D53" s="467">
        <f>HKU!F22</f>
        <v>34</v>
      </c>
      <c r="E53" s="467">
        <f>HKU!G22</f>
        <v>32</v>
      </c>
      <c r="F53" s="467">
        <f>HKU!H22</f>
        <v>31</v>
      </c>
      <c r="G53" s="468">
        <f>計分版!D276</f>
        <v>3.1500000000000005E-9</v>
      </c>
      <c r="H53" s="463">
        <f>計分版!E276</f>
        <v>1E-10</v>
      </c>
      <c r="I53" s="463">
        <f>計分版!F276</f>
        <v>2.0000000000000001E-10</v>
      </c>
      <c r="J53" s="463">
        <f>計分版!G276</f>
        <v>3E-10</v>
      </c>
      <c r="K53" s="463">
        <f>計分版!H276</f>
        <v>4.0000000000000001E-10</v>
      </c>
      <c r="L53" s="463">
        <f>計分版!I276</f>
        <v>5.0000000000000003E-10</v>
      </c>
      <c r="M53" s="463">
        <f>計分版!J276</f>
        <v>6E-10</v>
      </c>
      <c r="N53" s="463">
        <f>計分版!K276</f>
        <v>6.9999999999999996E-10</v>
      </c>
      <c r="O53" s="463">
        <f>計分版!L276</f>
        <v>8.0000000000000003E-10</v>
      </c>
      <c r="P53" s="463">
        <f>計分版!M276</f>
        <v>8.9999999999999999E-10</v>
      </c>
      <c r="Q53" s="463">
        <f>計分版!N276</f>
        <v>9.5000000000000003E-10</v>
      </c>
      <c r="R53" s="469"/>
      <c r="S53" s="175" t="s">
        <v>2372</v>
      </c>
    </row>
    <row r="54" spans="1:19" s="187" customFormat="1" ht="14.4">
      <c r="A54" s="175" t="s">
        <v>283</v>
      </c>
      <c r="B54" s="175" t="s">
        <v>284</v>
      </c>
      <c r="C54" s="175" t="s">
        <v>189</v>
      </c>
      <c r="D54" s="467">
        <f>HKU!F23</f>
        <v>28</v>
      </c>
      <c r="E54" s="467">
        <f>HKU!G23</f>
        <v>26</v>
      </c>
      <c r="F54" s="467">
        <f>HKU!H23</f>
        <v>25</v>
      </c>
      <c r="G54" s="468">
        <f>計分版!D277</f>
        <v>3.1500000000000005E-9</v>
      </c>
      <c r="H54" s="463">
        <f>計分版!E277</f>
        <v>1E-10</v>
      </c>
      <c r="I54" s="463">
        <f>計分版!F277</f>
        <v>2.0000000000000001E-10</v>
      </c>
      <c r="J54" s="463">
        <f>計分版!G277</f>
        <v>3E-10</v>
      </c>
      <c r="K54" s="463">
        <f>計分版!H277</f>
        <v>4.0000000000000001E-10</v>
      </c>
      <c r="L54" s="463">
        <f>計分版!I277</f>
        <v>5.0000000000000003E-10</v>
      </c>
      <c r="M54" s="463">
        <f>計分版!J277</f>
        <v>6E-10</v>
      </c>
      <c r="N54" s="463">
        <f>計分版!K277</f>
        <v>6.9999999999999996E-10</v>
      </c>
      <c r="O54" s="463">
        <f>計分版!L277</f>
        <v>8.0000000000000003E-10</v>
      </c>
      <c r="P54" s="463">
        <f>計分版!M277</f>
        <v>8.9999999999999999E-10</v>
      </c>
      <c r="Q54" s="463">
        <f>計分版!N277</f>
        <v>9.5000000000000003E-10</v>
      </c>
      <c r="R54" s="469"/>
      <c r="S54" s="175" t="s">
        <v>2374</v>
      </c>
    </row>
    <row r="55" spans="1:19" s="187" customFormat="1" ht="14.4">
      <c r="A55" s="175" t="s">
        <v>285</v>
      </c>
      <c r="B55" s="175" t="s">
        <v>286</v>
      </c>
      <c r="C55" s="175" t="s">
        <v>189</v>
      </c>
      <c r="D55" s="467">
        <f>HKU!F24</f>
        <v>26</v>
      </c>
      <c r="E55" s="467">
        <f>HKU!G24</f>
        <v>25</v>
      </c>
      <c r="F55" s="467">
        <f>HKU!H24</f>
        <v>23</v>
      </c>
      <c r="G55" s="468">
        <f>計分版!D278</f>
        <v>3.1500000000000005E-9</v>
      </c>
      <c r="H55" s="463">
        <f>計分版!E278</f>
        <v>1E-10</v>
      </c>
      <c r="I55" s="463">
        <f>計分版!F278</f>
        <v>2.0000000000000001E-10</v>
      </c>
      <c r="J55" s="463">
        <f>計分版!G278</f>
        <v>3E-10</v>
      </c>
      <c r="K55" s="463">
        <f>計分版!H278</f>
        <v>4.0000000000000001E-10</v>
      </c>
      <c r="L55" s="463">
        <f>計分版!I278</f>
        <v>5.0000000000000003E-10</v>
      </c>
      <c r="M55" s="463">
        <f>計分版!J278</f>
        <v>6E-10</v>
      </c>
      <c r="N55" s="463">
        <f>計分版!K278</f>
        <v>6.9999999999999996E-10</v>
      </c>
      <c r="O55" s="463">
        <f>計分版!L278</f>
        <v>8.0000000000000003E-10</v>
      </c>
      <c r="P55" s="463">
        <f>計分版!M278</f>
        <v>8.9999999999999999E-10</v>
      </c>
      <c r="Q55" s="463">
        <f>計分版!N278</f>
        <v>9.5000000000000003E-10</v>
      </c>
      <c r="R55" s="469"/>
      <c r="S55" s="175" t="s">
        <v>2374</v>
      </c>
    </row>
    <row r="56" spans="1:19" s="187" customFormat="1" ht="14.4">
      <c r="A56" s="175" t="s">
        <v>218</v>
      </c>
      <c r="B56" s="175" t="s">
        <v>219</v>
      </c>
      <c r="C56" s="175" t="s">
        <v>548</v>
      </c>
      <c r="D56" s="467">
        <f>HKU!F25</f>
        <v>44</v>
      </c>
      <c r="E56" s="467">
        <f>HKU!G25</f>
        <v>41</v>
      </c>
      <c r="F56" s="467">
        <f>HKU!H25</f>
        <v>39</v>
      </c>
      <c r="G56" s="468">
        <f>計分版!D279</f>
        <v>3.6E-9</v>
      </c>
      <c r="H56" s="463">
        <f>計分版!E279</f>
        <v>1E-10</v>
      </c>
      <c r="I56" s="463">
        <f>計分版!F279</f>
        <v>2.0000000000000001E-10</v>
      </c>
      <c r="J56" s="463">
        <f>計分版!G279</f>
        <v>3E-10</v>
      </c>
      <c r="K56" s="463">
        <f>計分版!H279</f>
        <v>4.0000000000000001E-10</v>
      </c>
      <c r="L56" s="463">
        <f>計分版!I279</f>
        <v>5.0000000000000003E-10</v>
      </c>
      <c r="M56" s="463">
        <f>計分版!J279</f>
        <v>6E-10</v>
      </c>
      <c r="N56" s="463">
        <f>計分版!K279</f>
        <v>6.9999999999999996E-10</v>
      </c>
      <c r="O56" s="463">
        <f>計分版!L279</f>
        <v>8.0000000000000003E-10</v>
      </c>
      <c r="P56" s="463">
        <f>計分版!M279</f>
        <v>8.9999999999999999E-10</v>
      </c>
      <c r="Q56" s="463">
        <f>計分版!N279</f>
        <v>9.5000000000000003E-10</v>
      </c>
      <c r="R56" s="469"/>
      <c r="S56" s="175" t="s">
        <v>2372</v>
      </c>
    </row>
    <row r="57" spans="1:19" s="187" customFormat="1" ht="14.4">
      <c r="A57" s="175" t="s">
        <v>242</v>
      </c>
      <c r="B57" s="175" t="s">
        <v>144</v>
      </c>
      <c r="C57" s="175" t="s">
        <v>548</v>
      </c>
      <c r="D57" s="467">
        <f>HKU!F26</f>
        <v>39</v>
      </c>
      <c r="E57" s="467">
        <f>HKU!G26</f>
        <v>38</v>
      </c>
      <c r="F57" s="467">
        <f>HKU!H26</f>
        <v>36</v>
      </c>
      <c r="G57" s="468">
        <f>計分版!D280</f>
        <v>3.6E-9</v>
      </c>
      <c r="H57" s="463">
        <f>計分版!E280</f>
        <v>1E-10</v>
      </c>
      <c r="I57" s="463">
        <f>計分版!F280</f>
        <v>2.0000000000000001E-10</v>
      </c>
      <c r="J57" s="463">
        <f>計分版!G280</f>
        <v>3E-10</v>
      </c>
      <c r="K57" s="463">
        <f>計分版!H280</f>
        <v>4.0000000000000001E-10</v>
      </c>
      <c r="L57" s="463">
        <f>計分版!I280</f>
        <v>5.0000000000000003E-10</v>
      </c>
      <c r="M57" s="463">
        <f>計分版!J280</f>
        <v>6E-10</v>
      </c>
      <c r="N57" s="463">
        <f>計分版!K280</f>
        <v>6.9999999999999996E-10</v>
      </c>
      <c r="O57" s="463">
        <f>計分版!L280</f>
        <v>8.0000000000000003E-10</v>
      </c>
      <c r="P57" s="463">
        <f>計分版!M280</f>
        <v>8.9999999999999999E-10</v>
      </c>
      <c r="Q57" s="463">
        <f>計分版!N280</f>
        <v>9.5000000000000003E-10</v>
      </c>
      <c r="R57" s="469"/>
      <c r="S57" s="175" t="s">
        <v>2372</v>
      </c>
    </row>
    <row r="58" spans="1:19" s="187" customFormat="1" ht="14.4">
      <c r="A58" s="175" t="s">
        <v>2164</v>
      </c>
      <c r="B58" s="175" t="s">
        <v>2366</v>
      </c>
      <c r="C58" s="175" t="s">
        <v>189</v>
      </c>
      <c r="D58" s="467" t="str">
        <f>HKU!F27</f>
        <v>/</v>
      </c>
      <c r="E58" s="467" t="str">
        <f>HKU!G27</f>
        <v>/</v>
      </c>
      <c r="F58" s="467" t="str">
        <f>HKU!H27</f>
        <v>/</v>
      </c>
      <c r="G58" s="468">
        <f>計分版!D281</f>
        <v>3.3999999999999998E-9</v>
      </c>
      <c r="H58" s="463">
        <f>計分版!E281</f>
        <v>1E-10</v>
      </c>
      <c r="I58" s="463">
        <f>計分版!F281</f>
        <v>2.0000000000000001E-10</v>
      </c>
      <c r="J58" s="463">
        <f>計分版!G281</f>
        <v>3E-10</v>
      </c>
      <c r="K58" s="463">
        <f>計分版!H281</f>
        <v>4.0000000000000001E-10</v>
      </c>
      <c r="L58" s="463">
        <f>計分版!I281</f>
        <v>5.0000000000000003E-10</v>
      </c>
      <c r="M58" s="463">
        <f>計分版!J281</f>
        <v>6E-10</v>
      </c>
      <c r="N58" s="463">
        <f>計分版!K281</f>
        <v>6.9999999999999996E-10</v>
      </c>
      <c r="O58" s="463">
        <f>計分版!L281</f>
        <v>8.0000000000000003E-10</v>
      </c>
      <c r="P58" s="463">
        <f>計分版!M281</f>
        <v>8.9999999999999999E-10</v>
      </c>
      <c r="Q58" s="463">
        <f>計分版!N281</f>
        <v>9.5000000000000003E-10</v>
      </c>
      <c r="R58" s="469"/>
      <c r="S58" s="175" t="s">
        <v>2370</v>
      </c>
    </row>
    <row r="59" spans="1:19" s="187" customFormat="1" ht="14.4">
      <c r="A59" s="175" t="s">
        <v>243</v>
      </c>
      <c r="B59" s="175" t="s">
        <v>244</v>
      </c>
      <c r="C59" s="175" t="s">
        <v>548</v>
      </c>
      <c r="D59" s="467">
        <f>HKU!F28</f>
        <v>48</v>
      </c>
      <c r="E59" s="467">
        <f>HKU!G28</f>
        <v>45</v>
      </c>
      <c r="F59" s="467">
        <f>HKU!H28</f>
        <v>44</v>
      </c>
      <c r="G59" s="468">
        <f>計分版!D282</f>
        <v>3.7666666666666665E-9</v>
      </c>
      <c r="H59" s="463">
        <f>計分版!E282</f>
        <v>1E-10</v>
      </c>
      <c r="I59" s="463">
        <f>計分版!F282</f>
        <v>2.0000000000000001E-10</v>
      </c>
      <c r="J59" s="463">
        <f>計分版!G282</f>
        <v>3E-10</v>
      </c>
      <c r="K59" s="463">
        <f>計分版!H282</f>
        <v>4.0000000000000001E-10</v>
      </c>
      <c r="L59" s="463">
        <f>計分版!I282</f>
        <v>5.0000000000000003E-10</v>
      </c>
      <c r="M59" s="463">
        <f>計分版!J282</f>
        <v>6E-10</v>
      </c>
      <c r="N59" s="463">
        <f>計分版!K282</f>
        <v>6.9999999999999996E-10</v>
      </c>
      <c r="O59" s="463">
        <f>計分版!L282</f>
        <v>8.0000000000000003E-10</v>
      </c>
      <c r="P59" s="463">
        <f>計分版!M282</f>
        <v>8.9999999999999999E-10</v>
      </c>
      <c r="Q59" s="463">
        <f>計分版!N282</f>
        <v>9.5000000000000003E-10</v>
      </c>
      <c r="R59" s="469">
        <v>0.1</v>
      </c>
      <c r="S59" s="175" t="s">
        <v>2375</v>
      </c>
    </row>
    <row r="60" spans="1:19" s="187" customFormat="1" ht="14.4">
      <c r="A60" s="175" t="s">
        <v>245</v>
      </c>
      <c r="B60" s="175" t="s">
        <v>246</v>
      </c>
      <c r="C60" s="175" t="s">
        <v>189</v>
      </c>
      <c r="D60" s="467">
        <f>HKU!F29</f>
        <v>26</v>
      </c>
      <c r="E60" s="467">
        <f>HKU!G29</f>
        <v>25</v>
      </c>
      <c r="F60" s="467">
        <f>HKU!H29</f>
        <v>25</v>
      </c>
      <c r="G60" s="468">
        <f>計分版!D283</f>
        <v>3.3999999999999998E-9</v>
      </c>
      <c r="H60" s="463">
        <f>計分版!E283</f>
        <v>1E-10</v>
      </c>
      <c r="I60" s="463">
        <f>計分版!F283</f>
        <v>2.0000000000000001E-10</v>
      </c>
      <c r="J60" s="463">
        <f>計分版!G283</f>
        <v>3E-10</v>
      </c>
      <c r="K60" s="463">
        <f>計分版!H283</f>
        <v>4.0000000000000001E-10</v>
      </c>
      <c r="L60" s="463">
        <f>計分版!I283</f>
        <v>5.0000000000000003E-10</v>
      </c>
      <c r="M60" s="463">
        <f>計分版!J283</f>
        <v>6E-10</v>
      </c>
      <c r="N60" s="463">
        <f>計分版!K283</f>
        <v>6.9999999999999996E-10</v>
      </c>
      <c r="O60" s="463">
        <f>計分版!L283</f>
        <v>8.0000000000000003E-10</v>
      </c>
      <c r="P60" s="463">
        <f>計分版!M283</f>
        <v>8.9999999999999999E-10</v>
      </c>
      <c r="Q60" s="463">
        <f>計分版!N283</f>
        <v>9.5000000000000003E-10</v>
      </c>
      <c r="R60" s="469"/>
      <c r="S60" s="175" t="s">
        <v>2370</v>
      </c>
    </row>
    <row r="61" spans="1:19" s="187" customFormat="1" ht="14.4">
      <c r="A61" s="175" t="s">
        <v>247</v>
      </c>
      <c r="B61" s="175" t="s">
        <v>248</v>
      </c>
      <c r="C61" s="175" t="s">
        <v>189</v>
      </c>
      <c r="D61" s="467">
        <f>HKU!F30</f>
        <v>29</v>
      </c>
      <c r="E61" s="467">
        <f>HKU!G30</f>
        <v>28</v>
      </c>
      <c r="F61" s="467">
        <f>HKU!H30</f>
        <v>28</v>
      </c>
      <c r="G61" s="468">
        <f>計分版!D284</f>
        <v>3.3999999999999998E-9</v>
      </c>
      <c r="H61" s="463">
        <f>計分版!E284</f>
        <v>1E-10</v>
      </c>
      <c r="I61" s="463">
        <f>計分版!F284</f>
        <v>2.0000000000000001E-10</v>
      </c>
      <c r="J61" s="463">
        <f>計分版!G284</f>
        <v>3E-10</v>
      </c>
      <c r="K61" s="463">
        <f>計分版!H284</f>
        <v>4.0000000000000001E-10</v>
      </c>
      <c r="L61" s="463">
        <f>計分版!I284</f>
        <v>5.0000000000000003E-10</v>
      </c>
      <c r="M61" s="463">
        <f>計分版!J284</f>
        <v>6E-10</v>
      </c>
      <c r="N61" s="463">
        <f>計分版!K284</f>
        <v>6.9999999999999996E-10</v>
      </c>
      <c r="O61" s="463">
        <f>計分版!L284</f>
        <v>8.0000000000000003E-10</v>
      </c>
      <c r="P61" s="463">
        <f>計分版!M284</f>
        <v>8.9999999999999999E-10</v>
      </c>
      <c r="Q61" s="463">
        <f>計分版!N284</f>
        <v>9.5000000000000003E-10</v>
      </c>
      <c r="R61" s="469"/>
      <c r="S61" s="175" t="s">
        <v>2370</v>
      </c>
    </row>
    <row r="62" spans="1:19" s="187" customFormat="1" ht="14.4">
      <c r="A62" s="175" t="s">
        <v>249</v>
      </c>
      <c r="B62" s="175" t="s">
        <v>250</v>
      </c>
      <c r="C62" s="175" t="s">
        <v>548</v>
      </c>
      <c r="D62" s="467">
        <f>HKU!F31</f>
        <v>39</v>
      </c>
      <c r="E62" s="467">
        <f>HKU!G31</f>
        <v>38</v>
      </c>
      <c r="F62" s="467">
        <f>HKU!H31</f>
        <v>36</v>
      </c>
      <c r="G62" s="468">
        <f>計分版!D285</f>
        <v>3.7666666666666665E-9</v>
      </c>
      <c r="H62" s="463">
        <f>計分版!E285</f>
        <v>1E-10</v>
      </c>
      <c r="I62" s="463">
        <f>計分版!F285</f>
        <v>2.0000000000000001E-10</v>
      </c>
      <c r="J62" s="463">
        <f>計分版!G285</f>
        <v>3E-10</v>
      </c>
      <c r="K62" s="463">
        <f>計分版!H285</f>
        <v>4.0000000000000001E-10</v>
      </c>
      <c r="L62" s="463">
        <f>計分版!I285</f>
        <v>5.0000000000000003E-10</v>
      </c>
      <c r="M62" s="463">
        <f>計分版!J285</f>
        <v>6E-10</v>
      </c>
      <c r="N62" s="463">
        <f>計分版!K285</f>
        <v>6.9999999999999996E-10</v>
      </c>
      <c r="O62" s="463">
        <f>計分版!L285</f>
        <v>8.0000000000000003E-10</v>
      </c>
      <c r="P62" s="463">
        <f>計分版!M285</f>
        <v>8.9999999999999999E-10</v>
      </c>
      <c r="Q62" s="463">
        <f>計分版!N285</f>
        <v>9.5000000000000003E-10</v>
      </c>
      <c r="R62" s="469">
        <v>0.1</v>
      </c>
      <c r="S62" s="175" t="s">
        <v>2375</v>
      </c>
    </row>
    <row r="63" spans="1:19" s="187" customFormat="1" ht="14.4">
      <c r="A63" s="175" t="s">
        <v>281</v>
      </c>
      <c r="B63" s="175" t="s">
        <v>282</v>
      </c>
      <c r="C63" s="175" t="s">
        <v>548</v>
      </c>
      <c r="D63" s="467">
        <f>HKU!F32</f>
        <v>41</v>
      </c>
      <c r="E63" s="467">
        <f>HKU!G32</f>
        <v>39</v>
      </c>
      <c r="F63" s="467">
        <f>HKU!H32</f>
        <v>39</v>
      </c>
      <c r="G63" s="468">
        <f>計分版!D286</f>
        <v>3.7666666666666665E-9</v>
      </c>
      <c r="H63" s="463">
        <f>計分版!E286</f>
        <v>1E-10</v>
      </c>
      <c r="I63" s="463">
        <f>計分版!F286</f>
        <v>2.0000000000000001E-10</v>
      </c>
      <c r="J63" s="463">
        <f>計分版!G286</f>
        <v>3E-10</v>
      </c>
      <c r="K63" s="463">
        <f>計分版!H286</f>
        <v>4.0000000000000001E-10</v>
      </c>
      <c r="L63" s="463">
        <f>計分版!I286</f>
        <v>5.0000000000000003E-10</v>
      </c>
      <c r="M63" s="463">
        <f>計分版!J286</f>
        <v>6E-10</v>
      </c>
      <c r="N63" s="463">
        <f>計分版!K286</f>
        <v>6.9999999999999996E-10</v>
      </c>
      <c r="O63" s="463">
        <f>計分版!L286</f>
        <v>8.0000000000000003E-10</v>
      </c>
      <c r="P63" s="463">
        <f>計分版!M286</f>
        <v>8.9999999999999999E-10</v>
      </c>
      <c r="Q63" s="463">
        <f>計分版!N286</f>
        <v>9.5000000000000003E-10</v>
      </c>
      <c r="R63" s="469">
        <v>0.1</v>
      </c>
      <c r="S63" s="175" t="s">
        <v>2375</v>
      </c>
    </row>
    <row r="64" spans="1:19" s="187" customFormat="1" ht="14.4">
      <c r="A64" s="175" t="s">
        <v>1343</v>
      </c>
      <c r="B64" s="175" t="s">
        <v>1345</v>
      </c>
      <c r="C64" s="175" t="s">
        <v>548</v>
      </c>
      <c r="D64" s="467" t="str">
        <f>HKU!F33</f>
        <v>/</v>
      </c>
      <c r="E64" s="467" t="str">
        <f>HKU!G33</f>
        <v>/</v>
      </c>
      <c r="F64" s="467" t="str">
        <f>HKU!H33</f>
        <v>/</v>
      </c>
      <c r="G64" s="468">
        <f>計分版!D287</f>
        <v>3.1249999999999999E-9</v>
      </c>
      <c r="H64" s="463">
        <f>計分版!E287</f>
        <v>1E-10</v>
      </c>
      <c r="I64" s="463">
        <f>計分版!F287</f>
        <v>4.0000000000000001E-10</v>
      </c>
      <c r="J64" s="463">
        <f>計分版!G287</f>
        <v>6E-10</v>
      </c>
      <c r="K64" s="463">
        <f>計分版!H287</f>
        <v>4.0000000000000001E-10</v>
      </c>
      <c r="L64" s="463">
        <f>計分版!I287</f>
        <v>1.0000000000000001E-9</v>
      </c>
      <c r="M64" s="463">
        <f>計分版!J287</f>
        <v>7.5E-10</v>
      </c>
      <c r="N64" s="463">
        <f>計分版!K287</f>
        <v>8.7499999999999998E-10</v>
      </c>
      <c r="O64" s="463">
        <f>計分版!L287</f>
        <v>1.0000000000000001E-9</v>
      </c>
      <c r="P64" s="463">
        <f>計分版!M287</f>
        <v>1.1249999999999999E-9</v>
      </c>
      <c r="Q64" s="463">
        <f>計分版!N287</f>
        <v>9.5000000000000003E-10</v>
      </c>
      <c r="R64" s="469"/>
      <c r="S64" s="175" t="s">
        <v>2376</v>
      </c>
    </row>
    <row r="65" spans="1:19" s="187" customFormat="1" ht="14.4">
      <c r="A65" s="175" t="s">
        <v>253</v>
      </c>
      <c r="B65" s="175" t="s">
        <v>254</v>
      </c>
      <c r="C65" s="175" t="s">
        <v>548</v>
      </c>
      <c r="D65" s="467">
        <f>HKU!F34</f>
        <v>55</v>
      </c>
      <c r="E65" s="467">
        <f>HKU!G34</f>
        <v>51</v>
      </c>
      <c r="F65" s="467">
        <f>HKU!H34</f>
        <v>48</v>
      </c>
      <c r="G65" s="468">
        <f>計分版!D288</f>
        <v>4.4000000000000005E-9</v>
      </c>
      <c r="H65" s="463">
        <f>計分版!E288</f>
        <v>1E-10</v>
      </c>
      <c r="I65" s="463">
        <f>計分版!F288</f>
        <v>4.0000000000000001E-10</v>
      </c>
      <c r="J65" s="463">
        <f>計分版!G288</f>
        <v>6E-10</v>
      </c>
      <c r="K65" s="463">
        <f>計分版!H288</f>
        <v>4.0000000000000001E-10</v>
      </c>
      <c r="L65" s="463">
        <f>計分版!I288</f>
        <v>1.0000000000000001E-9</v>
      </c>
      <c r="M65" s="463">
        <f>計分版!J288</f>
        <v>6E-10</v>
      </c>
      <c r="N65" s="463">
        <f>計分版!K288</f>
        <v>6.9999999999999996E-10</v>
      </c>
      <c r="O65" s="463">
        <f>計分版!L288</f>
        <v>8.0000000000000003E-10</v>
      </c>
      <c r="P65" s="463">
        <f>計分版!M288</f>
        <v>8.9999999999999999E-10</v>
      </c>
      <c r="Q65" s="463">
        <f>計分版!N288</f>
        <v>9.5000000000000003E-10</v>
      </c>
      <c r="R65" s="469"/>
      <c r="S65" s="175" t="s">
        <v>2376</v>
      </c>
    </row>
    <row r="66" spans="1:19" s="187" customFormat="1" ht="14.4">
      <c r="A66" s="175" t="s">
        <v>275</v>
      </c>
      <c r="B66" s="175" t="s">
        <v>276</v>
      </c>
      <c r="C66" s="175" t="s">
        <v>189</v>
      </c>
      <c r="D66" s="467">
        <f>HKU!F35</f>
        <v>46</v>
      </c>
      <c r="E66" s="467">
        <f>HKU!G35</f>
        <v>41</v>
      </c>
      <c r="F66" s="467">
        <f>HKU!H35</f>
        <v>37</v>
      </c>
      <c r="G66" s="468">
        <f>計分版!D289</f>
        <v>3.0249999999999998E-9</v>
      </c>
      <c r="H66" s="463">
        <f>計分版!E289</f>
        <v>1E-10</v>
      </c>
      <c r="I66" s="463">
        <f>計分版!F289</f>
        <v>3E-10</v>
      </c>
      <c r="J66" s="463">
        <f>計分版!G289</f>
        <v>6E-10</v>
      </c>
      <c r="K66" s="463">
        <f>計分版!H289</f>
        <v>4.0000000000000001E-10</v>
      </c>
      <c r="L66" s="463">
        <f>計分版!I289</f>
        <v>1.0000000000000001E-9</v>
      </c>
      <c r="M66" s="463">
        <f>計分版!J289</f>
        <v>7.5E-10</v>
      </c>
      <c r="N66" s="463">
        <f>計分版!K289</f>
        <v>8.7499999999999998E-10</v>
      </c>
      <c r="O66" s="463">
        <f>計分版!L289</f>
        <v>1.0000000000000001E-9</v>
      </c>
      <c r="P66" s="463">
        <f>計分版!M289</f>
        <v>1.1249999999999999E-9</v>
      </c>
      <c r="Q66" s="463">
        <f>計分版!N289</f>
        <v>9.5000000000000003E-10</v>
      </c>
      <c r="R66" s="469"/>
      <c r="S66" s="175" t="s">
        <v>2376</v>
      </c>
    </row>
    <row r="67" spans="1:19" s="187" customFormat="1" ht="14.4">
      <c r="A67" s="175" t="s">
        <v>251</v>
      </c>
      <c r="B67" s="175" t="s">
        <v>252</v>
      </c>
      <c r="C67" s="175" t="s">
        <v>189</v>
      </c>
      <c r="D67" s="467">
        <f>HKU!F36</f>
        <v>29</v>
      </c>
      <c r="E67" s="467">
        <f>HKU!G36</f>
        <v>28</v>
      </c>
      <c r="F67" s="467">
        <f>HKU!H36</f>
        <v>26</v>
      </c>
      <c r="G67" s="468">
        <f>計分版!D290</f>
        <v>3.9500000000000006E-9</v>
      </c>
      <c r="H67" s="463">
        <f>計分版!E290</f>
        <v>1E-10</v>
      </c>
      <c r="I67" s="463">
        <f>計分版!F290</f>
        <v>2.0000000000000001E-10</v>
      </c>
      <c r="J67" s="463">
        <f>計分版!G290</f>
        <v>3E-10</v>
      </c>
      <c r="K67" s="463">
        <f>計分版!H290</f>
        <v>4.0000000000000001E-10</v>
      </c>
      <c r="L67" s="463">
        <f>計分版!I290</f>
        <v>5.0000000000000003E-10</v>
      </c>
      <c r="M67" s="463">
        <f>計分版!J290</f>
        <v>6E-10</v>
      </c>
      <c r="N67" s="463">
        <f>計分版!K290</f>
        <v>6.9999999999999996E-10</v>
      </c>
      <c r="O67" s="463">
        <f>計分版!L290</f>
        <v>8.0000000000000003E-10</v>
      </c>
      <c r="P67" s="463">
        <f>計分版!M290</f>
        <v>8.9999999999999999E-10</v>
      </c>
      <c r="Q67" s="463">
        <f>計分版!N290</f>
        <v>9.5000000000000003E-10</v>
      </c>
      <c r="R67" s="469"/>
      <c r="S67" s="175" t="s">
        <v>2372</v>
      </c>
    </row>
    <row r="68" spans="1:19" s="187" customFormat="1" ht="14.4">
      <c r="A68" s="175" t="s">
        <v>255</v>
      </c>
      <c r="B68" s="175" t="s">
        <v>256</v>
      </c>
      <c r="C68" s="175" t="s">
        <v>189</v>
      </c>
      <c r="D68" s="467">
        <f>HKU!F37</f>
        <v>28</v>
      </c>
      <c r="E68" s="467">
        <f>HKU!G37</f>
        <v>28</v>
      </c>
      <c r="F68" s="467">
        <f>HKU!H37</f>
        <v>26</v>
      </c>
      <c r="G68" s="468">
        <f>計分版!D291</f>
        <v>3.9500000000000006E-9</v>
      </c>
      <c r="H68" s="463">
        <f>計分版!E291</f>
        <v>1E-10</v>
      </c>
      <c r="I68" s="463">
        <f>計分版!F291</f>
        <v>2.0000000000000001E-10</v>
      </c>
      <c r="J68" s="463">
        <f>計分版!G291</f>
        <v>3E-10</v>
      </c>
      <c r="K68" s="463">
        <f>計分版!H291</f>
        <v>4.0000000000000001E-10</v>
      </c>
      <c r="L68" s="463">
        <f>計分版!I291</f>
        <v>5.0000000000000003E-10</v>
      </c>
      <c r="M68" s="463">
        <f>計分版!J291</f>
        <v>6E-10</v>
      </c>
      <c r="N68" s="463">
        <f>計分版!K291</f>
        <v>6.9999999999999996E-10</v>
      </c>
      <c r="O68" s="463">
        <f>計分版!L291</f>
        <v>8.0000000000000003E-10</v>
      </c>
      <c r="P68" s="463">
        <f>計分版!M291</f>
        <v>8.9999999999999999E-10</v>
      </c>
      <c r="Q68" s="463">
        <f>計分版!N291</f>
        <v>9.5000000000000003E-10</v>
      </c>
      <c r="R68" s="469"/>
      <c r="S68" s="175" t="s">
        <v>2372</v>
      </c>
    </row>
    <row r="69" spans="1:19" s="187" customFormat="1" ht="14.4">
      <c r="A69" s="175" t="s">
        <v>265</v>
      </c>
      <c r="B69" s="175" t="s">
        <v>266</v>
      </c>
      <c r="C69" s="175" t="s">
        <v>548</v>
      </c>
      <c r="D69" s="467">
        <f>HKU!F38</f>
        <v>41</v>
      </c>
      <c r="E69" s="467">
        <f>HKU!G38</f>
        <v>39</v>
      </c>
      <c r="F69" s="467">
        <f>HKU!H38</f>
        <v>38</v>
      </c>
      <c r="G69" s="468">
        <f>計分版!D292</f>
        <v>3.7E-9</v>
      </c>
      <c r="H69" s="463">
        <f>計分版!E292</f>
        <v>1E-10</v>
      </c>
      <c r="I69" s="463">
        <f>計分版!F292</f>
        <v>2.0000000000000001E-10</v>
      </c>
      <c r="J69" s="463">
        <f>計分版!G292</f>
        <v>3E-10</v>
      </c>
      <c r="K69" s="463">
        <f>計分版!H292</f>
        <v>4.0000000000000001E-10</v>
      </c>
      <c r="L69" s="463">
        <f>計分版!I292</f>
        <v>5.0000000000000003E-10</v>
      </c>
      <c r="M69" s="463">
        <f>計分版!J292</f>
        <v>6E-10</v>
      </c>
      <c r="N69" s="463">
        <f>計分版!K292</f>
        <v>6.9999999999999996E-10</v>
      </c>
      <c r="O69" s="463">
        <f>計分版!L292</f>
        <v>8.0000000000000003E-10</v>
      </c>
      <c r="P69" s="463">
        <f>計分版!M292</f>
        <v>8.9999999999999999E-10</v>
      </c>
      <c r="Q69" s="463">
        <f>計分版!N292</f>
        <v>9.5000000000000003E-10</v>
      </c>
      <c r="R69" s="469"/>
      <c r="S69" s="175" t="s">
        <v>2372</v>
      </c>
    </row>
    <row r="70" spans="1:19" s="187" customFormat="1" ht="14.4">
      <c r="A70" s="175" t="s">
        <v>267</v>
      </c>
      <c r="B70" s="175" t="s">
        <v>268</v>
      </c>
      <c r="C70" s="175" t="s">
        <v>189</v>
      </c>
      <c r="D70" s="467">
        <f>HKU!F39</f>
        <v>29</v>
      </c>
      <c r="E70" s="467">
        <f>HKU!G39</f>
        <v>28</v>
      </c>
      <c r="F70" s="467">
        <f>HKU!H39</f>
        <v>26</v>
      </c>
      <c r="G70" s="468">
        <f>計分版!D293</f>
        <v>3.9500000000000006E-9</v>
      </c>
      <c r="H70" s="463">
        <f>計分版!E293</f>
        <v>1E-10</v>
      </c>
      <c r="I70" s="463">
        <f>計分版!F293</f>
        <v>2.0000000000000001E-10</v>
      </c>
      <c r="J70" s="463">
        <f>計分版!G293</f>
        <v>3E-10</v>
      </c>
      <c r="K70" s="463">
        <f>計分版!H293</f>
        <v>4.0000000000000001E-10</v>
      </c>
      <c r="L70" s="463">
        <f>計分版!I293</f>
        <v>5.0000000000000003E-10</v>
      </c>
      <c r="M70" s="463">
        <f>計分版!J293</f>
        <v>6E-10</v>
      </c>
      <c r="N70" s="463">
        <f>計分版!K293</f>
        <v>6.9999999999999996E-10</v>
      </c>
      <c r="O70" s="463">
        <f>計分版!L293</f>
        <v>8.0000000000000003E-10</v>
      </c>
      <c r="P70" s="463">
        <f>計分版!M293</f>
        <v>8.9999999999999999E-10</v>
      </c>
      <c r="Q70" s="463">
        <f>計分版!N293</f>
        <v>9.5000000000000003E-10</v>
      </c>
      <c r="R70" s="469"/>
      <c r="S70" s="175" t="s">
        <v>2372</v>
      </c>
    </row>
    <row r="71" spans="1:19" s="187" customFormat="1" ht="14.4">
      <c r="A71" s="175" t="s">
        <v>2367</v>
      </c>
      <c r="B71" s="175" t="s">
        <v>233</v>
      </c>
      <c r="C71" s="175" t="s">
        <v>189</v>
      </c>
      <c r="D71" s="467">
        <f>HKU!F40</f>
        <v>31</v>
      </c>
      <c r="E71" s="467">
        <f>HKU!G40</f>
        <v>31</v>
      </c>
      <c r="F71" s="467">
        <f>HKU!H40</f>
        <v>29</v>
      </c>
      <c r="G71" s="468">
        <f>計分版!D294</f>
        <v>3.9500000000000006E-9</v>
      </c>
      <c r="H71" s="463">
        <f>計分版!E294</f>
        <v>1E-10</v>
      </c>
      <c r="I71" s="463">
        <f>計分版!F294</f>
        <v>2.0000000000000001E-10</v>
      </c>
      <c r="J71" s="463">
        <f>計分版!G294</f>
        <v>3E-10</v>
      </c>
      <c r="K71" s="463">
        <f>計分版!H294</f>
        <v>4.0000000000000001E-10</v>
      </c>
      <c r="L71" s="463">
        <f>計分版!I294</f>
        <v>5.0000000000000003E-10</v>
      </c>
      <c r="M71" s="463">
        <f>計分版!J294</f>
        <v>6E-10</v>
      </c>
      <c r="N71" s="463">
        <f>計分版!K294</f>
        <v>6.9999999999999996E-10</v>
      </c>
      <c r="O71" s="463">
        <f>計分版!L294</f>
        <v>8.0000000000000003E-10</v>
      </c>
      <c r="P71" s="463">
        <f>計分版!M294</f>
        <v>8.9999999999999999E-10</v>
      </c>
      <c r="Q71" s="463">
        <f>計分版!N294</f>
        <v>9.5000000000000003E-10</v>
      </c>
      <c r="R71" s="469"/>
      <c r="S71" s="175" t="s">
        <v>2372</v>
      </c>
    </row>
    <row r="72" spans="1:19" s="187" customFormat="1" ht="14.4">
      <c r="A72" s="175" t="s">
        <v>234</v>
      </c>
      <c r="B72" s="175" t="s">
        <v>235</v>
      </c>
      <c r="C72" s="175" t="s">
        <v>548</v>
      </c>
      <c r="D72" s="467">
        <f>HKU!F41</f>
        <v>74</v>
      </c>
      <c r="E72" s="467">
        <f>HKU!G41</f>
        <v>67</v>
      </c>
      <c r="F72" s="467">
        <f>HKU!H41</f>
        <v>64</v>
      </c>
      <c r="G72" s="468">
        <f>計分版!D295</f>
        <v>4.4000000000000005E-9</v>
      </c>
      <c r="H72" s="463">
        <f>計分版!E295</f>
        <v>1E-10</v>
      </c>
      <c r="I72" s="463">
        <f>計分版!F295</f>
        <v>4.0000000000000001E-10</v>
      </c>
      <c r="J72" s="463">
        <f>計分版!G295</f>
        <v>6E-10</v>
      </c>
      <c r="K72" s="463">
        <f>計分版!H295</f>
        <v>4.0000000000000001E-10</v>
      </c>
      <c r="L72" s="463">
        <f>計分版!I295</f>
        <v>1.0000000000000001E-9</v>
      </c>
      <c r="M72" s="463">
        <f>計分版!J295</f>
        <v>6E-10</v>
      </c>
      <c r="N72" s="463">
        <f>計分版!K295</f>
        <v>6.9999999999999996E-10</v>
      </c>
      <c r="O72" s="463">
        <f>計分版!L295</f>
        <v>8.0000000000000003E-10</v>
      </c>
      <c r="P72" s="463">
        <f>計分版!M295</f>
        <v>8.9999999999999999E-10</v>
      </c>
      <c r="Q72" s="463">
        <f>計分版!N295</f>
        <v>9.5000000000000003E-10</v>
      </c>
      <c r="R72" s="469"/>
      <c r="S72" s="175" t="s">
        <v>2376</v>
      </c>
    </row>
    <row r="73" spans="1:19" s="187" customFormat="1" ht="14.4">
      <c r="A73" s="175" t="s">
        <v>236</v>
      </c>
      <c r="B73" s="175" t="s">
        <v>237</v>
      </c>
      <c r="C73" s="175" t="s">
        <v>548</v>
      </c>
      <c r="D73" s="467" t="str">
        <f>HKU!F42</f>
        <v>/</v>
      </c>
      <c r="E73" s="467">
        <f>HKU!G42</f>
        <v>41</v>
      </c>
      <c r="F73" s="467" t="str">
        <f>HKU!H42</f>
        <v>/</v>
      </c>
      <c r="G73" s="468">
        <f>計分版!D296</f>
        <v>4.450000000000001E-9</v>
      </c>
      <c r="H73" s="463">
        <f>計分版!E296</f>
        <v>1E-10</v>
      </c>
      <c r="I73" s="463">
        <f>計分版!F296</f>
        <v>2.0000000000000001E-10</v>
      </c>
      <c r="J73" s="463">
        <f>計分版!G296</f>
        <v>3E-10</v>
      </c>
      <c r="K73" s="463">
        <f>計分版!H296</f>
        <v>4.0000000000000001E-10</v>
      </c>
      <c r="L73" s="463">
        <f>計分版!I296</f>
        <v>5.0000000000000003E-10</v>
      </c>
      <c r="M73" s="463">
        <f>計分版!J296</f>
        <v>6E-10</v>
      </c>
      <c r="N73" s="463">
        <f>計分版!K296</f>
        <v>6.9999999999999996E-10</v>
      </c>
      <c r="O73" s="463">
        <f>計分版!L296</f>
        <v>8.0000000000000003E-10</v>
      </c>
      <c r="P73" s="463">
        <f>計分版!M296</f>
        <v>8.9999999999999999E-10</v>
      </c>
      <c r="Q73" s="463">
        <f>計分版!N296</f>
        <v>9.5000000000000003E-10</v>
      </c>
      <c r="R73" s="469"/>
      <c r="S73" s="175" t="s">
        <v>2370</v>
      </c>
    </row>
    <row r="74" spans="1:19" s="187" customFormat="1" ht="14.4">
      <c r="A74" s="175" t="s">
        <v>238</v>
      </c>
      <c r="B74" s="175" t="s">
        <v>239</v>
      </c>
      <c r="C74" s="175" t="s">
        <v>548</v>
      </c>
      <c r="D74" s="467">
        <f>HKU!F43</f>
        <v>39</v>
      </c>
      <c r="E74" s="467">
        <f>HKU!G43</f>
        <v>36</v>
      </c>
      <c r="F74" s="467">
        <f>HKU!H43</f>
        <v>35</v>
      </c>
      <c r="G74" s="468">
        <f>計分版!D297</f>
        <v>3.8500000000000006E-9</v>
      </c>
      <c r="H74" s="463">
        <f>計分版!E297</f>
        <v>1E-10</v>
      </c>
      <c r="I74" s="463">
        <f>計分版!F297</f>
        <v>2.0000000000000001E-10</v>
      </c>
      <c r="J74" s="463">
        <f>計分版!G297</f>
        <v>3E-10</v>
      </c>
      <c r="K74" s="463">
        <f>計分版!H297</f>
        <v>4.0000000000000001E-10</v>
      </c>
      <c r="L74" s="463">
        <f>計分版!I297</f>
        <v>5.0000000000000003E-10</v>
      </c>
      <c r="M74" s="463">
        <f>計分版!J297</f>
        <v>6E-10</v>
      </c>
      <c r="N74" s="463">
        <f>計分版!K297</f>
        <v>6.9999999999999996E-10</v>
      </c>
      <c r="O74" s="463">
        <f>計分版!L297</f>
        <v>8.0000000000000003E-10</v>
      </c>
      <c r="P74" s="463">
        <f>計分版!M297</f>
        <v>8.9999999999999999E-10</v>
      </c>
      <c r="Q74" s="463">
        <f>計分版!N297</f>
        <v>9.5000000000000003E-10</v>
      </c>
      <c r="R74" s="469"/>
      <c r="S74" s="175" t="s">
        <v>2372</v>
      </c>
    </row>
    <row r="75" spans="1:19" s="187" customFormat="1" ht="14.4">
      <c r="A75" s="175" t="s">
        <v>240</v>
      </c>
      <c r="B75" s="175" t="s">
        <v>241</v>
      </c>
      <c r="C75" s="175" t="s">
        <v>189</v>
      </c>
      <c r="D75" s="467">
        <f>HKU!F44</f>
        <v>31</v>
      </c>
      <c r="E75" s="467">
        <f>HKU!G44</f>
        <v>31</v>
      </c>
      <c r="F75" s="467">
        <f>HKU!H44</f>
        <v>29</v>
      </c>
      <c r="G75" s="468">
        <f>計分版!D298</f>
        <v>3.9500000000000006E-9</v>
      </c>
      <c r="H75" s="463">
        <f>計分版!E298</f>
        <v>1E-10</v>
      </c>
      <c r="I75" s="463">
        <f>計分版!F298</f>
        <v>2.0000000000000001E-10</v>
      </c>
      <c r="J75" s="463">
        <f>計分版!G298</f>
        <v>3E-10</v>
      </c>
      <c r="K75" s="463">
        <f>計分版!H298</f>
        <v>4.0000000000000001E-10</v>
      </c>
      <c r="L75" s="463">
        <f>計分版!I298</f>
        <v>5.0000000000000003E-10</v>
      </c>
      <c r="M75" s="463">
        <f>計分版!J298</f>
        <v>6E-10</v>
      </c>
      <c r="N75" s="463">
        <f>計分版!K298</f>
        <v>6.9999999999999996E-10</v>
      </c>
      <c r="O75" s="463">
        <f>計分版!L298</f>
        <v>8.0000000000000003E-10</v>
      </c>
      <c r="P75" s="463">
        <f>計分版!M298</f>
        <v>8.9999999999999999E-10</v>
      </c>
      <c r="Q75" s="463">
        <f>計分版!N298</f>
        <v>9.5000000000000003E-10</v>
      </c>
      <c r="R75" s="469"/>
      <c r="S75" s="175" t="s">
        <v>2377</v>
      </c>
    </row>
    <row r="76" spans="1:19" s="187" customFormat="1">
      <c r="A76" s="175"/>
      <c r="B76" s="175"/>
      <c r="C76" s="175"/>
      <c r="D76" s="175"/>
      <c r="E76" s="447"/>
      <c r="F76" s="447"/>
      <c r="G76" s="447"/>
      <c r="H76" s="447"/>
      <c r="I76" s="447"/>
      <c r="J76" s="447"/>
      <c r="K76" s="447"/>
      <c r="L76" s="447"/>
      <c r="M76" s="447"/>
      <c r="N76" s="447"/>
      <c r="O76" s="175"/>
      <c r="P76" s="175"/>
      <c r="Q76" s="175"/>
      <c r="R76" s="447"/>
      <c r="S76" s="175"/>
    </row>
    <row r="77" spans="1:19" s="187" customFormat="1">
      <c r="A77" s="175"/>
      <c r="B77" s="175"/>
      <c r="C77" s="175"/>
      <c r="D77" s="175"/>
      <c r="E77" s="447"/>
      <c r="F77" s="447"/>
      <c r="G77" s="447"/>
      <c r="H77" s="447"/>
      <c r="I77" s="447"/>
      <c r="J77" s="447"/>
      <c r="K77" s="447"/>
      <c r="L77" s="447"/>
      <c r="M77" s="447"/>
      <c r="N77" s="447"/>
      <c r="O77" s="175"/>
      <c r="P77" s="175"/>
      <c r="Q77" s="175"/>
      <c r="R77" s="447"/>
      <c r="S77" s="175"/>
    </row>
    <row r="78" spans="1:19" s="187" customFormat="1">
      <c r="A78" s="175" t="s">
        <v>2433</v>
      </c>
      <c r="B78" s="175"/>
      <c r="C78" s="175"/>
      <c r="D78" s="175"/>
      <c r="E78" s="447"/>
      <c r="F78" s="447"/>
      <c r="G78" s="447"/>
      <c r="H78" s="447"/>
      <c r="I78" s="447"/>
      <c r="J78" s="447"/>
      <c r="K78" s="447"/>
      <c r="L78" s="447"/>
      <c r="M78" s="447"/>
      <c r="N78" s="447"/>
      <c r="O78" s="175"/>
      <c r="P78" s="175"/>
      <c r="Q78" s="175"/>
      <c r="R78" s="447"/>
      <c r="S78" s="175"/>
    </row>
    <row r="79" spans="1:19" s="187" customFormat="1">
      <c r="A79" s="194" t="s">
        <v>2221</v>
      </c>
      <c r="B79" s="175"/>
      <c r="C79" s="175"/>
      <c r="D79" s="175"/>
      <c r="E79" s="447"/>
      <c r="F79" s="447"/>
      <c r="G79" s="447"/>
      <c r="H79" s="447"/>
      <c r="I79" s="447"/>
      <c r="J79" s="447"/>
      <c r="K79" s="447"/>
      <c r="L79" s="447"/>
      <c r="M79" s="447"/>
      <c r="N79" s="447"/>
      <c r="O79" s="175"/>
      <c r="P79" s="175"/>
      <c r="Q79" s="175"/>
      <c r="R79" s="447"/>
      <c r="S79" s="175"/>
    </row>
    <row r="80" spans="1:19" s="187" customFormat="1">
      <c r="A80" s="194" t="s">
        <v>2434</v>
      </c>
      <c r="B80" s="175"/>
      <c r="C80" s="175"/>
      <c r="D80" s="175"/>
      <c r="E80" s="447"/>
      <c r="F80" s="447"/>
      <c r="G80" s="447"/>
      <c r="H80" s="447"/>
      <c r="I80" s="447"/>
      <c r="J80" s="447"/>
      <c r="K80" s="447"/>
      <c r="L80" s="447"/>
      <c r="M80" s="447"/>
      <c r="N80" s="447"/>
      <c r="O80" s="175"/>
      <c r="P80" s="175"/>
      <c r="Q80" s="175"/>
      <c r="R80" s="447"/>
      <c r="S80" s="175"/>
    </row>
    <row r="81" spans="1:19" s="187" customFormat="1">
      <c r="A81" s="175"/>
      <c r="B81" s="175"/>
      <c r="C81" s="175"/>
      <c r="D81" s="175"/>
      <c r="E81" s="447"/>
      <c r="F81" s="447"/>
      <c r="G81" s="447"/>
      <c r="H81" s="447"/>
      <c r="I81" s="447"/>
      <c r="J81" s="447"/>
      <c r="K81" s="447"/>
      <c r="L81" s="447"/>
      <c r="M81" s="447"/>
      <c r="N81" s="447"/>
      <c r="O81" s="175"/>
      <c r="P81" s="175"/>
      <c r="Q81" s="175"/>
      <c r="R81" s="447"/>
      <c r="S81" s="175"/>
    </row>
    <row r="82" spans="1:19" s="187" customFormat="1">
      <c r="A82" s="175"/>
      <c r="B82" s="175"/>
      <c r="C82" s="175"/>
      <c r="D82" s="175"/>
      <c r="E82" s="447"/>
      <c r="F82" s="447"/>
      <c r="G82" s="447"/>
      <c r="H82" s="447"/>
      <c r="I82" s="447"/>
      <c r="J82" s="447"/>
      <c r="K82" s="447"/>
      <c r="L82" s="447"/>
      <c r="M82" s="447"/>
      <c r="N82" s="447"/>
      <c r="O82" s="175"/>
      <c r="P82" s="175"/>
      <c r="Q82" s="175"/>
      <c r="R82" s="447"/>
      <c r="S82" s="175"/>
    </row>
    <row r="83" spans="1:19" s="187" customFormat="1">
      <c r="A83" s="175"/>
      <c r="B83" s="175"/>
      <c r="C83" s="175"/>
      <c r="D83" s="175"/>
      <c r="E83" s="447"/>
      <c r="F83" s="447"/>
      <c r="G83" s="447"/>
      <c r="H83" s="447"/>
      <c r="I83" s="447"/>
      <c r="J83" s="447"/>
      <c r="K83" s="447"/>
      <c r="L83" s="447"/>
      <c r="M83" s="447"/>
      <c r="N83" s="447"/>
      <c r="O83" s="175"/>
      <c r="P83" s="175"/>
      <c r="Q83" s="175"/>
      <c r="R83" s="447"/>
      <c r="S83" s="175"/>
    </row>
    <row r="84" spans="1:19" s="187" customFormat="1">
      <c r="A84" s="175"/>
      <c r="B84" s="175"/>
      <c r="C84" s="175"/>
      <c r="D84" s="175"/>
      <c r="E84" s="447"/>
      <c r="F84" s="447"/>
      <c r="G84" s="447"/>
      <c r="H84" s="447"/>
      <c r="I84" s="447"/>
      <c r="J84" s="447"/>
      <c r="K84" s="447"/>
      <c r="L84" s="447"/>
      <c r="M84" s="447"/>
      <c r="N84" s="447"/>
      <c r="O84" s="175"/>
      <c r="P84" s="175"/>
      <c r="Q84" s="175"/>
      <c r="R84" s="447"/>
      <c r="S84" s="175"/>
    </row>
    <row r="85" spans="1:19" s="187" customFormat="1">
      <c r="A85" s="175"/>
      <c r="B85" s="175"/>
      <c r="C85" s="175"/>
      <c r="D85" s="175"/>
      <c r="E85" s="447"/>
      <c r="F85" s="447"/>
      <c r="G85" s="447"/>
      <c r="H85" s="447"/>
      <c r="I85" s="447"/>
      <c r="J85" s="447"/>
      <c r="K85" s="447"/>
      <c r="L85" s="447"/>
      <c r="M85" s="447"/>
      <c r="N85" s="447"/>
      <c r="O85" s="175"/>
      <c r="P85" s="175"/>
      <c r="Q85" s="175"/>
      <c r="R85" s="447"/>
      <c r="S85" s="175"/>
    </row>
    <row r="86" spans="1:19" s="187" customFormat="1">
      <c r="A86" s="175"/>
      <c r="B86" s="175"/>
      <c r="C86" s="175"/>
      <c r="D86" s="175"/>
      <c r="E86" s="447"/>
      <c r="F86" s="447"/>
      <c r="G86" s="447"/>
      <c r="H86" s="447"/>
      <c r="I86" s="447"/>
      <c r="J86" s="447"/>
      <c r="K86" s="447"/>
      <c r="L86" s="447"/>
      <c r="M86" s="447"/>
      <c r="N86" s="447"/>
      <c r="O86" s="175"/>
      <c r="P86" s="175"/>
      <c r="Q86" s="175"/>
      <c r="R86" s="447"/>
      <c r="S86" s="175"/>
    </row>
    <row r="87" spans="1:19" s="187" customFormat="1">
      <c r="A87" s="175"/>
      <c r="B87" s="175"/>
      <c r="C87" s="175"/>
      <c r="D87" s="175"/>
      <c r="E87" s="447"/>
      <c r="F87" s="447"/>
      <c r="G87" s="447"/>
      <c r="H87" s="447"/>
      <c r="I87" s="447"/>
      <c r="J87" s="447"/>
      <c r="K87" s="447"/>
      <c r="L87" s="447"/>
      <c r="M87" s="447"/>
      <c r="N87" s="447"/>
      <c r="O87" s="175"/>
      <c r="P87" s="175"/>
      <c r="Q87" s="175"/>
      <c r="R87" s="447"/>
      <c r="S87" s="175"/>
    </row>
    <row r="88" spans="1:19" s="187" customFormat="1">
      <c r="A88" s="175"/>
      <c r="B88" s="175"/>
      <c r="C88" s="175"/>
      <c r="D88" s="175"/>
      <c r="E88" s="447"/>
      <c r="F88" s="447"/>
      <c r="G88" s="447"/>
      <c r="H88" s="447"/>
      <c r="I88" s="447"/>
      <c r="J88" s="447"/>
      <c r="K88" s="447"/>
      <c r="L88" s="447"/>
      <c r="M88" s="447"/>
      <c r="N88" s="447"/>
      <c r="O88" s="175"/>
      <c r="P88" s="175"/>
      <c r="Q88" s="175"/>
      <c r="R88" s="447"/>
      <c r="S88" s="175"/>
    </row>
    <row r="89" spans="1:19" s="187" customFormat="1">
      <c r="A89" s="175"/>
      <c r="B89" s="175"/>
      <c r="C89" s="175"/>
      <c r="D89" s="175"/>
      <c r="E89" s="447"/>
      <c r="F89" s="447"/>
      <c r="G89" s="447"/>
      <c r="H89" s="447"/>
      <c r="I89" s="447"/>
      <c r="J89" s="447"/>
      <c r="K89" s="447"/>
      <c r="L89" s="447"/>
      <c r="M89" s="447"/>
      <c r="N89" s="447"/>
      <c r="O89" s="175"/>
      <c r="P89" s="175"/>
      <c r="Q89" s="175"/>
      <c r="R89" s="447"/>
      <c r="S89" s="175"/>
    </row>
    <row r="90" spans="1:19" s="187" customFormat="1">
      <c r="A90" s="175"/>
      <c r="B90" s="175"/>
      <c r="C90" s="175"/>
      <c r="D90" s="175"/>
      <c r="E90" s="447"/>
      <c r="F90" s="447"/>
      <c r="G90" s="447"/>
      <c r="H90" s="447"/>
      <c r="I90" s="447"/>
      <c r="J90" s="447"/>
      <c r="K90" s="447"/>
      <c r="L90" s="447"/>
      <c r="M90" s="447"/>
      <c r="N90" s="447"/>
      <c r="O90" s="175"/>
      <c r="P90" s="175"/>
      <c r="Q90" s="175"/>
      <c r="R90" s="447"/>
      <c r="S90" s="175"/>
    </row>
    <row r="91" spans="1:19" s="187" customFormat="1">
      <c r="A91" s="175"/>
      <c r="B91" s="175"/>
      <c r="C91" s="175"/>
      <c r="D91" s="175"/>
      <c r="E91" s="447"/>
      <c r="F91" s="447"/>
      <c r="G91" s="447"/>
      <c r="H91" s="447"/>
      <c r="I91" s="447"/>
      <c r="J91" s="447"/>
      <c r="K91" s="447"/>
      <c r="L91" s="447"/>
      <c r="M91" s="447"/>
      <c r="N91" s="447"/>
      <c r="O91" s="175"/>
      <c r="P91" s="175"/>
      <c r="Q91" s="175"/>
      <c r="R91" s="447"/>
      <c r="S91" s="175"/>
    </row>
    <row r="92" spans="1:19" s="187" customFormat="1">
      <c r="A92" s="175"/>
      <c r="B92" s="175"/>
      <c r="C92" s="175"/>
      <c r="D92" s="175"/>
      <c r="E92" s="447"/>
      <c r="F92" s="447"/>
      <c r="G92" s="447"/>
      <c r="H92" s="447"/>
      <c r="I92" s="447"/>
      <c r="J92" s="447"/>
      <c r="K92" s="447"/>
      <c r="L92" s="447"/>
      <c r="M92" s="447"/>
      <c r="N92" s="447"/>
      <c r="O92" s="175"/>
      <c r="P92" s="175"/>
      <c r="Q92" s="175"/>
      <c r="R92" s="447"/>
      <c r="S92" s="175"/>
    </row>
    <row r="93" spans="1:19" s="187" customFormat="1">
      <c r="A93" s="175"/>
      <c r="B93" s="175"/>
      <c r="C93" s="175"/>
      <c r="D93" s="175"/>
      <c r="E93" s="447"/>
      <c r="F93" s="447"/>
      <c r="G93" s="447"/>
      <c r="H93" s="447"/>
      <c r="I93" s="447"/>
      <c r="J93" s="447"/>
      <c r="K93" s="447"/>
      <c r="L93" s="447"/>
      <c r="M93" s="447"/>
      <c r="N93" s="447"/>
      <c r="O93" s="175"/>
      <c r="P93" s="175"/>
      <c r="Q93" s="175"/>
      <c r="R93" s="447"/>
      <c r="S93" s="175"/>
    </row>
    <row r="94" spans="1:19"/>
    <row r="95" spans="1:19"/>
    <row r="96" spans="1:19"/>
    <row r="97"/>
    <row r="98"/>
    <row r="99"/>
  </sheetData>
  <phoneticPr fontId="2" type="noConversion"/>
  <conditionalFormatting sqref="A13:S29">
    <cfRule type="expression" dxfId="19" priority="16">
      <formula>MOD(ROW(),2)=0</formula>
    </cfRule>
  </conditionalFormatting>
  <conditionalFormatting sqref="A33:AA75">
    <cfRule type="expression" dxfId="18" priority="7">
      <formula>MOD(ROW(),2)=0</formula>
    </cfRule>
  </conditionalFormatting>
  <hyperlinks>
    <hyperlink ref="A79" r:id="rId1" xr:uid="{00000000-0004-0000-1300-000000000000}"/>
    <hyperlink ref="A80" r:id="rId2" xr:uid="{00000000-0004-0000-1300-000001000000}"/>
  </hyperlinks>
  <pageMargins left="0.7" right="0.7" top="0.75" bottom="0.75" header="0.3" footer="0.3"/>
  <drawing r:id="rId3"/>
  <legacyDrawing r:id="rId4"/>
  <mc:AlternateContent xmlns:mc="http://schemas.openxmlformats.org/markup-compatibility/2006">
    <mc:Choice Requires="x14">
      <controls>
        <mc:AlternateContent xmlns:mc="http://schemas.openxmlformats.org/markup-compatibility/2006">
          <mc:Choice Requires="x14">
            <control shapeId="108548" r:id="rId5" name=" 4">
              <controlPr defaultSize="0" autoFill="0" autoLine="0" autoPict="0">
                <anchor moveWithCells="1">
                  <from>
                    <xdr:col>3</xdr:col>
                    <xdr:colOff>7620</xdr:colOff>
                    <xdr:row>2</xdr:row>
                    <xdr:rowOff>137160</xdr:rowOff>
                  </from>
                  <to>
                    <xdr:col>3</xdr:col>
                    <xdr:colOff>198120</xdr:colOff>
                    <xdr:row>4</xdr:row>
                    <xdr:rowOff>38100</xdr:rowOff>
                  </to>
                </anchor>
              </controlPr>
            </control>
          </mc:Choice>
        </mc:AlternateContent>
        <mc:AlternateContent xmlns:mc="http://schemas.openxmlformats.org/markup-compatibility/2006">
          <mc:Choice Requires="x14">
            <control shapeId="108549" r:id="rId6" name=" 5">
              <controlPr defaultSize="0" autoFill="0" autoLine="0" autoPict="0">
                <anchor moveWithCells="1">
                  <from>
                    <xdr:col>3</xdr:col>
                    <xdr:colOff>7620</xdr:colOff>
                    <xdr:row>3</xdr:row>
                    <xdr:rowOff>121920</xdr:rowOff>
                  </from>
                  <to>
                    <xdr:col>3</xdr:col>
                    <xdr:colOff>198120</xdr:colOff>
                    <xdr:row>5</xdr:row>
                    <xdr:rowOff>38100</xdr:rowOff>
                  </to>
                </anchor>
              </controlPr>
            </control>
          </mc:Choice>
        </mc:AlternateContent>
        <mc:AlternateContent xmlns:mc="http://schemas.openxmlformats.org/markup-compatibility/2006">
          <mc:Choice Requires="x14">
            <control shapeId="108550" r:id="rId7" name=" 6">
              <controlPr defaultSize="0" autoFill="0" autoLine="0" autoPict="0">
                <anchor moveWithCells="1">
                  <from>
                    <xdr:col>3</xdr:col>
                    <xdr:colOff>7620</xdr:colOff>
                    <xdr:row>4</xdr:row>
                    <xdr:rowOff>121920</xdr:rowOff>
                  </from>
                  <to>
                    <xdr:col>3</xdr:col>
                    <xdr:colOff>198120</xdr:colOff>
                    <xdr:row>6</xdr:row>
                    <xdr:rowOff>38100</xdr:rowOff>
                  </to>
                </anchor>
              </controlPr>
            </control>
          </mc:Choice>
        </mc:AlternateContent>
        <mc:AlternateContent xmlns:mc="http://schemas.openxmlformats.org/markup-compatibility/2006">
          <mc:Choice Requires="x14">
            <control shapeId="108551" r:id="rId8" name=" 7">
              <controlPr defaultSize="0" autoFill="0" autoLine="0" autoPict="0">
                <anchor moveWithCells="1">
                  <from>
                    <xdr:col>3</xdr:col>
                    <xdr:colOff>7620</xdr:colOff>
                    <xdr:row>5</xdr:row>
                    <xdr:rowOff>114300</xdr:rowOff>
                  </from>
                  <to>
                    <xdr:col>3</xdr:col>
                    <xdr:colOff>198120</xdr:colOff>
                    <xdr:row>7</xdr:row>
                    <xdr:rowOff>30480</xdr:rowOff>
                  </to>
                </anchor>
              </controlPr>
            </control>
          </mc:Choice>
        </mc:AlternateContent>
        <mc:AlternateContent xmlns:mc="http://schemas.openxmlformats.org/markup-compatibility/2006">
          <mc:Choice Requires="x14">
            <control shapeId="108552" r:id="rId9" name=" 8">
              <controlPr defaultSize="0" autoFill="0" autoLine="0" autoPict="0">
                <anchor moveWithCells="1">
                  <from>
                    <xdr:col>3</xdr:col>
                    <xdr:colOff>7620</xdr:colOff>
                    <xdr:row>6</xdr:row>
                    <xdr:rowOff>114300</xdr:rowOff>
                  </from>
                  <to>
                    <xdr:col>3</xdr:col>
                    <xdr:colOff>228600</xdr:colOff>
                    <xdr:row>8</xdr:row>
                    <xdr:rowOff>38100</xdr:rowOff>
                  </to>
                </anchor>
              </controlPr>
            </control>
          </mc:Choice>
        </mc:AlternateContent>
        <mc:AlternateContent xmlns:mc="http://schemas.openxmlformats.org/markup-compatibility/2006">
          <mc:Choice Requires="x14">
            <control shapeId="108555" r:id="rId10" name=" 11">
              <controlPr defaultSize="0" autoFill="0" autoLine="0" autoPict="0">
                <anchor moveWithCells="1">
                  <from>
                    <xdr:col>7</xdr:col>
                    <xdr:colOff>7620</xdr:colOff>
                    <xdr:row>2</xdr:row>
                    <xdr:rowOff>137160</xdr:rowOff>
                  </from>
                  <to>
                    <xdr:col>7</xdr:col>
                    <xdr:colOff>220980</xdr:colOff>
                    <xdr:row>4</xdr:row>
                    <xdr:rowOff>38100</xdr:rowOff>
                  </to>
                </anchor>
              </controlPr>
            </control>
          </mc:Choice>
        </mc:AlternateContent>
        <mc:AlternateContent xmlns:mc="http://schemas.openxmlformats.org/markup-compatibility/2006">
          <mc:Choice Requires="x14">
            <control shapeId="108556" r:id="rId11" name=" 12">
              <controlPr defaultSize="0" autoFill="0" autoLine="0" autoPict="0">
                <anchor moveWithCells="1">
                  <from>
                    <xdr:col>7</xdr:col>
                    <xdr:colOff>7620</xdr:colOff>
                    <xdr:row>3</xdr:row>
                    <xdr:rowOff>121920</xdr:rowOff>
                  </from>
                  <to>
                    <xdr:col>7</xdr:col>
                    <xdr:colOff>220980</xdr:colOff>
                    <xdr:row>5</xdr:row>
                    <xdr:rowOff>38100</xdr:rowOff>
                  </to>
                </anchor>
              </controlPr>
            </control>
          </mc:Choice>
        </mc:AlternateContent>
        <mc:AlternateContent xmlns:mc="http://schemas.openxmlformats.org/markup-compatibility/2006">
          <mc:Choice Requires="x14">
            <control shapeId="108557" r:id="rId12" name=" 13">
              <controlPr defaultSize="0" autoFill="0" autoLine="0" autoPict="0">
                <anchor moveWithCells="1">
                  <from>
                    <xdr:col>7</xdr:col>
                    <xdr:colOff>7620</xdr:colOff>
                    <xdr:row>4</xdr:row>
                    <xdr:rowOff>114300</xdr:rowOff>
                  </from>
                  <to>
                    <xdr:col>7</xdr:col>
                    <xdr:colOff>220980</xdr:colOff>
                    <xdr:row>6</xdr:row>
                    <xdr:rowOff>30480</xdr:rowOff>
                  </to>
                </anchor>
              </controlPr>
            </control>
          </mc:Choice>
        </mc:AlternateContent>
        <mc:AlternateContent xmlns:mc="http://schemas.openxmlformats.org/markup-compatibility/2006">
          <mc:Choice Requires="x14">
            <control shapeId="108558" r:id="rId13" name=" 14">
              <controlPr defaultSize="0" autoFill="0" autoLine="0" autoPict="0">
                <anchor moveWithCells="1">
                  <from>
                    <xdr:col>7</xdr:col>
                    <xdr:colOff>7620</xdr:colOff>
                    <xdr:row>5</xdr:row>
                    <xdr:rowOff>114300</xdr:rowOff>
                  </from>
                  <to>
                    <xdr:col>7</xdr:col>
                    <xdr:colOff>220980</xdr:colOff>
                    <xdr:row>7</xdr:row>
                    <xdr:rowOff>38100</xdr:rowOff>
                  </to>
                </anchor>
              </controlPr>
            </control>
          </mc:Choice>
        </mc:AlternateContent>
        <mc:AlternateContent xmlns:mc="http://schemas.openxmlformats.org/markup-compatibility/2006">
          <mc:Choice Requires="x14">
            <control shapeId="108559" r:id="rId14" name=" 15">
              <controlPr defaultSize="0" autoFill="0" autoLine="0" autoPict="0">
                <anchor moveWithCells="1">
                  <from>
                    <xdr:col>7</xdr:col>
                    <xdr:colOff>7620</xdr:colOff>
                    <xdr:row>6</xdr:row>
                    <xdr:rowOff>121920</xdr:rowOff>
                  </from>
                  <to>
                    <xdr:col>7</xdr:col>
                    <xdr:colOff>220980</xdr:colOff>
                    <xdr:row>8</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5" id="{176BC8F5-0FDC-456C-8359-3AED95E70969}">
            <xm:f>計分版!$E$15=TRUE</xm:f>
            <x14:dxf>
              <font>
                <b/>
                <i val="0"/>
                <color rgb="FF9C0006"/>
              </font>
            </x14:dxf>
          </x14:cfRule>
          <xm:sqref>H13:H29 H45 H59 H62 H63</xm:sqref>
        </x14:conditionalFormatting>
        <x14:conditionalFormatting xmlns:xm="http://schemas.microsoft.com/office/excel/2006/main">
          <x14:cfRule type="expression" priority="14" id="{DE899B07-FB66-4DAE-9350-04740DC4D311}">
            <xm:f>計分版!$F$15=TRUE</xm:f>
            <x14:dxf>
              <font>
                <color rgb="FF9C0006"/>
              </font>
            </x14:dxf>
          </x14:cfRule>
          <xm:sqref>I45 I59 I62 I63</xm:sqref>
        </x14:conditionalFormatting>
        <x14:conditionalFormatting xmlns:xm="http://schemas.microsoft.com/office/excel/2006/main">
          <x14:cfRule type="expression" priority="13" id="{8F35E2E4-2369-41B9-8A2A-B35303054263}">
            <xm:f>計分版!$G$15=TRUE</xm:f>
            <x14:dxf>
              <font>
                <b/>
                <i val="0"/>
                <color rgb="FF9C0006"/>
              </font>
            </x14:dxf>
          </x14:cfRule>
          <xm:sqref>J13:J29 J45 J59 J62 J63</xm:sqref>
        </x14:conditionalFormatting>
        <x14:conditionalFormatting xmlns:xm="http://schemas.microsoft.com/office/excel/2006/main">
          <x14:cfRule type="expression" priority="12" id="{21082C1D-26F3-44C3-95DE-32CB33FCE93D}">
            <xm:f>計分版!$H$15=TRUE</xm:f>
            <x14:dxf>
              <font>
                <b/>
                <i val="0"/>
                <color rgb="FF9C0006"/>
              </font>
            </x14:dxf>
          </x14:cfRule>
          <xm:sqref>K13:K29 K45 K59 K62 K63</xm:sqref>
        </x14:conditionalFormatting>
        <x14:conditionalFormatting xmlns:xm="http://schemas.microsoft.com/office/excel/2006/main">
          <x14:cfRule type="expression" priority="11" id="{4B10345D-D4CD-4F73-8615-2B53B3616897}">
            <xm:f>計分版!$I$15=TRUE</xm:f>
            <x14:dxf>
              <font>
                <b/>
                <i val="0"/>
                <color rgb="FF9C0006"/>
              </font>
            </x14:dxf>
          </x14:cfRule>
          <xm:sqref>L13:L29 L45 L59 L62 L63</xm:sqref>
        </x14:conditionalFormatting>
        <x14:conditionalFormatting xmlns:xm="http://schemas.microsoft.com/office/excel/2006/main">
          <x14:cfRule type="expression" priority="10" id="{CB0047C4-4CB6-46D3-BA9D-A43B13196906}">
            <xm:f>計分版!$J$15=TRUE</xm:f>
            <x14:dxf>
              <font>
                <b/>
                <i val="0"/>
                <color rgb="FF9C0006"/>
              </font>
            </x14:dxf>
          </x14:cfRule>
          <xm:sqref>M13:M29 M45 M59 M62 M63</xm:sqref>
        </x14:conditionalFormatting>
        <x14:conditionalFormatting xmlns:xm="http://schemas.microsoft.com/office/excel/2006/main">
          <x14:cfRule type="expression" priority="9" id="{8D24DBB3-1E8F-4126-A544-981BB3B8068C}">
            <xm:f>計分版!$K$15=TRUE</xm:f>
            <x14:dxf>
              <font>
                <b/>
                <i val="0"/>
                <color rgb="FF9C0006"/>
              </font>
            </x14:dxf>
          </x14:cfRule>
          <xm:sqref>N13:N29 N45 N59 N62 N63</xm:sqref>
        </x14:conditionalFormatting>
        <x14:conditionalFormatting xmlns:xm="http://schemas.microsoft.com/office/excel/2006/main">
          <x14:cfRule type="expression" priority="8" id="{9838714A-23EB-4BCF-BF9B-729E5BBD38C9}">
            <xm:f>計分版!$L$15=TRUE</xm:f>
            <x14:dxf>
              <font>
                <b/>
                <i val="0"/>
                <color rgb="FF9C0006"/>
              </font>
            </x14:dxf>
          </x14:cfRule>
          <xm:sqref>O13:O29 O45 O59 O62 O63</xm:sqref>
        </x14:conditionalFormatting>
        <x14:conditionalFormatting xmlns:xm="http://schemas.microsoft.com/office/excel/2006/main">
          <x14:cfRule type="expression" priority="3" id="{5E44F352-A897-40FC-AB2B-7FEDBA5E981E}">
            <xm:f>計分版!$M$15=TRUE</xm:f>
            <x14:dxf>
              <font>
                <b/>
                <i val="0"/>
                <color rgb="FF9C0006"/>
              </font>
            </x14:dxf>
          </x14:cfRule>
          <xm:sqref>P13:P29 P45 P59 P62 P63</xm:sqref>
        </x14:conditionalFormatting>
        <x14:conditionalFormatting xmlns:xm="http://schemas.microsoft.com/office/excel/2006/main">
          <x14:cfRule type="expression" priority="6" id="{59F0D9EF-5295-4010-86A9-F5FD8C72D559}">
            <xm:f>計分版!$N$15=TRUE</xm:f>
            <x14:dxf>
              <font>
                <b/>
                <i val="0"/>
                <color rgb="FF9C0006"/>
              </font>
            </x14:dxf>
          </x14:cfRule>
          <xm:sqref>Q13:Q29 Q45 Q59 Q62 Q63</xm:sqref>
        </x14:conditionalFormatting>
        <x14:conditionalFormatting xmlns:xm="http://schemas.microsoft.com/office/excel/2006/main">
          <x14:cfRule type="expression" priority="2" id="{9DE3B11D-E517-4221-992F-BEFB8F0492A2}">
            <xm:f>計分版!$F$15=TRUE</xm:f>
            <x14:dxf>
              <font>
                <b/>
                <i val="0"/>
                <color rgb="FF9C0006"/>
              </font>
            </x14:dxf>
          </x14:cfRule>
          <xm:sqref>I13:I29 I45 I59 I62 I63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3"/>
  <dimension ref="A1:AT413"/>
  <sheetViews>
    <sheetView topLeftCell="A223" zoomScaleNormal="100" workbookViewId="0">
      <selection activeCell="P257" sqref="P257"/>
    </sheetView>
  </sheetViews>
  <sheetFormatPr defaultColWidth="8.88671875" defaultRowHeight="13.8"/>
  <cols>
    <col min="1" max="3" width="8.88671875" style="2"/>
    <col min="4" max="4" width="6.109375" style="2" customWidth="1"/>
    <col min="5" max="10" width="2.77734375" style="78" customWidth="1"/>
    <col min="11" max="11" width="4.88671875" style="2" customWidth="1"/>
    <col min="12" max="17" width="2.77734375" style="2" customWidth="1"/>
    <col min="18" max="18" width="5" style="2" customWidth="1"/>
    <col min="19" max="20" width="3.44140625" style="78" customWidth="1"/>
    <col min="21" max="30" width="4.6640625" style="411" customWidth="1"/>
    <col min="31" max="31" width="4.6640625" style="182" customWidth="1"/>
    <col min="32" max="34" width="4.6640625" style="413" customWidth="1"/>
    <col min="35" max="39" width="2.6640625" style="413" customWidth="1"/>
    <col min="40" max="42" width="2.6640625" style="2" customWidth="1"/>
    <col min="43" max="16384" width="8.88671875" style="2"/>
  </cols>
  <sheetData>
    <row r="1" spans="1:39">
      <c r="A1" s="15" t="s">
        <v>758</v>
      </c>
    </row>
    <row r="2" spans="1:39">
      <c r="A2" s="15" t="s">
        <v>203</v>
      </c>
      <c r="B2" s="15" t="s">
        <v>367</v>
      </c>
      <c r="C2" s="15" t="s">
        <v>204</v>
      </c>
      <c r="D2" s="24" t="s">
        <v>361</v>
      </c>
      <c r="E2" s="24" t="s">
        <v>369</v>
      </c>
      <c r="F2" s="24" t="s">
        <v>370</v>
      </c>
      <c r="G2" s="24" t="s">
        <v>371</v>
      </c>
      <c r="H2" s="24" t="s">
        <v>372</v>
      </c>
      <c r="I2" s="24" t="s">
        <v>373</v>
      </c>
      <c r="J2" s="24" t="s">
        <v>374</v>
      </c>
      <c r="K2" s="174"/>
      <c r="L2" s="24" t="s">
        <v>369</v>
      </c>
      <c r="M2" s="24" t="s">
        <v>370</v>
      </c>
      <c r="N2" s="24" t="s">
        <v>371</v>
      </c>
      <c r="O2" s="24" t="s">
        <v>372</v>
      </c>
      <c r="P2" s="24" t="s">
        <v>373</v>
      </c>
      <c r="Q2" s="24" t="s">
        <v>374</v>
      </c>
      <c r="T2" s="2"/>
      <c r="U2" s="415" t="s">
        <v>2</v>
      </c>
      <c r="V2" s="415" t="s">
        <v>1</v>
      </c>
      <c r="W2" s="415" t="s">
        <v>3</v>
      </c>
      <c r="X2" s="415" t="s">
        <v>4</v>
      </c>
      <c r="Y2" s="415" t="s">
        <v>63</v>
      </c>
      <c r="Z2" s="415" t="str">
        <f>主頁!$B$15</f>
        <v>請選擇第一選修科</v>
      </c>
      <c r="AA2" s="415" t="str">
        <f>主頁!$B$16</f>
        <v>請選擇第二選修科</v>
      </c>
      <c r="AB2" s="415" t="str">
        <f>主頁!$B$17</f>
        <v>請選擇第三選修科</v>
      </c>
      <c r="AC2" s="415" t="str">
        <f>主頁!$B$18</f>
        <v>請選擇第四選修科</v>
      </c>
      <c r="AD2" s="416" t="str">
        <f>主頁!$B$19</f>
        <v>請選擇語言科目</v>
      </c>
      <c r="AE2" s="417" t="s">
        <v>360</v>
      </c>
      <c r="AF2" s="413" t="s">
        <v>2305</v>
      </c>
      <c r="AG2" s="413" t="s">
        <v>2306</v>
      </c>
      <c r="AH2" s="413" t="s">
        <v>2307</v>
      </c>
      <c r="AJ2" s="2"/>
      <c r="AK2" s="2"/>
      <c r="AL2" s="2"/>
      <c r="AM2" s="2"/>
    </row>
    <row r="3" spans="1:39">
      <c r="A3" s="2" t="str">
        <f>CityU!A2</f>
        <v>JS1000</v>
      </c>
      <c r="B3" s="174" t="str">
        <f>CityU!C2</f>
        <v>理學士(計算金融及金融科技)</v>
      </c>
      <c r="E3" s="419">
        <v>3</v>
      </c>
      <c r="F3" s="419">
        <v>3</v>
      </c>
      <c r="G3" s="419">
        <v>4</v>
      </c>
      <c r="H3" s="419">
        <v>2</v>
      </c>
      <c r="I3" s="419">
        <v>3</v>
      </c>
      <c r="J3" s="419">
        <v>3</v>
      </c>
      <c r="K3" s="174"/>
      <c r="L3" s="78">
        <f>IF(E3&gt;U3,0,1)</f>
        <v>0</v>
      </c>
      <c r="M3" s="411">
        <f t="shared" ref="M3:O3" si="0">IF(F3&gt;V3,0,1)</f>
        <v>0</v>
      </c>
      <c r="N3" s="411">
        <f t="shared" si="0"/>
        <v>0</v>
      </c>
      <c r="O3" s="411">
        <f t="shared" si="0"/>
        <v>0</v>
      </c>
      <c r="P3" s="78">
        <f t="shared" ref="P3:P20" si="1">IF(I3&gt;LARGE(Y3:AD3,1),0,1)</f>
        <v>0</v>
      </c>
      <c r="Q3" s="78">
        <f t="shared" ref="Q3:Q25" si="2">IF(J3&gt;LARGE(Y3:AD3,2),0,1)</f>
        <v>0</v>
      </c>
      <c r="S3" s="78">
        <f>L3*M3*N3*O3*P3*Q3</f>
        <v>0</v>
      </c>
      <c r="T3" s="2"/>
      <c r="U3" s="411">
        <f>計分版!E$13</f>
        <v>1E-10</v>
      </c>
      <c r="V3" s="411">
        <f>計分版!F$13</f>
        <v>2.0000000000000001E-10</v>
      </c>
      <c r="W3" s="411">
        <f>計分版!G$13</f>
        <v>3E-10</v>
      </c>
      <c r="X3" s="411">
        <f>計分版!H$13</f>
        <v>4.0000000000000001E-10</v>
      </c>
      <c r="Y3" s="411">
        <f>計分版!I$13</f>
        <v>5.0000000000000003E-10</v>
      </c>
      <c r="Z3" s="411">
        <f>計分版!J$13</f>
        <v>6E-10</v>
      </c>
      <c r="AA3" s="411">
        <f>計分版!K$13</f>
        <v>6.9999999999999996E-10</v>
      </c>
      <c r="AB3" s="411">
        <f>計分版!L$13</f>
        <v>8.0000000000000003E-10</v>
      </c>
      <c r="AC3" s="411">
        <f>計分版!M$13</f>
        <v>8.9999999999999999E-10</v>
      </c>
      <c r="AD3" s="411">
        <f>計分版!N$13</f>
        <v>9.5000000000000003E-10</v>
      </c>
      <c r="AF3" s="413" t="s">
        <v>2308</v>
      </c>
      <c r="AG3" s="413" t="s">
        <v>2309</v>
      </c>
      <c r="AJ3" s="2"/>
      <c r="AK3" s="2"/>
      <c r="AL3" s="2"/>
      <c r="AM3" s="2"/>
    </row>
    <row r="4" spans="1:39">
      <c r="A4" s="174" t="str">
        <f>CityU!A3</f>
        <v>JS1001</v>
      </c>
      <c r="B4" s="174" t="str">
        <f>CityU!C3</f>
        <v>工商管理學士(環球商業)</v>
      </c>
      <c r="E4" s="419">
        <v>3</v>
      </c>
      <c r="F4" s="419">
        <v>3</v>
      </c>
      <c r="G4" s="419">
        <v>3</v>
      </c>
      <c r="H4" s="419">
        <v>2</v>
      </c>
      <c r="I4" s="419">
        <v>3</v>
      </c>
      <c r="J4" s="419">
        <v>3</v>
      </c>
      <c r="K4" s="174"/>
      <c r="L4" s="411">
        <f t="shared" ref="L4:L52" si="3">IF(E4&gt;U4,0,1)</f>
        <v>0</v>
      </c>
      <c r="M4" s="411">
        <f t="shared" ref="M4:M52" si="4">IF(F4&gt;V4,0,1)</f>
        <v>0</v>
      </c>
      <c r="N4" s="411">
        <f t="shared" ref="N4:N52" si="5">IF(G4&gt;W4,0,1)</f>
        <v>0</v>
      </c>
      <c r="O4" s="411">
        <f t="shared" ref="O4:O52" si="6">IF(H4&gt;X4,0,1)</f>
        <v>0</v>
      </c>
      <c r="P4" s="411">
        <f t="shared" si="1"/>
        <v>0</v>
      </c>
      <c r="Q4" s="411">
        <f t="shared" si="2"/>
        <v>0</v>
      </c>
      <c r="S4" s="122">
        <f t="shared" ref="S4:S52" si="7">L4*M4*N4*O4*P4*Q4</f>
        <v>0</v>
      </c>
      <c r="T4" s="2"/>
      <c r="U4" s="411">
        <f>計分版!E$13</f>
        <v>1E-10</v>
      </c>
      <c r="V4" s="411">
        <f>計分版!F$13</f>
        <v>2.0000000000000001E-10</v>
      </c>
      <c r="W4" s="411">
        <f>計分版!G$13</f>
        <v>3E-10</v>
      </c>
      <c r="X4" s="411">
        <f>計分版!H$13</f>
        <v>4.0000000000000001E-10</v>
      </c>
      <c r="Y4" s="411">
        <f>計分版!I$13</f>
        <v>5.0000000000000003E-10</v>
      </c>
      <c r="Z4" s="411">
        <f>計分版!J$13</f>
        <v>6E-10</v>
      </c>
      <c r="AA4" s="411">
        <f>計分版!K$13</f>
        <v>6.9999999999999996E-10</v>
      </c>
      <c r="AB4" s="411">
        <f>計分版!L$13</f>
        <v>8.0000000000000003E-10</v>
      </c>
      <c r="AC4" s="411">
        <f>計分版!M$13</f>
        <v>8.9999999999999999E-10</v>
      </c>
      <c r="AD4" s="411">
        <f>計分版!N$13</f>
        <v>9.5000000000000003E-10</v>
      </c>
      <c r="AF4" s="413" t="s">
        <v>2308</v>
      </c>
      <c r="AG4" s="413" t="s">
        <v>2309</v>
      </c>
      <c r="AJ4" s="2"/>
      <c r="AK4" s="2"/>
      <c r="AL4" s="2"/>
      <c r="AM4" s="2"/>
    </row>
    <row r="5" spans="1:39">
      <c r="A5" s="174" t="str">
        <f>CityU!A4</f>
        <v>JS1002</v>
      </c>
      <c r="B5" s="174" t="str">
        <f>CityU!C4</f>
        <v>工商管理學士(會計)</v>
      </c>
      <c r="E5" s="419">
        <v>3</v>
      </c>
      <c r="F5" s="419">
        <v>3</v>
      </c>
      <c r="G5" s="419">
        <v>3</v>
      </c>
      <c r="H5" s="419">
        <v>2</v>
      </c>
      <c r="I5" s="419">
        <v>3</v>
      </c>
      <c r="J5" s="419">
        <v>3</v>
      </c>
      <c r="K5" s="174"/>
      <c r="L5" s="411">
        <f t="shared" si="3"/>
        <v>0</v>
      </c>
      <c r="M5" s="411">
        <f t="shared" si="4"/>
        <v>0</v>
      </c>
      <c r="N5" s="411">
        <f t="shared" si="5"/>
        <v>0</v>
      </c>
      <c r="O5" s="411">
        <f t="shared" si="6"/>
        <v>0</v>
      </c>
      <c r="P5" s="411">
        <f t="shared" si="1"/>
        <v>0</v>
      </c>
      <c r="Q5" s="411">
        <f t="shared" si="2"/>
        <v>0</v>
      </c>
      <c r="S5" s="122">
        <f t="shared" si="7"/>
        <v>0</v>
      </c>
      <c r="T5" s="2"/>
      <c r="U5" s="411">
        <f>計分版!E$13</f>
        <v>1E-10</v>
      </c>
      <c r="V5" s="411">
        <f>計分版!F$13</f>
        <v>2.0000000000000001E-10</v>
      </c>
      <c r="W5" s="411">
        <f>計分版!G$13</f>
        <v>3E-10</v>
      </c>
      <c r="X5" s="411">
        <f>計分版!H$13</f>
        <v>4.0000000000000001E-10</v>
      </c>
      <c r="Y5" s="411">
        <f>計分版!I$13</f>
        <v>5.0000000000000003E-10</v>
      </c>
      <c r="Z5" s="411">
        <f>計分版!J$13</f>
        <v>6E-10</v>
      </c>
      <c r="AA5" s="411">
        <f>計分版!K$13</f>
        <v>6.9999999999999996E-10</v>
      </c>
      <c r="AB5" s="411">
        <f>計分版!L$13</f>
        <v>8.0000000000000003E-10</v>
      </c>
      <c r="AC5" s="411">
        <f>計分版!M$13</f>
        <v>8.9999999999999999E-10</v>
      </c>
      <c r="AD5" s="411">
        <f>計分版!N$13</f>
        <v>9.5000000000000003E-10</v>
      </c>
      <c r="AF5" s="413" t="s">
        <v>2308</v>
      </c>
      <c r="AG5" s="413" t="s">
        <v>2309</v>
      </c>
      <c r="AJ5" s="2"/>
      <c r="AK5" s="2"/>
      <c r="AL5" s="2"/>
      <c r="AM5" s="2"/>
    </row>
    <row r="6" spans="1:39">
      <c r="A6" s="174" t="str">
        <f>CityU!A5</f>
        <v>JS1005</v>
      </c>
      <c r="B6" s="174" t="str">
        <f>CityU!C5</f>
        <v>工商管理學士(管理學)</v>
      </c>
      <c r="E6" s="419">
        <v>3</v>
      </c>
      <c r="F6" s="419">
        <v>3</v>
      </c>
      <c r="G6" s="419">
        <v>3</v>
      </c>
      <c r="H6" s="419">
        <v>2</v>
      </c>
      <c r="I6" s="419">
        <v>3</v>
      </c>
      <c r="J6" s="419">
        <v>3</v>
      </c>
      <c r="K6" s="174"/>
      <c r="L6" s="411">
        <f t="shared" si="3"/>
        <v>0</v>
      </c>
      <c r="M6" s="411">
        <f t="shared" si="4"/>
        <v>0</v>
      </c>
      <c r="N6" s="411">
        <f t="shared" si="5"/>
        <v>0</v>
      </c>
      <c r="O6" s="411">
        <f t="shared" si="6"/>
        <v>0</v>
      </c>
      <c r="P6" s="411">
        <f t="shared" si="1"/>
        <v>0</v>
      </c>
      <c r="Q6" s="411">
        <f t="shared" si="2"/>
        <v>0</v>
      </c>
      <c r="S6" s="122">
        <f t="shared" si="7"/>
        <v>0</v>
      </c>
      <c r="T6" s="2"/>
      <c r="U6" s="411">
        <f>計分版!E$13</f>
        <v>1E-10</v>
      </c>
      <c r="V6" s="411">
        <f>計分版!F$13</f>
        <v>2.0000000000000001E-10</v>
      </c>
      <c r="W6" s="411">
        <f>計分版!G$13</f>
        <v>3E-10</v>
      </c>
      <c r="X6" s="411">
        <f>計分版!H$13</f>
        <v>4.0000000000000001E-10</v>
      </c>
      <c r="Y6" s="411">
        <f>計分版!I$13</f>
        <v>5.0000000000000003E-10</v>
      </c>
      <c r="Z6" s="411">
        <f>計分版!J$13</f>
        <v>6E-10</v>
      </c>
      <c r="AA6" s="411">
        <f>計分版!K$13</f>
        <v>6.9999999999999996E-10</v>
      </c>
      <c r="AB6" s="411">
        <f>計分版!L$13</f>
        <v>8.0000000000000003E-10</v>
      </c>
      <c r="AC6" s="411">
        <f>計分版!M$13</f>
        <v>8.9999999999999999E-10</v>
      </c>
      <c r="AD6" s="411">
        <f>計分版!N$13</f>
        <v>9.5000000000000003E-10</v>
      </c>
      <c r="AF6" s="413" t="s">
        <v>2308</v>
      </c>
      <c r="AG6" s="413" t="s">
        <v>2309</v>
      </c>
      <c r="AJ6" s="2"/>
      <c r="AK6" s="2"/>
      <c r="AL6" s="2"/>
      <c r="AM6" s="2"/>
    </row>
    <row r="7" spans="1:39">
      <c r="A7" s="174" t="str">
        <f>CityU!A6</f>
        <v>JS1007</v>
      </c>
      <c r="B7" s="174" t="str">
        <f>CityU!C6</f>
        <v>工商管理學士(市場營銷)</v>
      </c>
      <c r="E7" s="419">
        <v>3</v>
      </c>
      <c r="F7" s="419">
        <v>3</v>
      </c>
      <c r="G7" s="419">
        <v>3</v>
      </c>
      <c r="H7" s="419">
        <v>2</v>
      </c>
      <c r="I7" s="419">
        <v>3</v>
      </c>
      <c r="J7" s="419">
        <v>3</v>
      </c>
      <c r="K7" s="174"/>
      <c r="L7" s="411">
        <f t="shared" si="3"/>
        <v>0</v>
      </c>
      <c r="M7" s="411">
        <f t="shared" si="4"/>
        <v>0</v>
      </c>
      <c r="N7" s="411">
        <f t="shared" si="5"/>
        <v>0</v>
      </c>
      <c r="O7" s="411">
        <f t="shared" si="6"/>
        <v>0</v>
      </c>
      <c r="P7" s="411">
        <f t="shared" si="1"/>
        <v>0</v>
      </c>
      <c r="Q7" s="411">
        <f t="shared" si="2"/>
        <v>0</v>
      </c>
      <c r="S7" s="122">
        <f>L7*M7*N7*O7*P7*Q7</f>
        <v>0</v>
      </c>
      <c r="T7" s="2"/>
      <c r="U7" s="411">
        <f>計分版!E$13</f>
        <v>1E-10</v>
      </c>
      <c r="V7" s="411">
        <f>計分版!F$13</f>
        <v>2.0000000000000001E-10</v>
      </c>
      <c r="W7" s="411">
        <f>計分版!G$13</f>
        <v>3E-10</v>
      </c>
      <c r="X7" s="411">
        <f>計分版!H$13</f>
        <v>4.0000000000000001E-10</v>
      </c>
      <c r="Y7" s="411">
        <f>計分版!I$13</f>
        <v>5.0000000000000003E-10</v>
      </c>
      <c r="Z7" s="411">
        <f>計分版!J$13</f>
        <v>6E-10</v>
      </c>
      <c r="AA7" s="411">
        <f>計分版!K$13</f>
        <v>6.9999999999999996E-10</v>
      </c>
      <c r="AB7" s="411">
        <f>計分版!L$13</f>
        <v>8.0000000000000003E-10</v>
      </c>
      <c r="AC7" s="411">
        <f>計分版!M$13</f>
        <v>8.9999999999999999E-10</v>
      </c>
      <c r="AD7" s="411">
        <f>計分版!N$13</f>
        <v>9.5000000000000003E-10</v>
      </c>
      <c r="AF7" s="413" t="s">
        <v>2308</v>
      </c>
      <c r="AG7" s="413" t="s">
        <v>2309</v>
      </c>
      <c r="AJ7" s="2"/>
      <c r="AK7" s="2"/>
      <c r="AL7" s="2"/>
      <c r="AM7" s="2"/>
    </row>
    <row r="8" spans="1:39">
      <c r="A8" s="174" t="str">
        <f>CityU!A7</f>
        <v>JS1012</v>
      </c>
      <c r="B8" s="174" t="str">
        <f>CityU!C7</f>
        <v>經濟及金融系 [選項: 工商管理學士(商業經濟)、工商管理學士(金融)]</v>
      </c>
      <c r="E8" s="419">
        <v>3</v>
      </c>
      <c r="F8" s="419">
        <v>3</v>
      </c>
      <c r="G8" s="419">
        <v>3</v>
      </c>
      <c r="H8" s="419">
        <v>2</v>
      </c>
      <c r="I8" s="419">
        <v>3</v>
      </c>
      <c r="J8" s="419">
        <v>3</v>
      </c>
      <c r="K8" s="174"/>
      <c r="L8" s="411">
        <f t="shared" si="3"/>
        <v>0</v>
      </c>
      <c r="M8" s="411">
        <f t="shared" si="4"/>
        <v>0</v>
      </c>
      <c r="N8" s="411">
        <f t="shared" si="5"/>
        <v>0</v>
      </c>
      <c r="O8" s="411">
        <f t="shared" si="6"/>
        <v>0</v>
      </c>
      <c r="P8" s="411">
        <f t="shared" si="1"/>
        <v>0</v>
      </c>
      <c r="Q8" s="411">
        <f t="shared" si="2"/>
        <v>0</v>
      </c>
      <c r="S8" s="122">
        <f t="shared" si="7"/>
        <v>0</v>
      </c>
      <c r="T8" s="2"/>
      <c r="U8" s="411">
        <f>計分版!E$13</f>
        <v>1E-10</v>
      </c>
      <c r="V8" s="411">
        <f>計分版!F$13</f>
        <v>2.0000000000000001E-10</v>
      </c>
      <c r="W8" s="411">
        <f>計分版!G$13</f>
        <v>3E-10</v>
      </c>
      <c r="X8" s="411">
        <f>計分版!H$13</f>
        <v>4.0000000000000001E-10</v>
      </c>
      <c r="Y8" s="411">
        <f>計分版!I$13</f>
        <v>5.0000000000000003E-10</v>
      </c>
      <c r="Z8" s="411">
        <f>計分版!J$13</f>
        <v>6E-10</v>
      </c>
      <c r="AA8" s="411">
        <f>計分版!K$13</f>
        <v>6.9999999999999996E-10</v>
      </c>
      <c r="AB8" s="411">
        <f>計分版!L$13</f>
        <v>8.0000000000000003E-10</v>
      </c>
      <c r="AC8" s="411">
        <f>計分版!M$13</f>
        <v>8.9999999999999999E-10</v>
      </c>
      <c r="AD8" s="411">
        <f>計分版!N$13</f>
        <v>9.5000000000000003E-10</v>
      </c>
      <c r="AF8" s="413" t="s">
        <v>2308</v>
      </c>
      <c r="AG8" s="413" t="s">
        <v>2309</v>
      </c>
      <c r="AJ8" s="2"/>
      <c r="AK8" s="2"/>
      <c r="AL8" s="2"/>
      <c r="AM8" s="2"/>
    </row>
    <row r="9" spans="1:39">
      <c r="A9" s="174" t="str">
        <f>CityU!A8</f>
        <v>JS1013</v>
      </c>
      <c r="B9" s="174" t="str">
        <f>CityU!C8</f>
        <v>工商管理學士(商業經濟)</v>
      </c>
      <c r="E9" s="419">
        <v>3</v>
      </c>
      <c r="F9" s="419">
        <v>3</v>
      </c>
      <c r="G9" s="419">
        <v>3</v>
      </c>
      <c r="H9" s="419">
        <v>2</v>
      </c>
      <c r="I9" s="419">
        <v>3</v>
      </c>
      <c r="J9" s="419">
        <v>3</v>
      </c>
      <c r="K9" s="174"/>
      <c r="L9" s="411">
        <f t="shared" si="3"/>
        <v>0</v>
      </c>
      <c r="M9" s="411">
        <f t="shared" si="4"/>
        <v>0</v>
      </c>
      <c r="N9" s="411">
        <f t="shared" si="5"/>
        <v>0</v>
      </c>
      <c r="O9" s="411">
        <f t="shared" si="6"/>
        <v>0</v>
      </c>
      <c r="P9" s="411">
        <f t="shared" si="1"/>
        <v>0</v>
      </c>
      <c r="Q9" s="411">
        <f t="shared" si="2"/>
        <v>0</v>
      </c>
      <c r="S9" s="122">
        <f t="shared" si="7"/>
        <v>0</v>
      </c>
      <c r="T9" s="2"/>
      <c r="U9" s="411">
        <f>計分版!E$13</f>
        <v>1E-10</v>
      </c>
      <c r="V9" s="411">
        <f>計分版!F$13</f>
        <v>2.0000000000000001E-10</v>
      </c>
      <c r="W9" s="411">
        <f>計分版!G$13</f>
        <v>3E-10</v>
      </c>
      <c r="X9" s="411">
        <f>計分版!H$13</f>
        <v>4.0000000000000001E-10</v>
      </c>
      <c r="Y9" s="411">
        <f>計分版!I$13</f>
        <v>5.0000000000000003E-10</v>
      </c>
      <c r="Z9" s="411">
        <f>計分版!J$13</f>
        <v>6E-10</v>
      </c>
      <c r="AA9" s="411">
        <f>計分版!K$13</f>
        <v>6.9999999999999996E-10</v>
      </c>
      <c r="AB9" s="411">
        <f>計分版!L$13</f>
        <v>8.0000000000000003E-10</v>
      </c>
      <c r="AC9" s="411">
        <f>計分版!M$13</f>
        <v>8.9999999999999999E-10</v>
      </c>
      <c r="AD9" s="411">
        <f>計分版!N$13</f>
        <v>9.5000000000000003E-10</v>
      </c>
      <c r="AF9" s="413" t="s">
        <v>2308</v>
      </c>
      <c r="AG9" s="413" t="s">
        <v>2309</v>
      </c>
      <c r="AJ9" s="2"/>
      <c r="AK9" s="2"/>
      <c r="AL9" s="2"/>
      <c r="AM9" s="2"/>
    </row>
    <row r="10" spans="1:39">
      <c r="A10" s="174" t="str">
        <f>CityU!A9</f>
        <v>JS1014</v>
      </c>
      <c r="B10" s="174" t="str">
        <f>CityU!C9</f>
        <v>工商管理學士(金融)</v>
      </c>
      <c r="E10" s="419">
        <v>3</v>
      </c>
      <c r="F10" s="419">
        <v>3</v>
      </c>
      <c r="G10" s="419">
        <v>3</v>
      </c>
      <c r="H10" s="419">
        <v>2</v>
      </c>
      <c r="I10" s="419">
        <v>3</v>
      </c>
      <c r="J10" s="419">
        <v>3</v>
      </c>
      <c r="K10" s="174"/>
      <c r="L10" s="411">
        <f t="shared" si="3"/>
        <v>0</v>
      </c>
      <c r="M10" s="411">
        <f t="shared" si="4"/>
        <v>0</v>
      </c>
      <c r="N10" s="411">
        <f t="shared" si="5"/>
        <v>0</v>
      </c>
      <c r="O10" s="411">
        <f t="shared" si="6"/>
        <v>0</v>
      </c>
      <c r="P10" s="411">
        <f t="shared" si="1"/>
        <v>0</v>
      </c>
      <c r="Q10" s="411">
        <f t="shared" si="2"/>
        <v>0</v>
      </c>
      <c r="S10" s="122">
        <f t="shared" si="7"/>
        <v>0</v>
      </c>
      <c r="T10" s="2"/>
      <c r="U10" s="411">
        <f>計分版!E$13</f>
        <v>1E-10</v>
      </c>
      <c r="V10" s="411">
        <f>計分版!F$13</f>
        <v>2.0000000000000001E-10</v>
      </c>
      <c r="W10" s="411">
        <f>計分版!G$13</f>
        <v>3E-10</v>
      </c>
      <c r="X10" s="411">
        <f>計分版!H$13</f>
        <v>4.0000000000000001E-10</v>
      </c>
      <c r="Y10" s="411">
        <f>計分版!I$13</f>
        <v>5.0000000000000003E-10</v>
      </c>
      <c r="Z10" s="411">
        <f>計分版!J$13</f>
        <v>6E-10</v>
      </c>
      <c r="AA10" s="411">
        <f>計分版!K$13</f>
        <v>6.9999999999999996E-10</v>
      </c>
      <c r="AB10" s="411">
        <f>計分版!L$13</f>
        <v>8.0000000000000003E-10</v>
      </c>
      <c r="AC10" s="411">
        <f>計分版!M$13</f>
        <v>8.9999999999999999E-10</v>
      </c>
      <c r="AD10" s="411">
        <f>計分版!N$13</f>
        <v>9.5000000000000003E-10</v>
      </c>
      <c r="AF10" s="413" t="s">
        <v>2308</v>
      </c>
      <c r="AG10" s="413" t="s">
        <v>2309</v>
      </c>
      <c r="AJ10" s="2"/>
      <c r="AK10" s="2"/>
      <c r="AL10" s="2"/>
      <c r="AM10" s="2"/>
    </row>
    <row r="11" spans="1:39">
      <c r="A11" s="174" t="str">
        <f>CityU!A10</f>
        <v>JS1017</v>
      </c>
      <c r="B11" s="174" t="str">
        <f>CityU!C10</f>
        <v>資訊系統學系 [選項: 工商管理學士(環球商業系統管理)、工商管理學士(資訊管理)]</v>
      </c>
      <c r="E11" s="419">
        <v>3</v>
      </c>
      <c r="F11" s="419">
        <v>3</v>
      </c>
      <c r="G11" s="419">
        <v>3</v>
      </c>
      <c r="H11" s="419">
        <v>2</v>
      </c>
      <c r="I11" s="419">
        <v>3</v>
      </c>
      <c r="J11" s="419">
        <v>3</v>
      </c>
      <c r="K11" s="174"/>
      <c r="L11" s="411">
        <f t="shared" si="3"/>
        <v>0</v>
      </c>
      <c r="M11" s="411">
        <f t="shared" si="4"/>
        <v>0</v>
      </c>
      <c r="N11" s="411">
        <f t="shared" si="5"/>
        <v>0</v>
      </c>
      <c r="O11" s="411">
        <f t="shared" si="6"/>
        <v>0</v>
      </c>
      <c r="P11" s="411">
        <f t="shared" si="1"/>
        <v>0</v>
      </c>
      <c r="Q11" s="411">
        <f t="shared" si="2"/>
        <v>0</v>
      </c>
      <c r="S11" s="122">
        <f t="shared" si="7"/>
        <v>0</v>
      </c>
      <c r="T11" s="2"/>
      <c r="U11" s="411">
        <f>計分版!E$13</f>
        <v>1E-10</v>
      </c>
      <c r="V11" s="411">
        <f>計分版!F$13</f>
        <v>2.0000000000000001E-10</v>
      </c>
      <c r="W11" s="411">
        <f>計分版!G$13</f>
        <v>3E-10</v>
      </c>
      <c r="X11" s="411">
        <f>計分版!H$13</f>
        <v>4.0000000000000001E-10</v>
      </c>
      <c r="Y11" s="411">
        <f>計分版!I$13</f>
        <v>5.0000000000000003E-10</v>
      </c>
      <c r="Z11" s="411">
        <f>計分版!J$13</f>
        <v>6E-10</v>
      </c>
      <c r="AA11" s="411">
        <f>計分版!K$13</f>
        <v>6.9999999999999996E-10</v>
      </c>
      <c r="AB11" s="411">
        <f>計分版!L$13</f>
        <v>8.0000000000000003E-10</v>
      </c>
      <c r="AC11" s="411">
        <f>計分版!M$13</f>
        <v>8.9999999999999999E-10</v>
      </c>
      <c r="AD11" s="411">
        <f>計分版!N$13</f>
        <v>9.5000000000000003E-10</v>
      </c>
      <c r="AF11" s="413" t="s">
        <v>2308</v>
      </c>
      <c r="AG11" s="413" t="s">
        <v>2309</v>
      </c>
      <c r="AJ11" s="2"/>
      <c r="AK11" s="2"/>
      <c r="AL11" s="2"/>
      <c r="AM11" s="2"/>
    </row>
    <row r="12" spans="1:39">
      <c r="A12" s="174" t="str">
        <f>CityU!A11</f>
        <v>JS1018</v>
      </c>
      <c r="B12" s="174" t="str">
        <f>CityU!C11</f>
        <v>工商管理學士(環球商業系統管理)</v>
      </c>
      <c r="E12" s="419">
        <v>3</v>
      </c>
      <c r="F12" s="419">
        <v>3</v>
      </c>
      <c r="G12" s="419">
        <v>3</v>
      </c>
      <c r="H12" s="419">
        <v>2</v>
      </c>
      <c r="I12" s="419">
        <v>3</v>
      </c>
      <c r="J12" s="419">
        <v>3</v>
      </c>
      <c r="K12" s="174"/>
      <c r="L12" s="411">
        <f t="shared" si="3"/>
        <v>0</v>
      </c>
      <c r="M12" s="411">
        <f t="shared" si="4"/>
        <v>0</v>
      </c>
      <c r="N12" s="411">
        <f t="shared" si="5"/>
        <v>0</v>
      </c>
      <c r="O12" s="411">
        <f t="shared" si="6"/>
        <v>0</v>
      </c>
      <c r="P12" s="411">
        <f t="shared" si="1"/>
        <v>0</v>
      </c>
      <c r="Q12" s="411">
        <f t="shared" si="2"/>
        <v>0</v>
      </c>
      <c r="S12" s="122">
        <f t="shared" si="7"/>
        <v>0</v>
      </c>
      <c r="T12" s="2"/>
      <c r="U12" s="411">
        <f>計分版!E$13</f>
        <v>1E-10</v>
      </c>
      <c r="V12" s="411">
        <f>計分版!F$13</f>
        <v>2.0000000000000001E-10</v>
      </c>
      <c r="W12" s="411">
        <f>計分版!G$13</f>
        <v>3E-10</v>
      </c>
      <c r="X12" s="411">
        <f>計分版!H$13</f>
        <v>4.0000000000000001E-10</v>
      </c>
      <c r="Y12" s="411">
        <f>計分版!I$13</f>
        <v>5.0000000000000003E-10</v>
      </c>
      <c r="Z12" s="411">
        <f>計分版!J$13</f>
        <v>6E-10</v>
      </c>
      <c r="AA12" s="411">
        <f>計分版!K$13</f>
        <v>6.9999999999999996E-10</v>
      </c>
      <c r="AB12" s="411">
        <f>計分版!L$13</f>
        <v>8.0000000000000003E-10</v>
      </c>
      <c r="AC12" s="411">
        <f>計分版!M$13</f>
        <v>8.9999999999999999E-10</v>
      </c>
      <c r="AD12" s="411">
        <f>計分版!N$13</f>
        <v>9.5000000000000003E-10</v>
      </c>
      <c r="AF12" s="413" t="s">
        <v>2308</v>
      </c>
      <c r="AG12" s="413" t="s">
        <v>2309</v>
      </c>
      <c r="AJ12" s="2"/>
      <c r="AK12" s="2"/>
      <c r="AL12" s="2"/>
      <c r="AM12" s="2"/>
    </row>
    <row r="13" spans="1:39">
      <c r="A13" s="174" t="str">
        <f>CityU!A12</f>
        <v>JS1019</v>
      </c>
      <c r="B13" s="174" t="str">
        <f>CityU!C12</f>
        <v>工商管理學士(資訊管理)</v>
      </c>
      <c r="E13" s="419">
        <v>3</v>
      </c>
      <c r="F13" s="419">
        <v>3</v>
      </c>
      <c r="G13" s="419">
        <v>3</v>
      </c>
      <c r="H13" s="419">
        <v>2</v>
      </c>
      <c r="I13" s="419">
        <v>3</v>
      </c>
      <c r="J13" s="419">
        <v>3</v>
      </c>
      <c r="K13" s="174"/>
      <c r="L13" s="411">
        <f t="shared" si="3"/>
        <v>0</v>
      </c>
      <c r="M13" s="411">
        <f t="shared" si="4"/>
        <v>0</v>
      </c>
      <c r="N13" s="411">
        <f t="shared" si="5"/>
        <v>0</v>
      </c>
      <c r="O13" s="411">
        <f t="shared" si="6"/>
        <v>0</v>
      </c>
      <c r="P13" s="411">
        <f t="shared" si="1"/>
        <v>0</v>
      </c>
      <c r="Q13" s="411">
        <f t="shared" si="2"/>
        <v>0</v>
      </c>
      <c r="S13" s="122">
        <f t="shared" si="7"/>
        <v>0</v>
      </c>
      <c r="T13" s="2"/>
      <c r="U13" s="411">
        <f>計分版!E$13</f>
        <v>1E-10</v>
      </c>
      <c r="V13" s="411">
        <f>計分版!F$13</f>
        <v>2.0000000000000001E-10</v>
      </c>
      <c r="W13" s="411">
        <f>計分版!G$13</f>
        <v>3E-10</v>
      </c>
      <c r="X13" s="411">
        <f>計分版!H$13</f>
        <v>4.0000000000000001E-10</v>
      </c>
      <c r="Y13" s="411">
        <f>計分版!I$13</f>
        <v>5.0000000000000003E-10</v>
      </c>
      <c r="Z13" s="411">
        <f>計分版!J$13</f>
        <v>6E-10</v>
      </c>
      <c r="AA13" s="411">
        <f>計分版!K$13</f>
        <v>6.9999999999999996E-10</v>
      </c>
      <c r="AB13" s="411">
        <f>計分版!L$13</f>
        <v>8.0000000000000003E-10</v>
      </c>
      <c r="AC13" s="411">
        <f>計分版!M$13</f>
        <v>8.9999999999999999E-10</v>
      </c>
      <c r="AD13" s="411">
        <f>計分版!N$13</f>
        <v>9.5000000000000003E-10</v>
      </c>
      <c r="AF13" s="413" t="s">
        <v>2308</v>
      </c>
      <c r="AG13" s="413" t="s">
        <v>2309</v>
      </c>
      <c r="AJ13" s="2"/>
      <c r="AK13" s="2"/>
      <c r="AL13" s="2"/>
      <c r="AM13" s="2"/>
    </row>
    <row r="14" spans="1:39">
      <c r="A14" s="174" t="str">
        <f>CityU!A13</f>
        <v>JS1025</v>
      </c>
      <c r="B14" s="174" t="str">
        <f>CityU!C13</f>
        <v>管理科學系 [選項: 工商管理學士(商業分析)、工商管理學士(商業營運管理)]</v>
      </c>
      <c r="E14" s="419">
        <v>3</v>
      </c>
      <c r="F14" s="419">
        <v>3</v>
      </c>
      <c r="G14" s="419">
        <v>3</v>
      </c>
      <c r="H14" s="419">
        <v>2</v>
      </c>
      <c r="I14" s="419">
        <v>3</v>
      </c>
      <c r="J14" s="419">
        <v>3</v>
      </c>
      <c r="K14" s="174"/>
      <c r="L14" s="411">
        <f t="shared" si="3"/>
        <v>0</v>
      </c>
      <c r="M14" s="411">
        <f t="shared" si="4"/>
        <v>0</v>
      </c>
      <c r="N14" s="411">
        <f t="shared" si="5"/>
        <v>0</v>
      </c>
      <c r="O14" s="411">
        <f t="shared" si="6"/>
        <v>0</v>
      </c>
      <c r="P14" s="411">
        <f t="shared" si="1"/>
        <v>0</v>
      </c>
      <c r="Q14" s="411">
        <f t="shared" si="2"/>
        <v>0</v>
      </c>
      <c r="S14" s="122">
        <f t="shared" si="7"/>
        <v>0</v>
      </c>
      <c r="T14" s="2"/>
      <c r="U14" s="411">
        <f>計分版!E$13</f>
        <v>1E-10</v>
      </c>
      <c r="V14" s="411">
        <f>計分版!F$13</f>
        <v>2.0000000000000001E-10</v>
      </c>
      <c r="W14" s="411">
        <f>計分版!G$13</f>
        <v>3E-10</v>
      </c>
      <c r="X14" s="411">
        <f>計分版!H$13</f>
        <v>4.0000000000000001E-10</v>
      </c>
      <c r="Y14" s="411">
        <f>計分版!I$13</f>
        <v>5.0000000000000003E-10</v>
      </c>
      <c r="Z14" s="411">
        <f>計分版!J$13</f>
        <v>6E-10</v>
      </c>
      <c r="AA14" s="411">
        <f>計分版!K$13</f>
        <v>6.9999999999999996E-10</v>
      </c>
      <c r="AB14" s="411">
        <f>計分版!L$13</f>
        <v>8.0000000000000003E-10</v>
      </c>
      <c r="AC14" s="411">
        <f>計分版!M$13</f>
        <v>8.9999999999999999E-10</v>
      </c>
      <c r="AD14" s="411">
        <f>計分版!N$13</f>
        <v>9.5000000000000003E-10</v>
      </c>
      <c r="AF14" s="413" t="s">
        <v>2308</v>
      </c>
      <c r="AG14" s="413" t="s">
        <v>2309</v>
      </c>
      <c r="AJ14" s="2"/>
      <c r="AK14" s="2"/>
      <c r="AL14" s="2"/>
      <c r="AM14" s="2"/>
    </row>
    <row r="15" spans="1:39">
      <c r="A15" s="174" t="str">
        <f>CityU!A14</f>
        <v>JS1026</v>
      </c>
      <c r="B15" s="174" t="str">
        <f>CityU!C14</f>
        <v>工商管理學士(商業分析)</v>
      </c>
      <c r="E15" s="419">
        <v>3</v>
      </c>
      <c r="F15" s="419">
        <v>3</v>
      </c>
      <c r="G15" s="419">
        <v>3</v>
      </c>
      <c r="H15" s="419">
        <v>2</v>
      </c>
      <c r="I15" s="419">
        <v>3</v>
      </c>
      <c r="J15" s="419">
        <v>3</v>
      </c>
      <c r="K15" s="174"/>
      <c r="L15" s="411">
        <f t="shared" si="3"/>
        <v>0</v>
      </c>
      <c r="M15" s="411">
        <f t="shared" si="4"/>
        <v>0</v>
      </c>
      <c r="N15" s="411">
        <f t="shared" si="5"/>
        <v>0</v>
      </c>
      <c r="O15" s="411">
        <f t="shared" si="6"/>
        <v>0</v>
      </c>
      <c r="P15" s="411">
        <f t="shared" si="1"/>
        <v>0</v>
      </c>
      <c r="Q15" s="411">
        <f t="shared" si="2"/>
        <v>0</v>
      </c>
      <c r="S15" s="122">
        <f t="shared" si="7"/>
        <v>0</v>
      </c>
      <c r="T15" s="2"/>
      <c r="U15" s="411">
        <f>計分版!E$13</f>
        <v>1E-10</v>
      </c>
      <c r="V15" s="411">
        <f>計分版!F$13</f>
        <v>2.0000000000000001E-10</v>
      </c>
      <c r="W15" s="411">
        <f>計分版!G$13</f>
        <v>3E-10</v>
      </c>
      <c r="X15" s="411">
        <f>計分版!H$13</f>
        <v>4.0000000000000001E-10</v>
      </c>
      <c r="Y15" s="411">
        <f>計分版!I$13</f>
        <v>5.0000000000000003E-10</v>
      </c>
      <c r="Z15" s="411">
        <f>計分版!J$13</f>
        <v>6E-10</v>
      </c>
      <c r="AA15" s="411">
        <f>計分版!K$13</f>
        <v>6.9999999999999996E-10</v>
      </c>
      <c r="AB15" s="411">
        <f>計分版!L$13</f>
        <v>8.0000000000000003E-10</v>
      </c>
      <c r="AC15" s="411">
        <f>計分版!M$13</f>
        <v>8.9999999999999999E-10</v>
      </c>
      <c r="AD15" s="411">
        <f>計分版!N$13</f>
        <v>9.5000000000000003E-10</v>
      </c>
      <c r="AF15" s="413" t="s">
        <v>2308</v>
      </c>
      <c r="AG15" s="413" t="s">
        <v>2309</v>
      </c>
      <c r="AJ15" s="2"/>
      <c r="AK15" s="2"/>
      <c r="AL15" s="2"/>
      <c r="AM15" s="2"/>
    </row>
    <row r="16" spans="1:39">
      <c r="A16" s="174" t="str">
        <f>CityU!A15</f>
        <v>JS1027</v>
      </c>
      <c r="B16" s="174" t="str">
        <f>CityU!C15</f>
        <v>工商管理學士(商業營運管理)</v>
      </c>
      <c r="E16" s="419">
        <v>3</v>
      </c>
      <c r="F16" s="419">
        <v>3</v>
      </c>
      <c r="G16" s="419">
        <v>3</v>
      </c>
      <c r="H16" s="419">
        <v>2</v>
      </c>
      <c r="I16" s="419">
        <v>3</v>
      </c>
      <c r="J16" s="419">
        <v>3</v>
      </c>
      <c r="K16" s="174"/>
      <c r="L16" s="411">
        <f t="shared" si="3"/>
        <v>0</v>
      </c>
      <c r="M16" s="411">
        <f t="shared" si="4"/>
        <v>0</v>
      </c>
      <c r="N16" s="411">
        <f t="shared" si="5"/>
        <v>0</v>
      </c>
      <c r="O16" s="411">
        <f t="shared" si="6"/>
        <v>0</v>
      </c>
      <c r="P16" s="411">
        <f t="shared" si="1"/>
        <v>0</v>
      </c>
      <c r="Q16" s="411">
        <f t="shared" si="2"/>
        <v>0</v>
      </c>
      <c r="S16" s="122">
        <f t="shared" si="7"/>
        <v>0</v>
      </c>
      <c r="T16" s="2"/>
      <c r="U16" s="411">
        <f>計分版!E$13</f>
        <v>1E-10</v>
      </c>
      <c r="V16" s="411">
        <f>計分版!F$13</f>
        <v>2.0000000000000001E-10</v>
      </c>
      <c r="W16" s="411">
        <f>計分版!G$13</f>
        <v>3E-10</v>
      </c>
      <c r="X16" s="411">
        <f>計分版!H$13</f>
        <v>4.0000000000000001E-10</v>
      </c>
      <c r="Y16" s="411">
        <f>計分版!I$13</f>
        <v>5.0000000000000003E-10</v>
      </c>
      <c r="Z16" s="411">
        <f>計分版!J$13</f>
        <v>6E-10</v>
      </c>
      <c r="AA16" s="411">
        <f>計分版!K$13</f>
        <v>6.9999999999999996E-10</v>
      </c>
      <c r="AB16" s="411">
        <f>計分版!L$13</f>
        <v>8.0000000000000003E-10</v>
      </c>
      <c r="AC16" s="411">
        <f>計分版!M$13</f>
        <v>8.9999999999999999E-10</v>
      </c>
      <c r="AD16" s="411">
        <f>計分版!N$13</f>
        <v>9.5000000000000003E-10</v>
      </c>
      <c r="AF16" s="413" t="s">
        <v>2308</v>
      </c>
      <c r="AG16" s="413" t="s">
        <v>2309</v>
      </c>
      <c r="AJ16" s="2"/>
      <c r="AK16" s="2"/>
      <c r="AL16" s="2"/>
      <c r="AM16" s="2"/>
    </row>
    <row r="17" spans="1:39">
      <c r="A17" s="174" t="str">
        <f>CityU!A16</f>
        <v>JS1041</v>
      </c>
      <c r="B17" s="174" t="str">
        <f>CityU!C16</f>
        <v>創意媒體學院 [選項: 文學士(創意媒體)、理學士(創意媒體)、文理學士(新媒體)]</v>
      </c>
      <c r="E17" s="419">
        <v>3</v>
      </c>
      <c r="F17" s="419">
        <v>3</v>
      </c>
      <c r="G17" s="419">
        <v>2</v>
      </c>
      <c r="H17" s="419">
        <v>2</v>
      </c>
      <c r="I17" s="419">
        <v>3</v>
      </c>
      <c r="J17" s="419">
        <v>3</v>
      </c>
      <c r="K17" s="174"/>
      <c r="L17" s="411">
        <f t="shared" si="3"/>
        <v>0</v>
      </c>
      <c r="M17" s="411">
        <f t="shared" si="4"/>
        <v>0</v>
      </c>
      <c r="N17" s="411">
        <f t="shared" si="5"/>
        <v>0</v>
      </c>
      <c r="O17" s="411">
        <f t="shared" si="6"/>
        <v>0</v>
      </c>
      <c r="P17" s="411">
        <f t="shared" si="1"/>
        <v>0</v>
      </c>
      <c r="Q17" s="411">
        <f t="shared" si="2"/>
        <v>0</v>
      </c>
      <c r="S17" s="122">
        <f t="shared" si="7"/>
        <v>0</v>
      </c>
      <c r="T17" s="2"/>
      <c r="U17" s="411">
        <f>計分版!E$13</f>
        <v>1E-10</v>
      </c>
      <c r="V17" s="411">
        <f>計分版!F$13</f>
        <v>2.0000000000000001E-10</v>
      </c>
      <c r="W17" s="411">
        <f>計分版!G$13</f>
        <v>3E-10</v>
      </c>
      <c r="X17" s="411">
        <f>計分版!H$13</f>
        <v>4.0000000000000001E-10</v>
      </c>
      <c r="Y17" s="411">
        <f>計分版!I$13</f>
        <v>5.0000000000000003E-10</v>
      </c>
      <c r="Z17" s="411">
        <f>計分版!J$13</f>
        <v>6E-10</v>
      </c>
      <c r="AA17" s="411">
        <f>計分版!K$13</f>
        <v>6.9999999999999996E-10</v>
      </c>
      <c r="AB17" s="411">
        <f>計分版!L$13</f>
        <v>8.0000000000000003E-10</v>
      </c>
      <c r="AC17" s="411">
        <f>計分版!M$13</f>
        <v>8.9999999999999999E-10</v>
      </c>
      <c r="AD17" s="411">
        <f>計分版!N$13</f>
        <v>9.5000000000000003E-10</v>
      </c>
      <c r="AF17" s="413" t="s">
        <v>2308</v>
      </c>
      <c r="AG17" s="413" t="s">
        <v>2309</v>
      </c>
      <c r="AH17" s="413" t="s">
        <v>2308</v>
      </c>
      <c r="AJ17" s="2"/>
      <c r="AK17" s="2"/>
      <c r="AL17" s="2"/>
      <c r="AM17" s="2"/>
    </row>
    <row r="18" spans="1:39">
      <c r="A18" s="174" t="str">
        <f>CityU!A17</f>
        <v>JS1042</v>
      </c>
      <c r="B18" s="174" t="str">
        <f>CityU!C17</f>
        <v>文學士(創意媒體)</v>
      </c>
      <c r="E18" s="419">
        <v>3</v>
      </c>
      <c r="F18" s="419">
        <v>3</v>
      </c>
      <c r="G18" s="419">
        <v>2</v>
      </c>
      <c r="H18" s="419">
        <v>2</v>
      </c>
      <c r="I18" s="419">
        <v>3</v>
      </c>
      <c r="J18" s="419">
        <v>3</v>
      </c>
      <c r="K18" s="174"/>
      <c r="L18" s="411">
        <f t="shared" si="3"/>
        <v>0</v>
      </c>
      <c r="M18" s="411">
        <f t="shared" si="4"/>
        <v>0</v>
      </c>
      <c r="N18" s="411">
        <f t="shared" si="5"/>
        <v>0</v>
      </c>
      <c r="O18" s="411">
        <f t="shared" si="6"/>
        <v>0</v>
      </c>
      <c r="P18" s="411">
        <f t="shared" si="1"/>
        <v>0</v>
      </c>
      <c r="Q18" s="411">
        <f t="shared" si="2"/>
        <v>0</v>
      </c>
      <c r="S18" s="122">
        <f t="shared" si="7"/>
        <v>0</v>
      </c>
      <c r="T18" s="2"/>
      <c r="U18" s="411">
        <f>計分版!E$13</f>
        <v>1E-10</v>
      </c>
      <c r="V18" s="411">
        <f>計分版!F$13</f>
        <v>2.0000000000000001E-10</v>
      </c>
      <c r="W18" s="411">
        <f>計分版!G$13</f>
        <v>3E-10</v>
      </c>
      <c r="X18" s="411">
        <f>計分版!H$13</f>
        <v>4.0000000000000001E-10</v>
      </c>
      <c r="Y18" s="411">
        <f>計分版!I$13</f>
        <v>5.0000000000000003E-10</v>
      </c>
      <c r="Z18" s="411">
        <f>計分版!J$13</f>
        <v>6E-10</v>
      </c>
      <c r="AA18" s="411">
        <f>計分版!K$13</f>
        <v>6.9999999999999996E-10</v>
      </c>
      <c r="AB18" s="411">
        <f>計分版!L$13</f>
        <v>8.0000000000000003E-10</v>
      </c>
      <c r="AC18" s="411">
        <f>計分版!M$13</f>
        <v>8.9999999999999999E-10</v>
      </c>
      <c r="AD18" s="411">
        <f>計分版!N$13</f>
        <v>9.5000000000000003E-10</v>
      </c>
      <c r="AF18" s="413" t="s">
        <v>2308</v>
      </c>
      <c r="AG18" s="413" t="s">
        <v>2309</v>
      </c>
      <c r="AH18" s="413" t="s">
        <v>2308</v>
      </c>
      <c r="AJ18" s="2"/>
      <c r="AK18" s="2"/>
      <c r="AL18" s="2"/>
      <c r="AM18" s="2"/>
    </row>
    <row r="19" spans="1:39">
      <c r="A19" s="174" t="str">
        <f>CityU!A18</f>
        <v>JS1043</v>
      </c>
      <c r="B19" s="174" t="str">
        <f>CityU!C18</f>
        <v>理學士(創意媒體)</v>
      </c>
      <c r="E19" s="419">
        <v>3</v>
      </c>
      <c r="F19" s="419">
        <v>3</v>
      </c>
      <c r="G19" s="419">
        <v>2</v>
      </c>
      <c r="H19" s="419">
        <v>2</v>
      </c>
      <c r="I19" s="419">
        <v>3</v>
      </c>
      <c r="J19" s="419">
        <v>3</v>
      </c>
      <c r="K19" s="174"/>
      <c r="L19" s="411">
        <f t="shared" si="3"/>
        <v>0</v>
      </c>
      <c r="M19" s="411">
        <f t="shared" si="4"/>
        <v>0</v>
      </c>
      <c r="N19" s="411">
        <f t="shared" si="5"/>
        <v>0</v>
      </c>
      <c r="O19" s="411">
        <f t="shared" si="6"/>
        <v>0</v>
      </c>
      <c r="P19" s="411">
        <f t="shared" si="1"/>
        <v>0</v>
      </c>
      <c r="Q19" s="411">
        <f t="shared" si="2"/>
        <v>0</v>
      </c>
      <c r="S19" s="122">
        <f t="shared" si="7"/>
        <v>0</v>
      </c>
      <c r="T19" s="2"/>
      <c r="U19" s="411">
        <f>計分版!E$13</f>
        <v>1E-10</v>
      </c>
      <c r="V19" s="411">
        <f>計分版!F$13</f>
        <v>2.0000000000000001E-10</v>
      </c>
      <c r="W19" s="411">
        <f>計分版!G$13</f>
        <v>3E-10</v>
      </c>
      <c r="X19" s="411">
        <f>計分版!H$13</f>
        <v>4.0000000000000001E-10</v>
      </c>
      <c r="Y19" s="411">
        <f>計分版!I$13</f>
        <v>5.0000000000000003E-10</v>
      </c>
      <c r="Z19" s="411">
        <f>計分版!J$13</f>
        <v>6E-10</v>
      </c>
      <c r="AA19" s="411">
        <f>計分版!K$13</f>
        <v>6.9999999999999996E-10</v>
      </c>
      <c r="AB19" s="411">
        <f>計分版!L$13</f>
        <v>8.0000000000000003E-10</v>
      </c>
      <c r="AC19" s="411">
        <f>計分版!M$13</f>
        <v>8.9999999999999999E-10</v>
      </c>
      <c r="AD19" s="411">
        <f>計分版!N$13</f>
        <v>9.5000000000000003E-10</v>
      </c>
      <c r="AF19" s="413" t="s">
        <v>2308</v>
      </c>
      <c r="AG19" s="413" t="s">
        <v>2309</v>
      </c>
      <c r="AH19" s="413" t="s">
        <v>2308</v>
      </c>
      <c r="AJ19" s="2"/>
      <c r="AK19" s="2"/>
      <c r="AL19" s="2"/>
      <c r="AM19" s="2"/>
    </row>
    <row r="20" spans="1:39">
      <c r="A20" s="174" t="str">
        <f>CityU!A19</f>
        <v>JS1044</v>
      </c>
      <c r="B20" s="174" t="str">
        <f>CityU!C19</f>
        <v>文理學士(新媒體)</v>
      </c>
      <c r="E20" s="419">
        <v>3</v>
      </c>
      <c r="F20" s="419">
        <v>3</v>
      </c>
      <c r="G20" s="419">
        <v>2</v>
      </c>
      <c r="H20" s="419">
        <v>2</v>
      </c>
      <c r="I20" s="419">
        <v>3</v>
      </c>
      <c r="J20" s="419">
        <v>3</v>
      </c>
      <c r="L20" s="411">
        <f t="shared" si="3"/>
        <v>0</v>
      </c>
      <c r="M20" s="411">
        <f t="shared" si="4"/>
        <v>0</v>
      </c>
      <c r="N20" s="411">
        <f t="shared" si="5"/>
        <v>0</v>
      </c>
      <c r="O20" s="411">
        <f t="shared" si="6"/>
        <v>0</v>
      </c>
      <c r="P20" s="411">
        <f t="shared" si="1"/>
        <v>0</v>
      </c>
      <c r="Q20" s="411">
        <f t="shared" si="2"/>
        <v>0</v>
      </c>
      <c r="S20" s="122">
        <f t="shared" si="7"/>
        <v>0</v>
      </c>
      <c r="T20" s="2"/>
      <c r="U20" s="411">
        <f>計分版!E$13</f>
        <v>1E-10</v>
      </c>
      <c r="V20" s="411">
        <f>計分版!F$13</f>
        <v>2.0000000000000001E-10</v>
      </c>
      <c r="W20" s="411">
        <f>計分版!G$13</f>
        <v>3E-10</v>
      </c>
      <c r="X20" s="411">
        <f>計分版!H$13</f>
        <v>4.0000000000000001E-10</v>
      </c>
      <c r="Y20" s="411">
        <f>計分版!I$13</f>
        <v>5.0000000000000003E-10</v>
      </c>
      <c r="Z20" s="411">
        <f>計分版!J$13</f>
        <v>6E-10</v>
      </c>
      <c r="AA20" s="411">
        <f>計分版!K$13</f>
        <v>6.9999999999999996E-10</v>
      </c>
      <c r="AB20" s="411">
        <f>計分版!L$13</f>
        <v>8.0000000000000003E-10</v>
      </c>
      <c r="AC20" s="411">
        <f>計分版!M$13</f>
        <v>8.9999999999999999E-10</v>
      </c>
      <c r="AD20" s="411">
        <f>計分版!N$13</f>
        <v>9.5000000000000003E-10</v>
      </c>
      <c r="AF20" s="413" t="s">
        <v>2308</v>
      </c>
      <c r="AG20" s="413" t="s">
        <v>2309</v>
      </c>
      <c r="AH20" s="413" t="s">
        <v>2308</v>
      </c>
      <c r="AJ20" s="2"/>
      <c r="AK20" s="2"/>
      <c r="AL20" s="2"/>
      <c r="AM20" s="2"/>
    </row>
    <row r="21" spans="1:39">
      <c r="A21" s="174" t="str">
        <f>CityU!A20</f>
        <v>JS1051</v>
      </c>
      <c r="B21" s="174" t="str">
        <f>CityU!C20</f>
        <v>能源及環境學院 [選項: 工學士(能源科學及工程學)、工學士(環境科學及工程學)]</v>
      </c>
      <c r="E21" s="419">
        <v>3</v>
      </c>
      <c r="F21" s="419">
        <v>3</v>
      </c>
      <c r="G21" s="419">
        <v>2</v>
      </c>
      <c r="H21" s="419">
        <v>2</v>
      </c>
      <c r="I21" s="419">
        <v>3</v>
      </c>
      <c r="J21" s="419">
        <v>3</v>
      </c>
      <c r="L21" s="411">
        <f t="shared" si="3"/>
        <v>0</v>
      </c>
      <c r="M21" s="411">
        <f t="shared" si="4"/>
        <v>0</v>
      </c>
      <c r="N21" s="411">
        <f t="shared" si="5"/>
        <v>0</v>
      </c>
      <c r="O21" s="411">
        <f t="shared" si="6"/>
        <v>0</v>
      </c>
      <c r="P21" s="78">
        <f>IF(計分版!$T$30=0,0,IF(I21&gt;LARGE(Y21:AD21,1),0,1))</f>
        <v>0</v>
      </c>
      <c r="Q21" s="411">
        <f t="shared" si="2"/>
        <v>0</v>
      </c>
      <c r="S21" s="122">
        <f t="shared" si="7"/>
        <v>0</v>
      </c>
      <c r="T21" s="2"/>
      <c r="U21" s="411">
        <f>計分版!E$13</f>
        <v>1E-10</v>
      </c>
      <c r="V21" s="411">
        <f>計分版!F$13</f>
        <v>2.0000000000000001E-10</v>
      </c>
      <c r="W21" s="411">
        <f>計分版!G$13</f>
        <v>3E-10</v>
      </c>
      <c r="X21" s="411">
        <f>計分版!H$13</f>
        <v>4.0000000000000001E-10</v>
      </c>
      <c r="Y21" s="411">
        <f>計分版!I$13</f>
        <v>5.0000000000000003E-10</v>
      </c>
      <c r="Z21" s="411">
        <f>計分版!J$13</f>
        <v>6E-10</v>
      </c>
      <c r="AA21" s="411">
        <f>計分版!K$13</f>
        <v>6.9999999999999996E-10</v>
      </c>
      <c r="AB21" s="411">
        <f>計分版!L$13</f>
        <v>8.0000000000000003E-10</v>
      </c>
      <c r="AC21" s="411">
        <f>計分版!M$13</f>
        <v>8.9999999999999999E-10</v>
      </c>
      <c r="AD21" s="411">
        <f>計分版!N$13</f>
        <v>9.5000000000000003E-10</v>
      </c>
      <c r="AF21" s="413" t="s">
        <v>2308</v>
      </c>
      <c r="AG21" s="413" t="s">
        <v>2309</v>
      </c>
      <c r="AJ21" s="2"/>
      <c r="AK21" s="2"/>
      <c r="AL21" s="2"/>
      <c r="AM21" s="2"/>
    </row>
    <row r="22" spans="1:39">
      <c r="A22" s="174" t="str">
        <f>CityU!A21</f>
        <v>JS1061</v>
      </c>
      <c r="B22" s="174" t="str">
        <f>CityU!C21</f>
        <v>法律學學士</v>
      </c>
      <c r="E22" s="419">
        <v>3</v>
      </c>
      <c r="F22" s="419">
        <v>5</v>
      </c>
      <c r="G22" s="419">
        <v>2</v>
      </c>
      <c r="H22" s="419">
        <v>2</v>
      </c>
      <c r="I22" s="419">
        <v>3</v>
      </c>
      <c r="J22" s="419">
        <v>3</v>
      </c>
      <c r="L22" s="411">
        <f t="shared" si="3"/>
        <v>0</v>
      </c>
      <c r="M22" s="411">
        <f>IF(F22&gt;V22,0,1)</f>
        <v>0</v>
      </c>
      <c r="N22" s="411">
        <f t="shared" si="5"/>
        <v>0</v>
      </c>
      <c r="O22" s="411">
        <f t="shared" si="6"/>
        <v>0</v>
      </c>
      <c r="P22" s="411">
        <f t="shared" ref="P22:P37" si="8">IF(I22&gt;LARGE(Y22:AD22,1),0,1)</f>
        <v>0</v>
      </c>
      <c r="Q22" s="411">
        <f t="shared" si="2"/>
        <v>0</v>
      </c>
      <c r="S22" s="122">
        <f t="shared" si="7"/>
        <v>0</v>
      </c>
      <c r="T22" s="2"/>
      <c r="U22" s="411">
        <f>計分版!E$13</f>
        <v>1E-10</v>
      </c>
      <c r="V22" s="411">
        <f>計分版!F$13</f>
        <v>2.0000000000000001E-10</v>
      </c>
      <c r="W22" s="411">
        <f>計分版!G$13</f>
        <v>3E-10</v>
      </c>
      <c r="X22" s="411">
        <f>計分版!H$13</f>
        <v>4.0000000000000001E-10</v>
      </c>
      <c r="Y22" s="411">
        <f>計分版!I$13</f>
        <v>5.0000000000000003E-10</v>
      </c>
      <c r="Z22" s="411">
        <f>計分版!J$13</f>
        <v>6E-10</v>
      </c>
      <c r="AA22" s="411">
        <f>計分版!K$13</f>
        <v>6.9999999999999996E-10</v>
      </c>
      <c r="AB22" s="411">
        <f>計分版!L$13</f>
        <v>8.0000000000000003E-10</v>
      </c>
      <c r="AC22" s="411">
        <f>計分版!M$13</f>
        <v>8.9999999999999999E-10</v>
      </c>
      <c r="AD22" s="411">
        <f>計分版!N$13</f>
        <v>9.5000000000000003E-10</v>
      </c>
      <c r="AF22" s="413" t="s">
        <v>2308</v>
      </c>
      <c r="AG22" s="413" t="s">
        <v>2309</v>
      </c>
      <c r="AJ22" s="2"/>
      <c r="AK22" s="2"/>
      <c r="AL22" s="2"/>
      <c r="AM22" s="2"/>
    </row>
    <row r="23" spans="1:39">
      <c r="A23" s="174" t="str">
        <f>CityU!A22</f>
        <v>JS1071</v>
      </c>
      <c r="B23" s="174" t="str">
        <f>CityU!C22</f>
        <v>數據科學學院 [選項：理學士 (數據科學)、工學士 (數據與系統工程)]</v>
      </c>
      <c r="E23" s="419">
        <v>3</v>
      </c>
      <c r="F23" s="419">
        <v>3</v>
      </c>
      <c r="G23" s="419">
        <v>3</v>
      </c>
      <c r="H23" s="419">
        <v>2</v>
      </c>
      <c r="I23" s="419">
        <v>3</v>
      </c>
      <c r="J23" s="419">
        <v>3</v>
      </c>
      <c r="L23" s="411">
        <f t="shared" si="3"/>
        <v>0</v>
      </c>
      <c r="M23" s="411">
        <f t="shared" si="4"/>
        <v>0</v>
      </c>
      <c r="N23" s="411">
        <f t="shared" si="5"/>
        <v>0</v>
      </c>
      <c r="O23" s="411">
        <f t="shared" si="6"/>
        <v>0</v>
      </c>
      <c r="P23" s="411">
        <f t="shared" si="8"/>
        <v>0</v>
      </c>
      <c r="Q23" s="411">
        <f t="shared" si="2"/>
        <v>0</v>
      </c>
      <c r="S23" s="122">
        <f t="shared" si="7"/>
        <v>0</v>
      </c>
      <c r="T23" s="2"/>
      <c r="U23" s="411">
        <f>計分版!E$13</f>
        <v>1E-10</v>
      </c>
      <c r="V23" s="411">
        <f>計分版!F$13</f>
        <v>2.0000000000000001E-10</v>
      </c>
      <c r="W23" s="411">
        <f>計分版!G$13</f>
        <v>3E-10</v>
      </c>
      <c r="X23" s="411">
        <f>計分版!H$13</f>
        <v>4.0000000000000001E-10</v>
      </c>
      <c r="Y23" s="411">
        <f>計分版!I$13</f>
        <v>5.0000000000000003E-10</v>
      </c>
      <c r="Z23" s="411">
        <f>計分版!J$13</f>
        <v>6E-10</v>
      </c>
      <c r="AA23" s="411">
        <f>計分版!K$13</f>
        <v>6.9999999999999996E-10</v>
      </c>
      <c r="AB23" s="411">
        <f>計分版!L$13</f>
        <v>8.0000000000000003E-10</v>
      </c>
      <c r="AC23" s="411">
        <f>計分版!M$13</f>
        <v>8.9999999999999999E-10</v>
      </c>
      <c r="AD23" s="411">
        <f>計分版!N$13</f>
        <v>9.5000000000000003E-10</v>
      </c>
      <c r="AF23" s="413" t="s">
        <v>2308</v>
      </c>
      <c r="AG23" s="413" t="s">
        <v>2309</v>
      </c>
      <c r="AJ23" s="2"/>
      <c r="AK23" s="2"/>
      <c r="AL23" s="2"/>
      <c r="AM23" s="2"/>
    </row>
    <row r="24" spans="1:39">
      <c r="A24" s="174" t="str">
        <f>CityU!A23</f>
        <v>JS1072</v>
      </c>
      <c r="B24" s="174" t="str">
        <f>CityU!C23</f>
        <v>理學士(數據科學)</v>
      </c>
      <c r="E24" s="419">
        <v>3</v>
      </c>
      <c r="F24" s="419">
        <v>3</v>
      </c>
      <c r="G24" s="419">
        <v>3</v>
      </c>
      <c r="H24" s="419">
        <v>2</v>
      </c>
      <c r="I24" s="419">
        <v>3</v>
      </c>
      <c r="J24" s="419">
        <v>3</v>
      </c>
      <c r="L24" s="411">
        <f t="shared" si="3"/>
        <v>0</v>
      </c>
      <c r="M24" s="411">
        <f t="shared" si="4"/>
        <v>0</v>
      </c>
      <c r="N24" s="411">
        <f t="shared" si="5"/>
        <v>0</v>
      </c>
      <c r="O24" s="411">
        <f t="shared" si="6"/>
        <v>0</v>
      </c>
      <c r="P24" s="411">
        <f t="shared" si="8"/>
        <v>0</v>
      </c>
      <c r="Q24" s="411">
        <f t="shared" si="2"/>
        <v>0</v>
      </c>
      <c r="S24" s="122">
        <f t="shared" si="7"/>
        <v>0</v>
      </c>
      <c r="T24" s="2"/>
      <c r="U24" s="411">
        <f>計分版!E$13</f>
        <v>1E-10</v>
      </c>
      <c r="V24" s="411">
        <f>計分版!F$13</f>
        <v>2.0000000000000001E-10</v>
      </c>
      <c r="W24" s="411">
        <f>計分版!G$13</f>
        <v>3E-10</v>
      </c>
      <c r="X24" s="411">
        <f>計分版!H$13</f>
        <v>4.0000000000000001E-10</v>
      </c>
      <c r="Y24" s="411">
        <f>計分版!I$13</f>
        <v>5.0000000000000003E-10</v>
      </c>
      <c r="Z24" s="411">
        <f>計分版!J$13</f>
        <v>6E-10</v>
      </c>
      <c r="AA24" s="411">
        <f>計分版!K$13</f>
        <v>6.9999999999999996E-10</v>
      </c>
      <c r="AB24" s="411">
        <f>計分版!L$13</f>
        <v>8.0000000000000003E-10</v>
      </c>
      <c r="AC24" s="411">
        <f>計分版!M$13</f>
        <v>8.9999999999999999E-10</v>
      </c>
      <c r="AD24" s="411">
        <f>計分版!N$13</f>
        <v>9.5000000000000003E-10</v>
      </c>
      <c r="AF24" s="413" t="s">
        <v>2308</v>
      </c>
      <c r="AG24" s="413" t="s">
        <v>2309</v>
      </c>
      <c r="AJ24" s="2"/>
      <c r="AK24" s="2"/>
      <c r="AL24" s="2"/>
      <c r="AM24" s="2"/>
    </row>
    <row r="25" spans="1:39">
      <c r="A25" s="174" t="str">
        <f>CityU!A24</f>
        <v>JS1073</v>
      </c>
      <c r="B25" s="174" t="str">
        <f>CityU!C24</f>
        <v>工學士(數據與系統工程)</v>
      </c>
      <c r="E25" s="419">
        <v>3</v>
      </c>
      <c r="F25" s="419">
        <v>3</v>
      </c>
      <c r="G25" s="419">
        <v>3</v>
      </c>
      <c r="H25" s="419">
        <v>2</v>
      </c>
      <c r="I25" s="419">
        <v>3</v>
      </c>
      <c r="J25" s="419">
        <v>3</v>
      </c>
      <c r="L25" s="411">
        <f t="shared" si="3"/>
        <v>0</v>
      </c>
      <c r="M25" s="411">
        <f t="shared" si="4"/>
        <v>0</v>
      </c>
      <c r="N25" s="411">
        <f t="shared" si="5"/>
        <v>0</v>
      </c>
      <c r="O25" s="411">
        <f t="shared" si="6"/>
        <v>0</v>
      </c>
      <c r="P25" s="411">
        <f t="shared" si="8"/>
        <v>0</v>
      </c>
      <c r="Q25" s="411">
        <f t="shared" si="2"/>
        <v>0</v>
      </c>
      <c r="S25" s="122">
        <f t="shared" si="7"/>
        <v>0</v>
      </c>
      <c r="T25" s="2"/>
      <c r="U25" s="411">
        <f>計分版!E$13</f>
        <v>1E-10</v>
      </c>
      <c r="V25" s="411">
        <f>計分版!F$13</f>
        <v>2.0000000000000001E-10</v>
      </c>
      <c r="W25" s="411">
        <f>計分版!G$13</f>
        <v>3E-10</v>
      </c>
      <c r="X25" s="411">
        <f>計分版!H$13</f>
        <v>4.0000000000000001E-10</v>
      </c>
      <c r="Y25" s="411">
        <f>計分版!I$13</f>
        <v>5.0000000000000003E-10</v>
      </c>
      <c r="Z25" s="411">
        <f>計分版!J$13</f>
        <v>6E-10</v>
      </c>
      <c r="AA25" s="411">
        <f>計分版!K$13</f>
        <v>6.9999999999999996E-10</v>
      </c>
      <c r="AB25" s="411">
        <f>計分版!L$13</f>
        <v>8.0000000000000003E-10</v>
      </c>
      <c r="AC25" s="411">
        <f>計分版!M$13</f>
        <v>8.9999999999999999E-10</v>
      </c>
      <c r="AD25" s="411">
        <f>計分版!N$13</f>
        <v>9.5000000000000003E-10</v>
      </c>
      <c r="AF25" s="413" t="s">
        <v>2308</v>
      </c>
      <c r="AG25" s="413" t="s">
        <v>2309</v>
      </c>
      <c r="AJ25" s="2"/>
      <c r="AK25" s="2"/>
      <c r="AL25" s="2"/>
      <c r="AM25" s="2"/>
    </row>
    <row r="26" spans="1:39">
      <c r="A26" s="174" t="str">
        <f>CityU!A25</f>
        <v>JS1091</v>
      </c>
      <c r="B26" s="174" t="str">
        <f>CityU!C25</f>
        <v>建築科技學部 [選項: 理學副學士(屋宇裝備工程學)、理學副學士(建造工程及管理學)、理學副學士(測量學)]</v>
      </c>
      <c r="E26" s="419">
        <v>2</v>
      </c>
      <c r="F26" s="419">
        <v>2</v>
      </c>
      <c r="G26" s="419">
        <v>2</v>
      </c>
      <c r="H26" s="419">
        <v>2</v>
      </c>
      <c r="I26" s="419">
        <v>2</v>
      </c>
      <c r="J26" s="419"/>
      <c r="L26" s="411">
        <f t="shared" si="3"/>
        <v>0</v>
      </c>
      <c r="M26" s="411">
        <f t="shared" si="4"/>
        <v>0</v>
      </c>
      <c r="N26" s="411">
        <f t="shared" si="5"/>
        <v>0</v>
      </c>
      <c r="O26" s="411">
        <f t="shared" si="6"/>
        <v>0</v>
      </c>
      <c r="P26" s="411">
        <f t="shared" si="8"/>
        <v>0</v>
      </c>
      <c r="Q26" s="78"/>
      <c r="S26" s="122">
        <f>L26*M26*N26*O26*P26</f>
        <v>0</v>
      </c>
      <c r="T26" s="2"/>
      <c r="U26" s="411">
        <f>計分版!E$13</f>
        <v>1E-10</v>
      </c>
      <c r="V26" s="411">
        <f>計分版!F$13</f>
        <v>2.0000000000000001E-10</v>
      </c>
      <c r="W26" s="411">
        <f>計分版!G$13</f>
        <v>3E-10</v>
      </c>
      <c r="X26" s="411">
        <f>計分版!H$13</f>
        <v>4.0000000000000001E-10</v>
      </c>
      <c r="Y26" s="411">
        <f>計分版!I$13</f>
        <v>5.0000000000000003E-10</v>
      </c>
      <c r="Z26" s="411">
        <f>計分版!J$13</f>
        <v>6E-10</v>
      </c>
      <c r="AA26" s="411">
        <f>計分版!K$13</f>
        <v>6.9999999999999996E-10</v>
      </c>
      <c r="AB26" s="411">
        <f>計分版!L$13</f>
        <v>8.0000000000000003E-10</v>
      </c>
      <c r="AC26" s="411">
        <f>計分版!M$13</f>
        <v>8.9999999999999999E-10</v>
      </c>
      <c r="AD26" s="411">
        <f>計分版!N$13</f>
        <v>9.5000000000000003E-10</v>
      </c>
      <c r="AF26" s="413" t="s">
        <v>2308</v>
      </c>
      <c r="AG26" s="413" t="s">
        <v>2309</v>
      </c>
      <c r="AJ26" s="2"/>
      <c r="AK26" s="2"/>
      <c r="AL26" s="2"/>
      <c r="AM26" s="2"/>
    </row>
    <row r="27" spans="1:39">
      <c r="A27" s="174" t="str">
        <f>CityU!A26</f>
        <v>JS1093</v>
      </c>
      <c r="B27" s="174" t="str">
        <f>CityU!C26</f>
        <v>理學副學士(建築學)</v>
      </c>
      <c r="E27" s="419">
        <v>2</v>
      </c>
      <c r="F27" s="419">
        <v>2</v>
      </c>
      <c r="G27" s="419">
        <v>2</v>
      </c>
      <c r="H27" s="419">
        <v>2</v>
      </c>
      <c r="I27" s="419">
        <v>2</v>
      </c>
      <c r="J27" s="419"/>
      <c r="L27" s="411">
        <f t="shared" si="3"/>
        <v>0</v>
      </c>
      <c r="M27" s="411">
        <f t="shared" si="4"/>
        <v>0</v>
      </c>
      <c r="N27" s="411">
        <f t="shared" si="5"/>
        <v>0</v>
      </c>
      <c r="O27" s="411">
        <f t="shared" si="6"/>
        <v>0</v>
      </c>
      <c r="P27" s="411">
        <f t="shared" si="8"/>
        <v>0</v>
      </c>
      <c r="Q27" s="78"/>
      <c r="S27" s="122">
        <f>L27*M27*N27*O27*P27</f>
        <v>0</v>
      </c>
      <c r="T27" s="2"/>
      <c r="U27" s="411">
        <f>計分版!E$13</f>
        <v>1E-10</v>
      </c>
      <c r="V27" s="411">
        <f>計分版!F$13</f>
        <v>2.0000000000000001E-10</v>
      </c>
      <c r="W27" s="411">
        <f>計分版!G$13</f>
        <v>3E-10</v>
      </c>
      <c r="X27" s="411">
        <f>計分版!H$13</f>
        <v>4.0000000000000001E-10</v>
      </c>
      <c r="Y27" s="411">
        <f>計分版!I$13</f>
        <v>5.0000000000000003E-10</v>
      </c>
      <c r="Z27" s="411">
        <f>計分版!J$13</f>
        <v>6E-10</v>
      </c>
      <c r="AA27" s="411">
        <f>計分版!K$13</f>
        <v>6.9999999999999996E-10</v>
      </c>
      <c r="AB27" s="411">
        <f>計分版!L$13</f>
        <v>8.0000000000000003E-10</v>
      </c>
      <c r="AC27" s="411">
        <f>計分版!M$13</f>
        <v>8.9999999999999999E-10</v>
      </c>
      <c r="AD27" s="411">
        <f>計分版!N$13</f>
        <v>9.5000000000000003E-10</v>
      </c>
      <c r="AF27" s="413" t="s">
        <v>2308</v>
      </c>
      <c r="AG27" s="413" t="s">
        <v>2309</v>
      </c>
      <c r="AJ27" s="2"/>
      <c r="AK27" s="2"/>
      <c r="AL27" s="2"/>
      <c r="AM27" s="2"/>
    </row>
    <row r="28" spans="1:39">
      <c r="A28" s="174" t="str">
        <f>CityU!A27</f>
        <v>JS1102</v>
      </c>
      <c r="B28" s="174" t="str">
        <f>CityU!C27</f>
        <v>社會科學學士(亞洲及國際研究)</v>
      </c>
      <c r="E28" s="419">
        <v>3</v>
      </c>
      <c r="F28" s="419">
        <v>3</v>
      </c>
      <c r="G28" s="419">
        <v>2</v>
      </c>
      <c r="H28" s="419">
        <v>2</v>
      </c>
      <c r="I28" s="419">
        <v>3</v>
      </c>
      <c r="J28" s="419">
        <v>3</v>
      </c>
      <c r="L28" s="411">
        <f t="shared" si="3"/>
        <v>0</v>
      </c>
      <c r="M28" s="411">
        <f t="shared" si="4"/>
        <v>0</v>
      </c>
      <c r="N28" s="411">
        <f t="shared" si="5"/>
        <v>0</v>
      </c>
      <c r="O28" s="411">
        <f t="shared" si="6"/>
        <v>0</v>
      </c>
      <c r="P28" s="411">
        <f t="shared" si="8"/>
        <v>0</v>
      </c>
      <c r="Q28" s="411">
        <f t="shared" ref="Q28:Q37" si="9">IF(J28&gt;LARGE(Y28:AD28,2),0,1)</f>
        <v>0</v>
      </c>
      <c r="S28" s="122">
        <f t="shared" si="7"/>
        <v>0</v>
      </c>
      <c r="T28" s="2"/>
      <c r="U28" s="411">
        <f>計分版!E$13</f>
        <v>1E-10</v>
      </c>
      <c r="V28" s="411">
        <f>計分版!F$13</f>
        <v>2.0000000000000001E-10</v>
      </c>
      <c r="W28" s="411">
        <f>計分版!G$13</f>
        <v>3E-10</v>
      </c>
      <c r="X28" s="411">
        <f>計分版!H$13</f>
        <v>4.0000000000000001E-10</v>
      </c>
      <c r="Y28" s="411">
        <f>計分版!I$13</f>
        <v>5.0000000000000003E-10</v>
      </c>
      <c r="Z28" s="411">
        <f>計分版!J$13</f>
        <v>6E-10</v>
      </c>
      <c r="AA28" s="411">
        <f>計分版!K$13</f>
        <v>6.9999999999999996E-10</v>
      </c>
      <c r="AB28" s="411">
        <f>計分版!L$13</f>
        <v>8.0000000000000003E-10</v>
      </c>
      <c r="AC28" s="411">
        <f>計分版!M$13</f>
        <v>8.9999999999999999E-10</v>
      </c>
      <c r="AD28" s="411">
        <f>計分版!N$13</f>
        <v>9.5000000000000003E-10</v>
      </c>
      <c r="AF28" s="413" t="s">
        <v>2308</v>
      </c>
      <c r="AG28" s="413" t="s">
        <v>2309</v>
      </c>
      <c r="AJ28" s="2"/>
      <c r="AK28" s="2"/>
      <c r="AL28" s="2"/>
      <c r="AM28" s="2"/>
    </row>
    <row r="29" spans="1:39">
      <c r="A29" s="174" t="str">
        <f>CityU!A28</f>
        <v>JS1103</v>
      </c>
      <c r="B29" s="174" t="str">
        <f>CityU!C28</f>
        <v>文學士(中文及歷史)</v>
      </c>
      <c r="E29" s="419">
        <v>3</v>
      </c>
      <c r="F29" s="419">
        <v>3</v>
      </c>
      <c r="G29" s="419">
        <v>2</v>
      </c>
      <c r="H29" s="419">
        <v>2</v>
      </c>
      <c r="I29" s="419">
        <v>3</v>
      </c>
      <c r="J29" s="419">
        <v>3</v>
      </c>
      <c r="L29" s="411">
        <f t="shared" si="3"/>
        <v>0</v>
      </c>
      <c r="M29" s="411">
        <f t="shared" si="4"/>
        <v>0</v>
      </c>
      <c r="N29" s="411">
        <f t="shared" si="5"/>
        <v>0</v>
      </c>
      <c r="O29" s="411">
        <f t="shared" si="6"/>
        <v>0</v>
      </c>
      <c r="P29" s="411">
        <f t="shared" si="8"/>
        <v>0</v>
      </c>
      <c r="Q29" s="411">
        <f t="shared" si="9"/>
        <v>0</v>
      </c>
      <c r="S29" s="122">
        <f t="shared" si="7"/>
        <v>0</v>
      </c>
      <c r="T29" s="2"/>
      <c r="U29" s="411">
        <f>計分版!E$13</f>
        <v>1E-10</v>
      </c>
      <c r="V29" s="411">
        <f>計分版!F$13</f>
        <v>2.0000000000000001E-10</v>
      </c>
      <c r="W29" s="411">
        <f>計分版!G$13</f>
        <v>3E-10</v>
      </c>
      <c r="X29" s="411">
        <f>計分版!H$13</f>
        <v>4.0000000000000001E-10</v>
      </c>
      <c r="Y29" s="411">
        <f>計分版!I$13</f>
        <v>5.0000000000000003E-10</v>
      </c>
      <c r="Z29" s="411">
        <f>計分版!J$13</f>
        <v>6E-10</v>
      </c>
      <c r="AA29" s="411">
        <f>計分版!K$13</f>
        <v>6.9999999999999996E-10</v>
      </c>
      <c r="AB29" s="411">
        <f>計分版!L$13</f>
        <v>8.0000000000000003E-10</v>
      </c>
      <c r="AC29" s="411">
        <f>計分版!M$13</f>
        <v>8.9999999999999999E-10</v>
      </c>
      <c r="AD29" s="411">
        <f>計分版!N$13</f>
        <v>9.5000000000000003E-10</v>
      </c>
      <c r="AF29" s="413" t="s">
        <v>2308</v>
      </c>
      <c r="AG29" s="413" t="s">
        <v>2309</v>
      </c>
      <c r="AJ29" s="2"/>
      <c r="AK29" s="2"/>
      <c r="AL29" s="2"/>
      <c r="AM29" s="2"/>
    </row>
    <row r="30" spans="1:39">
      <c r="A30" s="174" t="str">
        <f>CityU!A29</f>
        <v>JS1104</v>
      </c>
      <c r="B30" s="174" t="str">
        <f>CityU!C29</f>
        <v>文學士(英語語言)</v>
      </c>
      <c r="E30" s="419">
        <v>3</v>
      </c>
      <c r="F30" s="419">
        <v>3</v>
      </c>
      <c r="G30" s="419">
        <v>2</v>
      </c>
      <c r="H30" s="419">
        <v>2</v>
      </c>
      <c r="I30" s="419">
        <v>3</v>
      </c>
      <c r="J30" s="419">
        <v>3</v>
      </c>
      <c r="L30" s="411">
        <f t="shared" si="3"/>
        <v>0</v>
      </c>
      <c r="M30" s="411">
        <f>IF(F30&gt;V30,0,1)</f>
        <v>0</v>
      </c>
      <c r="N30" s="411">
        <f t="shared" si="5"/>
        <v>0</v>
      </c>
      <c r="O30" s="411">
        <f t="shared" si="6"/>
        <v>0</v>
      </c>
      <c r="P30" s="411">
        <f t="shared" si="8"/>
        <v>0</v>
      </c>
      <c r="Q30" s="411">
        <f t="shared" si="9"/>
        <v>0</v>
      </c>
      <c r="S30" s="122">
        <f t="shared" si="7"/>
        <v>0</v>
      </c>
      <c r="T30" s="2"/>
      <c r="U30" s="411">
        <f>計分版!E$13</f>
        <v>1E-10</v>
      </c>
      <c r="V30" s="411">
        <f>計分版!F$13</f>
        <v>2.0000000000000001E-10</v>
      </c>
      <c r="W30" s="411">
        <f>計分版!G$13</f>
        <v>3E-10</v>
      </c>
      <c r="X30" s="411">
        <f>計分版!H$13</f>
        <v>4.0000000000000001E-10</v>
      </c>
      <c r="Y30" s="411">
        <f>計分版!I$13</f>
        <v>5.0000000000000003E-10</v>
      </c>
      <c r="Z30" s="411">
        <f>計分版!J$13</f>
        <v>6E-10</v>
      </c>
      <c r="AA30" s="411">
        <f>計分版!K$13</f>
        <v>6.9999999999999996E-10</v>
      </c>
      <c r="AB30" s="411">
        <f>計分版!L$13</f>
        <v>8.0000000000000003E-10</v>
      </c>
      <c r="AC30" s="411">
        <f>計分版!M$13</f>
        <v>8.9999999999999999E-10</v>
      </c>
      <c r="AD30" s="411">
        <f>計分版!N$13</f>
        <v>9.5000000000000003E-10</v>
      </c>
      <c r="AF30" s="413" t="s">
        <v>2308</v>
      </c>
      <c r="AG30" s="413" t="s">
        <v>2309</v>
      </c>
      <c r="AJ30" s="2"/>
      <c r="AK30" s="2"/>
      <c r="AL30" s="2"/>
      <c r="AM30" s="2"/>
    </row>
    <row r="31" spans="1:39">
      <c r="A31" s="174" t="str">
        <f>CityU!A30</f>
        <v>JS1105</v>
      </c>
      <c r="B31" s="174" t="str">
        <f>CityU!C30</f>
        <v>翻譯及語言學系 [選項: 文學士(語言學及語言應用)、文學士(翻譯及傳譯)]</v>
      </c>
      <c r="E31" s="419">
        <v>3</v>
      </c>
      <c r="F31" s="419">
        <v>3</v>
      </c>
      <c r="G31" s="419">
        <v>2</v>
      </c>
      <c r="H31" s="419">
        <v>2</v>
      </c>
      <c r="I31" s="419">
        <v>3</v>
      </c>
      <c r="J31" s="419">
        <v>3</v>
      </c>
      <c r="L31" s="411">
        <f t="shared" si="3"/>
        <v>0</v>
      </c>
      <c r="M31" s="411">
        <f t="shared" si="4"/>
        <v>0</v>
      </c>
      <c r="N31" s="411">
        <f t="shared" si="5"/>
        <v>0</v>
      </c>
      <c r="O31" s="411">
        <f t="shared" si="6"/>
        <v>0</v>
      </c>
      <c r="P31" s="411">
        <f t="shared" si="8"/>
        <v>0</v>
      </c>
      <c r="Q31" s="411">
        <f t="shared" si="9"/>
        <v>0</v>
      </c>
      <c r="S31" s="122">
        <f t="shared" si="7"/>
        <v>0</v>
      </c>
      <c r="T31" s="2"/>
      <c r="U31" s="411">
        <f>計分版!E$13</f>
        <v>1E-10</v>
      </c>
      <c r="V31" s="411">
        <f>計分版!F$13</f>
        <v>2.0000000000000001E-10</v>
      </c>
      <c r="W31" s="411">
        <f>計分版!G$13</f>
        <v>3E-10</v>
      </c>
      <c r="X31" s="411">
        <f>計分版!H$13</f>
        <v>4.0000000000000001E-10</v>
      </c>
      <c r="Y31" s="411">
        <f>計分版!I$13</f>
        <v>5.0000000000000003E-10</v>
      </c>
      <c r="Z31" s="411">
        <f>計分版!J$13</f>
        <v>6E-10</v>
      </c>
      <c r="AA31" s="411">
        <f>計分版!K$13</f>
        <v>6.9999999999999996E-10</v>
      </c>
      <c r="AB31" s="411">
        <f>計分版!L$13</f>
        <v>8.0000000000000003E-10</v>
      </c>
      <c r="AC31" s="411">
        <f>計分版!M$13</f>
        <v>8.9999999999999999E-10</v>
      </c>
      <c r="AD31" s="411">
        <f>計分版!N$13</f>
        <v>9.5000000000000003E-10</v>
      </c>
      <c r="AF31" s="413" t="s">
        <v>2308</v>
      </c>
      <c r="AG31" s="413" t="s">
        <v>2309</v>
      </c>
      <c r="AJ31" s="2"/>
      <c r="AK31" s="2"/>
      <c r="AL31" s="2"/>
      <c r="AM31" s="2"/>
    </row>
    <row r="32" spans="1:39">
      <c r="A32" s="174" t="str">
        <f>CityU!A31</f>
        <v>JS1106</v>
      </c>
      <c r="B32" s="174" t="str">
        <f>CityU!C31</f>
        <v>媒體與傳播系 [選項: 文學士(數碼電視與廣播)、文學士(媒體與傳播)]</v>
      </c>
      <c r="E32" s="419">
        <v>3</v>
      </c>
      <c r="F32" s="419">
        <v>3</v>
      </c>
      <c r="G32" s="419">
        <v>2</v>
      </c>
      <c r="H32" s="419">
        <v>2</v>
      </c>
      <c r="I32" s="419">
        <v>3</v>
      </c>
      <c r="J32" s="419">
        <v>3</v>
      </c>
      <c r="L32" s="411">
        <f t="shared" si="3"/>
        <v>0</v>
      </c>
      <c r="M32" s="411">
        <f t="shared" si="4"/>
        <v>0</v>
      </c>
      <c r="N32" s="411">
        <f t="shared" si="5"/>
        <v>0</v>
      </c>
      <c r="O32" s="411">
        <f t="shared" si="6"/>
        <v>0</v>
      </c>
      <c r="P32" s="411">
        <f t="shared" si="8"/>
        <v>0</v>
      </c>
      <c r="Q32" s="411">
        <f t="shared" si="9"/>
        <v>0</v>
      </c>
      <c r="S32" s="122">
        <f t="shared" si="7"/>
        <v>0</v>
      </c>
      <c r="T32" s="2"/>
      <c r="U32" s="411">
        <f>計分版!E$13</f>
        <v>1E-10</v>
      </c>
      <c r="V32" s="411">
        <f>計分版!F$13</f>
        <v>2.0000000000000001E-10</v>
      </c>
      <c r="W32" s="411">
        <f>計分版!G$13</f>
        <v>3E-10</v>
      </c>
      <c r="X32" s="411">
        <f>計分版!H$13</f>
        <v>4.0000000000000001E-10</v>
      </c>
      <c r="Y32" s="411">
        <f>計分版!I$13</f>
        <v>5.0000000000000003E-10</v>
      </c>
      <c r="Z32" s="411">
        <f>計分版!J$13</f>
        <v>6E-10</v>
      </c>
      <c r="AA32" s="411">
        <f>計分版!K$13</f>
        <v>6.9999999999999996E-10</v>
      </c>
      <c r="AB32" s="411">
        <f>計分版!L$13</f>
        <v>8.0000000000000003E-10</v>
      </c>
      <c r="AC32" s="411">
        <f>計分版!M$13</f>
        <v>8.9999999999999999E-10</v>
      </c>
      <c r="AD32" s="411">
        <f>計分版!N$13</f>
        <v>9.5000000000000003E-10</v>
      </c>
      <c r="AF32" s="413" t="s">
        <v>2308</v>
      </c>
      <c r="AG32" s="413" t="s">
        <v>2309</v>
      </c>
      <c r="AJ32" s="2"/>
      <c r="AK32" s="2"/>
      <c r="AL32" s="2"/>
      <c r="AM32" s="2"/>
    </row>
    <row r="33" spans="1:39" s="174" customFormat="1">
      <c r="A33" s="174" t="str">
        <f>CityU!A32</f>
        <v>JS1108</v>
      </c>
      <c r="B33" s="174" t="str">
        <f>CityU!C32</f>
        <v>社會科學學士(公共政策與政治)</v>
      </c>
      <c r="C33" s="2"/>
      <c r="D33" s="2"/>
      <c r="E33" s="419">
        <v>3</v>
      </c>
      <c r="F33" s="419">
        <v>3</v>
      </c>
      <c r="G33" s="419">
        <v>2</v>
      </c>
      <c r="H33" s="419">
        <v>2</v>
      </c>
      <c r="I33" s="419">
        <v>3</v>
      </c>
      <c r="J33" s="419">
        <v>3</v>
      </c>
      <c r="K33" s="2"/>
      <c r="L33" s="411">
        <f t="shared" si="3"/>
        <v>0</v>
      </c>
      <c r="M33" s="411">
        <f t="shared" si="4"/>
        <v>0</v>
      </c>
      <c r="N33" s="411">
        <f t="shared" si="5"/>
        <v>0</v>
      </c>
      <c r="O33" s="411">
        <f t="shared" si="6"/>
        <v>0</v>
      </c>
      <c r="P33" s="411">
        <f t="shared" si="8"/>
        <v>0</v>
      </c>
      <c r="Q33" s="411">
        <f t="shared" si="9"/>
        <v>0</v>
      </c>
      <c r="R33" s="2"/>
      <c r="S33" s="122">
        <f t="shared" si="7"/>
        <v>0</v>
      </c>
      <c r="U33" s="411">
        <f>計分版!E$13</f>
        <v>1E-10</v>
      </c>
      <c r="V33" s="411">
        <f>計分版!F$13</f>
        <v>2.0000000000000001E-10</v>
      </c>
      <c r="W33" s="411">
        <f>計分版!G$13</f>
        <v>3E-10</v>
      </c>
      <c r="X33" s="411">
        <f>計分版!H$13</f>
        <v>4.0000000000000001E-10</v>
      </c>
      <c r="Y33" s="411">
        <f>計分版!I$13</f>
        <v>5.0000000000000003E-10</v>
      </c>
      <c r="Z33" s="411">
        <f>計分版!J$13</f>
        <v>6E-10</v>
      </c>
      <c r="AA33" s="411">
        <f>計分版!K$13</f>
        <v>6.9999999999999996E-10</v>
      </c>
      <c r="AB33" s="411">
        <f>計分版!L$13</f>
        <v>8.0000000000000003E-10</v>
      </c>
      <c r="AC33" s="411">
        <f>計分版!M$13</f>
        <v>8.9999999999999999E-10</v>
      </c>
      <c r="AD33" s="411">
        <f>計分版!N$13</f>
        <v>9.5000000000000003E-10</v>
      </c>
      <c r="AE33" s="182"/>
      <c r="AF33" s="413" t="s">
        <v>2308</v>
      </c>
      <c r="AG33" s="413" t="s">
        <v>2309</v>
      </c>
      <c r="AH33" s="413"/>
      <c r="AI33" s="413"/>
    </row>
    <row r="34" spans="1:39">
      <c r="A34" s="174" t="str">
        <f>CityU!A33</f>
        <v>JS1110</v>
      </c>
      <c r="B34" s="174" t="str">
        <f>CityU!C33</f>
        <v>社會及行為科學系 [選項: 社會科學學士(犯罪學及社會學)、社會科學學士(心理學)、社會科學學士(社會工作)]</v>
      </c>
      <c r="E34" s="419">
        <v>3</v>
      </c>
      <c r="F34" s="419">
        <v>3</v>
      </c>
      <c r="G34" s="419">
        <v>2</v>
      </c>
      <c r="H34" s="419">
        <v>2</v>
      </c>
      <c r="I34" s="419">
        <v>3</v>
      </c>
      <c r="J34" s="419">
        <v>3</v>
      </c>
      <c r="L34" s="411">
        <f t="shared" si="3"/>
        <v>0</v>
      </c>
      <c r="M34" s="411">
        <f t="shared" si="4"/>
        <v>0</v>
      </c>
      <c r="N34" s="411">
        <f t="shared" si="5"/>
        <v>0</v>
      </c>
      <c r="O34" s="411">
        <f t="shared" si="6"/>
        <v>0</v>
      </c>
      <c r="P34" s="411">
        <f t="shared" si="8"/>
        <v>0</v>
      </c>
      <c r="Q34" s="411">
        <f t="shared" si="9"/>
        <v>0</v>
      </c>
      <c r="S34" s="122">
        <f t="shared" si="7"/>
        <v>0</v>
      </c>
      <c r="T34" s="2"/>
      <c r="U34" s="411">
        <f>計分版!E$13</f>
        <v>1E-10</v>
      </c>
      <c r="V34" s="411">
        <f>計分版!F$13</f>
        <v>2.0000000000000001E-10</v>
      </c>
      <c r="W34" s="411">
        <f>計分版!G$13</f>
        <v>3E-10</v>
      </c>
      <c r="X34" s="411">
        <f>計分版!H$13</f>
        <v>4.0000000000000001E-10</v>
      </c>
      <c r="Y34" s="411">
        <f>計分版!I$13</f>
        <v>5.0000000000000003E-10</v>
      </c>
      <c r="Z34" s="411">
        <f>計分版!J$13</f>
        <v>6E-10</v>
      </c>
      <c r="AA34" s="411">
        <f>計分版!K$13</f>
        <v>6.9999999999999996E-10</v>
      </c>
      <c r="AB34" s="411">
        <f>計分版!L$13</f>
        <v>8.0000000000000003E-10</v>
      </c>
      <c r="AC34" s="411">
        <f>計分版!M$13</f>
        <v>8.9999999999999999E-10</v>
      </c>
      <c r="AD34" s="411">
        <f>計分版!N$13</f>
        <v>9.5000000000000003E-10</v>
      </c>
      <c r="AF34" s="413" t="s">
        <v>2308</v>
      </c>
      <c r="AG34" s="413" t="s">
        <v>2309</v>
      </c>
      <c r="AJ34" s="2"/>
      <c r="AK34" s="2"/>
      <c r="AL34" s="2"/>
      <c r="AM34" s="2"/>
    </row>
    <row r="35" spans="1:39">
      <c r="A35" s="174" t="str">
        <f>CityU!A34</f>
        <v>JS1111</v>
      </c>
      <c r="B35" s="174" t="str">
        <f>CityU!C34</f>
        <v>社會科學學士(犯罪學及社會學)</v>
      </c>
      <c r="E35" s="419">
        <v>3</v>
      </c>
      <c r="F35" s="419">
        <v>3</v>
      </c>
      <c r="G35" s="419">
        <v>2</v>
      </c>
      <c r="H35" s="419">
        <v>2</v>
      </c>
      <c r="I35" s="419">
        <v>3</v>
      </c>
      <c r="J35" s="419">
        <v>3</v>
      </c>
      <c r="L35" s="411">
        <f t="shared" si="3"/>
        <v>0</v>
      </c>
      <c r="M35" s="411">
        <f t="shared" si="4"/>
        <v>0</v>
      </c>
      <c r="N35" s="411">
        <f t="shared" si="5"/>
        <v>0</v>
      </c>
      <c r="O35" s="411">
        <f t="shared" si="6"/>
        <v>0</v>
      </c>
      <c r="P35" s="411">
        <f t="shared" si="8"/>
        <v>0</v>
      </c>
      <c r="Q35" s="411">
        <f t="shared" si="9"/>
        <v>0</v>
      </c>
      <c r="S35" s="122">
        <f t="shared" si="7"/>
        <v>0</v>
      </c>
      <c r="T35" s="2"/>
      <c r="U35" s="411">
        <f>計分版!E$13</f>
        <v>1E-10</v>
      </c>
      <c r="V35" s="411">
        <f>計分版!F$13</f>
        <v>2.0000000000000001E-10</v>
      </c>
      <c r="W35" s="411">
        <f>計分版!G$13</f>
        <v>3E-10</v>
      </c>
      <c r="X35" s="411">
        <f>計分版!H$13</f>
        <v>4.0000000000000001E-10</v>
      </c>
      <c r="Y35" s="411">
        <f>計分版!I$13</f>
        <v>5.0000000000000003E-10</v>
      </c>
      <c r="Z35" s="411">
        <f>計分版!J$13</f>
        <v>6E-10</v>
      </c>
      <c r="AA35" s="411">
        <f>計分版!K$13</f>
        <v>6.9999999999999996E-10</v>
      </c>
      <c r="AB35" s="411">
        <f>計分版!L$13</f>
        <v>8.0000000000000003E-10</v>
      </c>
      <c r="AC35" s="411">
        <f>計分版!M$13</f>
        <v>8.9999999999999999E-10</v>
      </c>
      <c r="AD35" s="411">
        <f>計分版!N$13</f>
        <v>9.5000000000000003E-10</v>
      </c>
      <c r="AF35" s="413" t="s">
        <v>2308</v>
      </c>
      <c r="AG35" s="413" t="s">
        <v>2309</v>
      </c>
      <c r="AJ35" s="2"/>
      <c r="AK35" s="2"/>
      <c r="AL35" s="2"/>
      <c r="AM35" s="2"/>
    </row>
    <row r="36" spans="1:39">
      <c r="A36" s="174" t="str">
        <f>CityU!A35</f>
        <v>JS1112</v>
      </c>
      <c r="B36" s="174" t="str">
        <f>CityU!C35</f>
        <v>社會科學學士(心理學)</v>
      </c>
      <c r="E36" s="419">
        <v>3</v>
      </c>
      <c r="F36" s="419">
        <v>3</v>
      </c>
      <c r="G36" s="419">
        <v>2</v>
      </c>
      <c r="H36" s="419">
        <v>2</v>
      </c>
      <c r="I36" s="419">
        <v>3</v>
      </c>
      <c r="J36" s="419">
        <v>3</v>
      </c>
      <c r="L36" s="411">
        <f t="shared" si="3"/>
        <v>0</v>
      </c>
      <c r="M36" s="411">
        <f t="shared" si="4"/>
        <v>0</v>
      </c>
      <c r="N36" s="411">
        <f t="shared" si="5"/>
        <v>0</v>
      </c>
      <c r="O36" s="411">
        <f t="shared" si="6"/>
        <v>0</v>
      </c>
      <c r="P36" s="411">
        <f t="shared" si="8"/>
        <v>0</v>
      </c>
      <c r="Q36" s="411">
        <f t="shared" si="9"/>
        <v>0</v>
      </c>
      <c r="S36" s="122">
        <f t="shared" si="7"/>
        <v>0</v>
      </c>
      <c r="T36" s="2"/>
      <c r="U36" s="411">
        <f>計分版!E$13</f>
        <v>1E-10</v>
      </c>
      <c r="V36" s="411">
        <f>計分版!F$13</f>
        <v>2.0000000000000001E-10</v>
      </c>
      <c r="W36" s="411">
        <f>計分版!G$13</f>
        <v>3E-10</v>
      </c>
      <c r="X36" s="411">
        <f>計分版!H$13</f>
        <v>4.0000000000000001E-10</v>
      </c>
      <c r="Y36" s="411">
        <f>計分版!I$13</f>
        <v>5.0000000000000003E-10</v>
      </c>
      <c r="Z36" s="411">
        <f>計分版!J$13</f>
        <v>6E-10</v>
      </c>
      <c r="AA36" s="411">
        <f>計分版!K$13</f>
        <v>6.9999999999999996E-10</v>
      </c>
      <c r="AB36" s="411">
        <f>計分版!L$13</f>
        <v>8.0000000000000003E-10</v>
      </c>
      <c r="AC36" s="411">
        <f>計分版!M$13</f>
        <v>8.9999999999999999E-10</v>
      </c>
      <c r="AD36" s="411">
        <f>計分版!N$13</f>
        <v>9.5000000000000003E-10</v>
      </c>
      <c r="AF36" s="413" t="s">
        <v>2308</v>
      </c>
      <c r="AG36" s="413" t="s">
        <v>2309</v>
      </c>
      <c r="AJ36" s="2"/>
      <c r="AK36" s="2"/>
      <c r="AL36" s="2"/>
      <c r="AM36" s="2"/>
    </row>
    <row r="37" spans="1:39">
      <c r="A37" s="174" t="str">
        <f>CityU!A36</f>
        <v>JS1113</v>
      </c>
      <c r="B37" s="174" t="str">
        <f>CityU!C36</f>
        <v>社會科學學士(社會工作)</v>
      </c>
      <c r="E37" s="419">
        <v>3</v>
      </c>
      <c r="F37" s="419">
        <v>3</v>
      </c>
      <c r="G37" s="419">
        <v>2</v>
      </c>
      <c r="H37" s="419">
        <v>2</v>
      </c>
      <c r="I37" s="419">
        <v>3</v>
      </c>
      <c r="J37" s="419">
        <v>3</v>
      </c>
      <c r="L37" s="411">
        <f t="shared" si="3"/>
        <v>0</v>
      </c>
      <c r="M37" s="411">
        <f t="shared" si="4"/>
        <v>0</v>
      </c>
      <c r="N37" s="411">
        <f t="shared" si="5"/>
        <v>0</v>
      </c>
      <c r="O37" s="411">
        <f t="shared" si="6"/>
        <v>0</v>
      </c>
      <c r="P37" s="411">
        <f t="shared" si="8"/>
        <v>0</v>
      </c>
      <c r="Q37" s="411">
        <f t="shared" si="9"/>
        <v>0</v>
      </c>
      <c r="S37" s="122">
        <f t="shared" si="7"/>
        <v>0</v>
      </c>
      <c r="T37" s="2"/>
      <c r="U37" s="411">
        <f>計分版!E$13</f>
        <v>1E-10</v>
      </c>
      <c r="V37" s="411">
        <f>計分版!F$13</f>
        <v>2.0000000000000001E-10</v>
      </c>
      <c r="W37" s="411">
        <f>計分版!G$13</f>
        <v>3E-10</v>
      </c>
      <c r="X37" s="411">
        <f>計分版!H$13</f>
        <v>4.0000000000000001E-10</v>
      </c>
      <c r="Y37" s="411">
        <f>計分版!I$13</f>
        <v>5.0000000000000003E-10</v>
      </c>
      <c r="Z37" s="411">
        <f>計分版!J$13</f>
        <v>6E-10</v>
      </c>
      <c r="AA37" s="411">
        <f>計分版!K$13</f>
        <v>6.9999999999999996E-10</v>
      </c>
      <c r="AB37" s="411">
        <f>計分版!L$13</f>
        <v>8.0000000000000003E-10</v>
      </c>
      <c r="AC37" s="411">
        <f>計分版!M$13</f>
        <v>8.9999999999999999E-10</v>
      </c>
      <c r="AD37" s="411">
        <f>計分版!N$13</f>
        <v>9.5000000000000003E-10</v>
      </c>
      <c r="AF37" s="413" t="s">
        <v>2308</v>
      </c>
      <c r="AG37" s="413" t="s">
        <v>2309</v>
      </c>
      <c r="AJ37" s="2"/>
      <c r="AK37" s="2"/>
      <c r="AL37" s="2"/>
      <c r="AM37" s="2"/>
    </row>
    <row r="38" spans="1:39">
      <c r="A38" s="174" t="str">
        <f>CityU!A37</f>
        <v>JS1200</v>
      </c>
      <c r="B38" s="174" t="str">
        <f>CityU!C37</f>
        <v>環球精研與科創課程</v>
      </c>
      <c r="E38" s="419">
        <v>3</v>
      </c>
      <c r="F38" s="419">
        <v>3</v>
      </c>
      <c r="G38" s="419">
        <v>2</v>
      </c>
      <c r="H38" s="419">
        <v>2</v>
      </c>
      <c r="I38" s="420">
        <v>3</v>
      </c>
      <c r="J38" s="420">
        <v>3</v>
      </c>
      <c r="L38" s="411">
        <f t="shared" si="3"/>
        <v>0</v>
      </c>
      <c r="M38" s="411">
        <f t="shared" si="4"/>
        <v>0</v>
      </c>
      <c r="N38" s="411">
        <f t="shared" si="5"/>
        <v>0</v>
      </c>
      <c r="O38" s="411">
        <f t="shared" si="6"/>
        <v>0</v>
      </c>
      <c r="P38" s="411">
        <f>IF(I38&gt;LARGE(Y38:AC38,1),0,1)</f>
        <v>0</v>
      </c>
      <c r="Q38" s="411">
        <f>IF(J38&gt;LARGE(Y38:AC38,2),0,1)</f>
        <v>0</v>
      </c>
      <c r="S38" s="122">
        <f t="shared" si="7"/>
        <v>0</v>
      </c>
      <c r="T38" s="2"/>
      <c r="U38" s="411">
        <f>計分版!E$13</f>
        <v>1E-10</v>
      </c>
      <c r="V38" s="411">
        <f>計分版!F$13</f>
        <v>2.0000000000000001E-10</v>
      </c>
      <c r="W38" s="411">
        <f>計分版!G$13</f>
        <v>3E-10</v>
      </c>
      <c r="X38" s="411">
        <f>計分版!H$13</f>
        <v>4.0000000000000001E-10</v>
      </c>
      <c r="Y38" s="411">
        <f>計分版!I$13</f>
        <v>5.0000000000000003E-10</v>
      </c>
      <c r="Z38" s="411">
        <f>計分版!J$13</f>
        <v>6E-10</v>
      </c>
      <c r="AA38" s="411">
        <f>計分版!K$13</f>
        <v>6.9999999999999996E-10</v>
      </c>
      <c r="AB38" s="411">
        <f>計分版!L$13</f>
        <v>8.0000000000000003E-10</v>
      </c>
      <c r="AC38" s="411">
        <f>計分版!M$13</f>
        <v>8.9999999999999999E-10</v>
      </c>
      <c r="AD38" s="411">
        <f>計分版!N$13</f>
        <v>9.5000000000000003E-10</v>
      </c>
      <c r="AF38" s="413" t="s">
        <v>2308</v>
      </c>
      <c r="AJ38" s="2"/>
      <c r="AK38" s="2"/>
      <c r="AL38" s="2"/>
      <c r="AM38" s="2"/>
    </row>
    <row r="39" spans="1:39">
      <c r="A39" s="174" t="str">
        <f>CityU!A38</f>
        <v>JS1201</v>
      </c>
      <c r="B39" s="174" t="str">
        <f>CityU!C38</f>
        <v>建築學及土木工程學系 [選項: 工學士(建築工程)、工學士(土木工程)、理學士(測量學)]</v>
      </c>
      <c r="E39" s="419">
        <v>3</v>
      </c>
      <c r="F39" s="419">
        <v>3</v>
      </c>
      <c r="G39" s="419">
        <v>2</v>
      </c>
      <c r="H39" s="419">
        <v>2</v>
      </c>
      <c r="I39" s="419">
        <v>3</v>
      </c>
      <c r="J39" s="419">
        <v>3</v>
      </c>
      <c r="L39" s="411">
        <f t="shared" si="3"/>
        <v>0</v>
      </c>
      <c r="M39" s="411">
        <f t="shared" si="4"/>
        <v>0</v>
      </c>
      <c r="N39" s="411">
        <f t="shared" si="5"/>
        <v>0</v>
      </c>
      <c r="O39" s="411">
        <f t="shared" si="6"/>
        <v>0</v>
      </c>
      <c r="P39" s="411">
        <f>IF(I39&gt;LARGE(Y39:AC39,1),0,1)</f>
        <v>0</v>
      </c>
      <c r="Q39" s="411">
        <f>IF(J39&gt;LARGE(Y39:AC39,2),0,1)</f>
        <v>0</v>
      </c>
      <c r="S39" s="122">
        <f t="shared" si="7"/>
        <v>0</v>
      </c>
      <c r="T39" s="2"/>
      <c r="U39" s="411">
        <f>計分版!E$13</f>
        <v>1E-10</v>
      </c>
      <c r="V39" s="411">
        <f>計分版!F$13</f>
        <v>2.0000000000000001E-10</v>
      </c>
      <c r="W39" s="411">
        <f>計分版!G$13</f>
        <v>3E-10</v>
      </c>
      <c r="X39" s="411">
        <f>計分版!H$13</f>
        <v>4.0000000000000001E-10</v>
      </c>
      <c r="Y39" s="411">
        <f>計分版!I$13</f>
        <v>5.0000000000000003E-10</v>
      </c>
      <c r="Z39" s="411">
        <f>計分版!J$13</f>
        <v>6E-10</v>
      </c>
      <c r="AA39" s="411">
        <f>計分版!K$13</f>
        <v>6.9999999999999996E-10</v>
      </c>
      <c r="AB39" s="411">
        <f>計分版!L$13</f>
        <v>8.0000000000000003E-10</v>
      </c>
      <c r="AC39" s="411">
        <f>計分版!M$13</f>
        <v>8.9999999999999999E-10</v>
      </c>
      <c r="AD39" s="411">
        <f>計分版!N$13</f>
        <v>9.5000000000000003E-10</v>
      </c>
      <c r="AF39" s="413" t="s">
        <v>2308</v>
      </c>
      <c r="AJ39" s="2"/>
      <c r="AK39" s="2"/>
      <c r="AL39" s="2"/>
      <c r="AM39" s="2"/>
    </row>
    <row r="40" spans="1:39">
      <c r="A40" s="174" t="str">
        <f>CityU!A39</f>
        <v>JS1202</v>
      </c>
      <c r="B40" s="174" t="str">
        <f>CityU!C39</f>
        <v>理學士(化學)</v>
      </c>
      <c r="E40" s="419">
        <v>3</v>
      </c>
      <c r="F40" s="419">
        <v>3</v>
      </c>
      <c r="G40" s="419">
        <v>2</v>
      </c>
      <c r="H40" s="419">
        <v>2</v>
      </c>
      <c r="I40" s="419">
        <v>3</v>
      </c>
      <c r="J40" s="419">
        <v>3</v>
      </c>
      <c r="L40" s="411">
        <f t="shared" si="3"/>
        <v>0</v>
      </c>
      <c r="M40" s="411">
        <f t="shared" si="4"/>
        <v>0</v>
      </c>
      <c r="N40" s="411">
        <f t="shared" si="5"/>
        <v>0</v>
      </c>
      <c r="O40" s="411">
        <f t="shared" si="6"/>
        <v>0</v>
      </c>
      <c r="P40" s="78">
        <f>IF(計分版!T35=0,0,IF(I40&gt;LARGE(Y40:AD40,1),0,1))</f>
        <v>0</v>
      </c>
      <c r="Q40" s="78">
        <f>IF(AND(計分版!G3&lt;3,計分版!$R$37=0),0,IF(J40&gt;LARGE(Y40:AD40,2),0,1))</f>
        <v>0</v>
      </c>
      <c r="S40" s="122">
        <f t="shared" si="7"/>
        <v>0</v>
      </c>
      <c r="T40" s="2"/>
      <c r="U40" s="411">
        <f>計分版!E$13</f>
        <v>1E-10</v>
      </c>
      <c r="V40" s="411">
        <f>計分版!F$13</f>
        <v>2.0000000000000001E-10</v>
      </c>
      <c r="W40" s="411">
        <f>計分版!G$13</f>
        <v>3E-10</v>
      </c>
      <c r="X40" s="411">
        <f>計分版!H$13</f>
        <v>4.0000000000000001E-10</v>
      </c>
      <c r="Y40" s="411">
        <f>計分版!I$13</f>
        <v>5.0000000000000003E-10</v>
      </c>
      <c r="Z40" s="411">
        <f>計分版!J$13</f>
        <v>6E-10</v>
      </c>
      <c r="AA40" s="411">
        <f>計分版!K$13</f>
        <v>6.9999999999999996E-10</v>
      </c>
      <c r="AB40" s="411">
        <f>計分版!L$13</f>
        <v>8.0000000000000003E-10</v>
      </c>
      <c r="AC40" s="411">
        <f>計分版!M$13</f>
        <v>8.9999999999999999E-10</v>
      </c>
      <c r="AD40" s="411">
        <f>計分版!N$13</f>
        <v>9.5000000000000003E-10</v>
      </c>
      <c r="AF40" s="413" t="s">
        <v>2308</v>
      </c>
      <c r="AG40" s="413" t="s">
        <v>2309</v>
      </c>
      <c r="AJ40" s="2"/>
      <c r="AK40" s="2"/>
      <c r="AL40" s="2"/>
      <c r="AM40" s="2"/>
    </row>
    <row r="41" spans="1:39">
      <c r="A41" s="174" t="str">
        <f>CityU!A40</f>
        <v>JS1204</v>
      </c>
      <c r="B41" s="174" t="str">
        <f>CityU!C40</f>
        <v>理學士(電腦科學)</v>
      </c>
      <c r="E41" s="419">
        <v>3</v>
      </c>
      <c r="F41" s="419">
        <v>3</v>
      </c>
      <c r="G41" s="419">
        <v>3</v>
      </c>
      <c r="H41" s="419">
        <v>2</v>
      </c>
      <c r="I41" s="419">
        <v>3</v>
      </c>
      <c r="J41" s="419">
        <v>3</v>
      </c>
      <c r="L41" s="411">
        <f t="shared" si="3"/>
        <v>0</v>
      </c>
      <c r="M41" s="411">
        <f t="shared" si="4"/>
        <v>0</v>
      </c>
      <c r="N41" s="411">
        <f t="shared" si="5"/>
        <v>0</v>
      </c>
      <c r="O41" s="411">
        <f t="shared" si="6"/>
        <v>0</v>
      </c>
      <c r="P41" s="78">
        <f>IF(計分版!$T$30=0,0,IF(I41&gt;LARGE(Y41:AD41,1),0,1))</f>
        <v>0</v>
      </c>
      <c r="Q41" s="78">
        <f t="shared" ref="Q41:Q48" si="10">IF(J41&gt;LARGE(Y41:AD41,2),0,1)</f>
        <v>0</v>
      </c>
      <c r="S41" s="122">
        <f t="shared" si="7"/>
        <v>0</v>
      </c>
      <c r="T41" s="2"/>
      <c r="U41" s="411">
        <f>計分版!E$13</f>
        <v>1E-10</v>
      </c>
      <c r="V41" s="411">
        <f>計分版!F$13</f>
        <v>2.0000000000000001E-10</v>
      </c>
      <c r="W41" s="411">
        <f>計分版!G$13</f>
        <v>3E-10</v>
      </c>
      <c r="X41" s="411">
        <f>計分版!H$13</f>
        <v>4.0000000000000001E-10</v>
      </c>
      <c r="Y41" s="411">
        <f>計分版!I$13</f>
        <v>5.0000000000000003E-10</v>
      </c>
      <c r="Z41" s="411">
        <f>計分版!J$13</f>
        <v>6E-10</v>
      </c>
      <c r="AA41" s="411">
        <f>計分版!K$13</f>
        <v>6.9999999999999996E-10</v>
      </c>
      <c r="AB41" s="411">
        <f>計分版!L$13</f>
        <v>8.0000000000000003E-10</v>
      </c>
      <c r="AC41" s="411">
        <f>計分版!M$13</f>
        <v>8.9999999999999999E-10</v>
      </c>
      <c r="AD41" s="411">
        <f>計分版!N$13</f>
        <v>9.5000000000000003E-10</v>
      </c>
      <c r="AF41" s="413" t="s">
        <v>2308</v>
      </c>
      <c r="AG41" s="413" t="s">
        <v>2309</v>
      </c>
      <c r="AJ41" s="2"/>
      <c r="AK41" s="2"/>
      <c r="AL41" s="2"/>
      <c r="AM41" s="2"/>
    </row>
    <row r="42" spans="1:39">
      <c r="A42" s="174" t="str">
        <f>CityU!A41</f>
        <v>JS1205</v>
      </c>
      <c r="B42" s="174" t="str">
        <f>CityU!C41</f>
        <v>電機工程學系 [選項: 工學士(電子計算機及數據工程學)、工學士(電子及電機工程學)、工學士(資訊工程學)]</v>
      </c>
      <c r="E42" s="419">
        <v>3</v>
      </c>
      <c r="F42" s="419">
        <v>3</v>
      </c>
      <c r="G42" s="419">
        <v>3</v>
      </c>
      <c r="H42" s="419">
        <v>2</v>
      </c>
      <c r="I42" s="419">
        <v>3</v>
      </c>
      <c r="J42" s="419">
        <v>3</v>
      </c>
      <c r="L42" s="411">
        <f t="shared" si="3"/>
        <v>0</v>
      </c>
      <c r="M42" s="411">
        <f t="shared" si="4"/>
        <v>0</v>
      </c>
      <c r="N42" s="411">
        <f t="shared" si="5"/>
        <v>0</v>
      </c>
      <c r="O42" s="411">
        <f t="shared" si="6"/>
        <v>0</v>
      </c>
      <c r="P42" s="78">
        <f>IF(計分版!$T$31=0,0,IF(I42&gt;LARGE(Y42:AD42,1),0,1))</f>
        <v>0</v>
      </c>
      <c r="Q42" s="78">
        <f t="shared" si="10"/>
        <v>0</v>
      </c>
      <c r="S42" s="122">
        <f t="shared" si="7"/>
        <v>0</v>
      </c>
      <c r="T42" s="2"/>
      <c r="U42" s="411">
        <f>計分版!E$13</f>
        <v>1E-10</v>
      </c>
      <c r="V42" s="411">
        <f>計分版!F$13</f>
        <v>2.0000000000000001E-10</v>
      </c>
      <c r="W42" s="411">
        <f>計分版!G$13</f>
        <v>3E-10</v>
      </c>
      <c r="X42" s="411">
        <f>計分版!H$13</f>
        <v>4.0000000000000001E-10</v>
      </c>
      <c r="Y42" s="411">
        <f>計分版!I$13</f>
        <v>5.0000000000000003E-10</v>
      </c>
      <c r="Z42" s="411">
        <f>計分版!J$13</f>
        <v>6E-10</v>
      </c>
      <c r="AA42" s="411">
        <f>計分版!K$13</f>
        <v>6.9999999999999996E-10</v>
      </c>
      <c r="AB42" s="411">
        <f>計分版!L$13</f>
        <v>8.0000000000000003E-10</v>
      </c>
      <c r="AC42" s="411">
        <f>計分版!M$13</f>
        <v>8.9999999999999999E-10</v>
      </c>
      <c r="AD42" s="411">
        <f>計分版!N$13</f>
        <v>9.5000000000000003E-10</v>
      </c>
      <c r="AF42" s="413" t="s">
        <v>2308</v>
      </c>
      <c r="AG42" s="413" t="s">
        <v>2309</v>
      </c>
      <c r="AJ42" s="2"/>
      <c r="AK42" s="2"/>
      <c r="AL42" s="2"/>
      <c r="AM42" s="2"/>
    </row>
    <row r="43" spans="1:39">
      <c r="A43" s="174" t="str">
        <f>CityU!A42</f>
        <v>JS1206</v>
      </c>
      <c r="B43" s="174" t="str">
        <f>CityU!C42</f>
        <v>理學士(計算數學)</v>
      </c>
      <c r="E43" s="419">
        <v>3</v>
      </c>
      <c r="F43" s="419">
        <v>3</v>
      </c>
      <c r="G43" s="419">
        <v>3</v>
      </c>
      <c r="H43" s="419">
        <v>2</v>
      </c>
      <c r="I43" s="419">
        <v>3</v>
      </c>
      <c r="J43" s="419">
        <v>3</v>
      </c>
      <c r="L43" s="411">
        <f t="shared" si="3"/>
        <v>0</v>
      </c>
      <c r="M43" s="411">
        <f t="shared" si="4"/>
        <v>0</v>
      </c>
      <c r="N43" s="411">
        <f t="shared" si="5"/>
        <v>0</v>
      </c>
      <c r="O43" s="411">
        <f t="shared" si="6"/>
        <v>0</v>
      </c>
      <c r="P43" s="78">
        <f>IF(計分版!$T$36=0,0,IF(I43&gt;LARGE(Y43:AD43,1),0,1))</f>
        <v>0</v>
      </c>
      <c r="Q43" s="411">
        <f t="shared" si="10"/>
        <v>0</v>
      </c>
      <c r="S43" s="122">
        <f t="shared" si="7"/>
        <v>0</v>
      </c>
      <c r="T43" s="2"/>
      <c r="U43" s="411">
        <f>計分版!E$13</f>
        <v>1E-10</v>
      </c>
      <c r="V43" s="411">
        <f>計分版!F$13</f>
        <v>2.0000000000000001E-10</v>
      </c>
      <c r="W43" s="411">
        <f>計分版!G$13</f>
        <v>3E-10</v>
      </c>
      <c r="X43" s="411">
        <f>計分版!H$13</f>
        <v>4.0000000000000001E-10</v>
      </c>
      <c r="Y43" s="411">
        <f>計分版!I$13</f>
        <v>5.0000000000000003E-10</v>
      </c>
      <c r="Z43" s="411">
        <f>計分版!J$13</f>
        <v>6E-10</v>
      </c>
      <c r="AA43" s="411">
        <f>計分版!K$13</f>
        <v>6.9999999999999996E-10</v>
      </c>
      <c r="AB43" s="411">
        <f>計分版!L$13</f>
        <v>8.0000000000000003E-10</v>
      </c>
      <c r="AC43" s="411">
        <f>計分版!M$13</f>
        <v>8.9999999999999999E-10</v>
      </c>
      <c r="AD43" s="411">
        <f>計分版!N$13</f>
        <v>9.5000000000000003E-10</v>
      </c>
      <c r="AF43" s="413" t="s">
        <v>2308</v>
      </c>
      <c r="AG43" s="413" t="s">
        <v>2309</v>
      </c>
      <c r="AJ43" s="2"/>
      <c r="AK43" s="2"/>
      <c r="AL43" s="2"/>
      <c r="AM43" s="2"/>
    </row>
    <row r="44" spans="1:39">
      <c r="A44" s="174" t="str">
        <f>CityU!A43</f>
        <v>JS1207</v>
      </c>
      <c r="B44" s="174" t="str">
        <f>CityU!C43</f>
        <v>機械工程學系 [選項: 工學士(機械工程)、工學士(核子及風險工程)]</v>
      </c>
      <c r="E44" s="419">
        <v>3</v>
      </c>
      <c r="F44" s="419">
        <v>3</v>
      </c>
      <c r="G44" s="419">
        <v>3</v>
      </c>
      <c r="H44" s="419">
        <v>2</v>
      </c>
      <c r="I44" s="419">
        <v>3</v>
      </c>
      <c r="J44" s="419">
        <v>3</v>
      </c>
      <c r="L44" s="411">
        <f t="shared" si="3"/>
        <v>0</v>
      </c>
      <c r="M44" s="411">
        <f t="shared" si="4"/>
        <v>0</v>
      </c>
      <c r="N44" s="411">
        <f t="shared" si="5"/>
        <v>0</v>
      </c>
      <c r="O44" s="411">
        <f t="shared" si="6"/>
        <v>0</v>
      </c>
      <c r="P44" s="78">
        <f>IF(AND(計分版!$T$32=0,計分版!$V$250=0),0,IF(I44&gt;LARGE(Y44:AD44,1),0,1))</f>
        <v>0</v>
      </c>
      <c r="Q44" s="411">
        <f t="shared" si="10"/>
        <v>0</v>
      </c>
      <c r="S44" s="122">
        <f t="shared" si="7"/>
        <v>0</v>
      </c>
      <c r="T44" s="2"/>
      <c r="U44" s="411">
        <f>計分版!E$13</f>
        <v>1E-10</v>
      </c>
      <c r="V44" s="411">
        <f>計分版!F$13</f>
        <v>2.0000000000000001E-10</v>
      </c>
      <c r="W44" s="411">
        <f>計分版!G$13</f>
        <v>3E-10</v>
      </c>
      <c r="X44" s="411">
        <f>計分版!H$13</f>
        <v>4.0000000000000001E-10</v>
      </c>
      <c r="Y44" s="411">
        <f>計分版!I$13</f>
        <v>5.0000000000000003E-10</v>
      </c>
      <c r="Z44" s="411">
        <f>計分版!J$13</f>
        <v>6E-10</v>
      </c>
      <c r="AA44" s="411">
        <f>計分版!K$13</f>
        <v>6.9999999999999996E-10</v>
      </c>
      <c r="AB44" s="411">
        <f>計分版!L$13</f>
        <v>8.0000000000000003E-10</v>
      </c>
      <c r="AC44" s="411">
        <f>計分版!M$13</f>
        <v>8.9999999999999999E-10</v>
      </c>
      <c r="AD44" s="411">
        <f>計分版!N$13</f>
        <v>9.5000000000000003E-10</v>
      </c>
      <c r="AF44" s="413" t="s">
        <v>2308</v>
      </c>
      <c r="AG44" s="413" t="s">
        <v>2309</v>
      </c>
      <c r="AJ44" s="2"/>
      <c r="AK44" s="2"/>
      <c r="AL44" s="2"/>
      <c r="AM44" s="2"/>
    </row>
    <row r="45" spans="1:39">
      <c r="A45" s="174" t="str">
        <f>CityU!A44</f>
        <v>JS1208</v>
      </c>
      <c r="B45" s="174" t="str">
        <f>CityU!C44</f>
        <v>理學士(物理學)</v>
      </c>
      <c r="E45" s="419">
        <v>3</v>
      </c>
      <c r="F45" s="419">
        <v>3</v>
      </c>
      <c r="G45" s="419">
        <v>3</v>
      </c>
      <c r="H45" s="419">
        <v>2</v>
      </c>
      <c r="I45" s="419">
        <v>3</v>
      </c>
      <c r="J45" s="419">
        <v>3</v>
      </c>
      <c r="L45" s="411">
        <f t="shared" si="3"/>
        <v>0</v>
      </c>
      <c r="M45" s="411">
        <f t="shared" si="4"/>
        <v>0</v>
      </c>
      <c r="N45" s="411">
        <f t="shared" si="5"/>
        <v>0</v>
      </c>
      <c r="O45" s="411">
        <f t="shared" si="6"/>
        <v>0</v>
      </c>
      <c r="P45" s="78">
        <f>IF(計分版!$T$33=0,0,IF(I45&gt;LARGE(Y45:AD45,1),0,1))</f>
        <v>0</v>
      </c>
      <c r="Q45" s="411">
        <f t="shared" si="10"/>
        <v>0</v>
      </c>
      <c r="S45" s="122">
        <f t="shared" si="7"/>
        <v>0</v>
      </c>
      <c r="U45" s="411">
        <f>計分版!E$13</f>
        <v>1E-10</v>
      </c>
      <c r="V45" s="411">
        <f>計分版!F$13</f>
        <v>2.0000000000000001E-10</v>
      </c>
      <c r="W45" s="411">
        <f>計分版!G$13</f>
        <v>3E-10</v>
      </c>
      <c r="X45" s="411">
        <f>計分版!H$13</f>
        <v>4.0000000000000001E-10</v>
      </c>
      <c r="Y45" s="411">
        <f>計分版!I$13</f>
        <v>5.0000000000000003E-10</v>
      </c>
      <c r="Z45" s="411">
        <f>計分版!J$13</f>
        <v>6E-10</v>
      </c>
      <c r="AA45" s="411">
        <f>計分版!K$13</f>
        <v>6.9999999999999996E-10</v>
      </c>
      <c r="AB45" s="411">
        <f>計分版!L$13</f>
        <v>8.0000000000000003E-10</v>
      </c>
      <c r="AC45" s="411">
        <f>計分版!M$13</f>
        <v>8.9999999999999999E-10</v>
      </c>
      <c r="AD45" s="411">
        <f>計分版!N$13</f>
        <v>9.5000000000000003E-10</v>
      </c>
      <c r="AF45" s="413" t="s">
        <v>2308</v>
      </c>
      <c r="AG45" s="413" t="s">
        <v>2309</v>
      </c>
      <c r="AJ45" s="2"/>
      <c r="AK45" s="2"/>
      <c r="AL45" s="2"/>
      <c r="AM45" s="2"/>
    </row>
    <row r="46" spans="1:39">
      <c r="A46" s="174" t="str">
        <f>CityU!A45</f>
        <v>JS1210</v>
      </c>
      <c r="B46" s="174" t="str">
        <f>CityU!C45</f>
        <v>工學士(材料科學及工程)</v>
      </c>
      <c r="E46" s="419">
        <v>3</v>
      </c>
      <c r="F46" s="419">
        <v>3</v>
      </c>
      <c r="G46" s="419">
        <v>2</v>
      </c>
      <c r="H46" s="419">
        <v>2</v>
      </c>
      <c r="I46" s="419">
        <v>3</v>
      </c>
      <c r="J46" s="419">
        <v>3</v>
      </c>
      <c r="L46" s="411">
        <f t="shared" si="3"/>
        <v>0</v>
      </c>
      <c r="M46" s="411">
        <f t="shared" si="4"/>
        <v>0</v>
      </c>
      <c r="N46" s="411">
        <f t="shared" si="5"/>
        <v>0</v>
      </c>
      <c r="O46" s="411">
        <f t="shared" si="6"/>
        <v>0</v>
      </c>
      <c r="P46" s="78">
        <f>IF(計分版!$T$33=0,0,IF(I46&gt;LARGE(Y46:AD46,1),0,1))</f>
        <v>0</v>
      </c>
      <c r="Q46" s="411">
        <f t="shared" si="10"/>
        <v>0</v>
      </c>
      <c r="S46" s="122">
        <f t="shared" si="7"/>
        <v>0</v>
      </c>
      <c r="U46" s="411">
        <f>計分版!E$13</f>
        <v>1E-10</v>
      </c>
      <c r="V46" s="411">
        <f>計分版!F$13</f>
        <v>2.0000000000000001E-10</v>
      </c>
      <c r="W46" s="411">
        <f>計分版!G$13</f>
        <v>3E-10</v>
      </c>
      <c r="X46" s="411">
        <f>計分版!H$13</f>
        <v>4.0000000000000001E-10</v>
      </c>
      <c r="Y46" s="411">
        <f>計分版!I$13</f>
        <v>5.0000000000000003E-10</v>
      </c>
      <c r="Z46" s="411">
        <f>計分版!J$13</f>
        <v>6E-10</v>
      </c>
      <c r="AA46" s="411">
        <f>計分版!K$13</f>
        <v>6.9999999999999996E-10</v>
      </c>
      <c r="AB46" s="411">
        <f>計分版!L$13</f>
        <v>8.0000000000000003E-10</v>
      </c>
      <c r="AC46" s="411">
        <f>計分版!M$13</f>
        <v>8.9999999999999999E-10</v>
      </c>
      <c r="AD46" s="411">
        <f>計分版!N$13</f>
        <v>9.5000000000000003E-10</v>
      </c>
      <c r="AF46" s="413" t="s">
        <v>2308</v>
      </c>
      <c r="AG46" s="413" t="s">
        <v>2309</v>
      </c>
      <c r="AJ46" s="2"/>
      <c r="AK46" s="2"/>
      <c r="AL46" s="2"/>
      <c r="AM46" s="2"/>
    </row>
    <row r="47" spans="1:39">
      <c r="A47" s="174" t="str">
        <f>CityU!A46</f>
        <v>JS1211</v>
      </c>
      <c r="B47" s="174" t="str">
        <f>CityU!C46</f>
        <v>工學士(生物醫學工程)</v>
      </c>
      <c r="E47" s="419">
        <v>3</v>
      </c>
      <c r="F47" s="419">
        <v>3</v>
      </c>
      <c r="G47" s="419">
        <v>3</v>
      </c>
      <c r="H47" s="419">
        <v>2</v>
      </c>
      <c r="I47" s="419">
        <v>3</v>
      </c>
      <c r="J47" s="419">
        <v>3</v>
      </c>
      <c r="L47" s="411">
        <f t="shared" si="3"/>
        <v>0</v>
      </c>
      <c r="M47" s="411">
        <f t="shared" si="4"/>
        <v>0</v>
      </c>
      <c r="N47" s="411">
        <f t="shared" si="5"/>
        <v>0</v>
      </c>
      <c r="O47" s="411">
        <f t="shared" si="6"/>
        <v>0</v>
      </c>
      <c r="P47" s="78">
        <f>IF(計分版!R244=0,0,IF(I47&gt;LARGE(Y47:AD47,1),0,1))</f>
        <v>0</v>
      </c>
      <c r="Q47" s="411">
        <f t="shared" si="10"/>
        <v>0</v>
      </c>
      <c r="S47" s="122">
        <f t="shared" si="7"/>
        <v>0</v>
      </c>
      <c r="U47" s="411">
        <f>計分版!E$13</f>
        <v>1E-10</v>
      </c>
      <c r="V47" s="411">
        <f>計分版!F$13</f>
        <v>2.0000000000000001E-10</v>
      </c>
      <c r="W47" s="411">
        <f>計分版!G$13</f>
        <v>3E-10</v>
      </c>
      <c r="X47" s="411">
        <f>計分版!H$13</f>
        <v>4.0000000000000001E-10</v>
      </c>
      <c r="Y47" s="411">
        <f>計分版!I$13</f>
        <v>5.0000000000000003E-10</v>
      </c>
      <c r="Z47" s="411">
        <f>計分版!J$13</f>
        <v>6E-10</v>
      </c>
      <c r="AA47" s="411">
        <f>計分版!K$13</f>
        <v>6.9999999999999996E-10</v>
      </c>
      <c r="AB47" s="411">
        <f>計分版!L$13</f>
        <v>8.0000000000000003E-10</v>
      </c>
      <c r="AC47" s="411">
        <f>計分版!M$13</f>
        <v>8.9999999999999999E-10</v>
      </c>
      <c r="AD47" s="411">
        <f>計分版!N$13</f>
        <v>9.5000000000000003E-10</v>
      </c>
      <c r="AF47" s="413" t="s">
        <v>2308</v>
      </c>
      <c r="AG47" s="413" t="s">
        <v>2309</v>
      </c>
      <c r="AJ47" s="2"/>
      <c r="AK47" s="2"/>
      <c r="AL47" s="2"/>
      <c r="AM47" s="2"/>
    </row>
    <row r="48" spans="1:39" s="174" customFormat="1">
      <c r="A48" s="174" t="str">
        <f>CityU!A47</f>
        <v>JS1216</v>
      </c>
      <c r="B48" s="174" t="str">
        <f>CityU!C47</f>
        <v>工學士(智能製造工程學)</v>
      </c>
      <c r="E48" s="419">
        <v>3</v>
      </c>
      <c r="F48" s="419">
        <v>3</v>
      </c>
      <c r="G48" s="419">
        <v>3</v>
      </c>
      <c r="H48" s="419">
        <v>2</v>
      </c>
      <c r="I48" s="421">
        <v>3</v>
      </c>
      <c r="J48" s="419">
        <v>3</v>
      </c>
      <c r="L48" s="411">
        <f t="shared" si="3"/>
        <v>0</v>
      </c>
      <c r="M48" s="411">
        <f t="shared" si="4"/>
        <v>0</v>
      </c>
      <c r="N48" s="411">
        <f t="shared" si="5"/>
        <v>0</v>
      </c>
      <c r="O48" s="411">
        <f t="shared" si="6"/>
        <v>0</v>
      </c>
      <c r="P48" s="336">
        <f>IF(計分版!R41=0,0,IF(I48&gt;LARGE(Y48:AD48,1),0,1))</f>
        <v>0</v>
      </c>
      <c r="Q48" s="411">
        <f t="shared" si="10"/>
        <v>0</v>
      </c>
      <c r="S48" s="354">
        <f t="shared" si="7"/>
        <v>0</v>
      </c>
      <c r="T48" s="336"/>
      <c r="U48" s="411">
        <f>計分版!E$13</f>
        <v>1E-10</v>
      </c>
      <c r="V48" s="411">
        <f>計分版!F$13</f>
        <v>2.0000000000000001E-10</v>
      </c>
      <c r="W48" s="411">
        <f>計分版!G$13</f>
        <v>3E-10</v>
      </c>
      <c r="X48" s="411">
        <f>計分版!H$13</f>
        <v>4.0000000000000001E-10</v>
      </c>
      <c r="Y48" s="411">
        <f>計分版!I$13</f>
        <v>5.0000000000000003E-10</v>
      </c>
      <c r="Z48" s="411">
        <f>計分版!J$13</f>
        <v>6E-10</v>
      </c>
      <c r="AA48" s="411">
        <f>計分版!K$13</f>
        <v>6.9999999999999996E-10</v>
      </c>
      <c r="AB48" s="411">
        <f>計分版!L$13</f>
        <v>8.0000000000000003E-10</v>
      </c>
      <c r="AC48" s="411">
        <f>計分版!M$13</f>
        <v>8.9999999999999999E-10</v>
      </c>
      <c r="AD48" s="411">
        <f>計分版!N$13</f>
        <v>9.5000000000000003E-10</v>
      </c>
      <c r="AE48" s="182"/>
      <c r="AF48" s="413" t="s">
        <v>2308</v>
      </c>
      <c r="AG48" s="413" t="s">
        <v>2309</v>
      </c>
      <c r="AH48" s="413"/>
      <c r="AI48" s="413"/>
    </row>
    <row r="49" spans="1:39">
      <c r="A49" s="174" t="str">
        <f>CityU!A48</f>
        <v>JS1801</v>
      </c>
      <c r="B49" s="174" t="str">
        <f>CityU!C48</f>
        <v>獸醫學學士</v>
      </c>
      <c r="E49" s="419">
        <v>3</v>
      </c>
      <c r="F49" s="419">
        <v>3</v>
      </c>
      <c r="G49" s="419">
        <v>2</v>
      </c>
      <c r="H49" s="419">
        <v>2</v>
      </c>
      <c r="I49" s="419">
        <v>3</v>
      </c>
      <c r="J49" s="419">
        <v>3</v>
      </c>
      <c r="L49" s="411">
        <f t="shared" si="3"/>
        <v>0</v>
      </c>
      <c r="M49" s="411">
        <f t="shared" si="4"/>
        <v>0</v>
      </c>
      <c r="N49" s="411">
        <f t="shared" si="5"/>
        <v>0</v>
      </c>
      <c r="O49" s="411">
        <f t="shared" si="6"/>
        <v>0</v>
      </c>
      <c r="P49" s="78">
        <f>IF(計分版!T72=0,0,IF(I49&gt;LARGE(Z49:AC49,1),0,1))</f>
        <v>0</v>
      </c>
      <c r="Q49" s="78">
        <f>IF(計分版!T72=0,0,IF(J49&gt;LARGE(Z49:AC49,1),0,1))</f>
        <v>0</v>
      </c>
      <c r="S49" s="122">
        <f t="shared" si="7"/>
        <v>0</v>
      </c>
      <c r="T49" s="2"/>
      <c r="U49" s="411">
        <f>計分版!E$13</f>
        <v>1E-10</v>
      </c>
      <c r="V49" s="411">
        <f>計分版!F$13</f>
        <v>2.0000000000000001E-10</v>
      </c>
      <c r="W49" s="411">
        <f>計分版!G$13</f>
        <v>3E-10</v>
      </c>
      <c r="X49" s="411">
        <f>計分版!H$13</f>
        <v>4.0000000000000001E-10</v>
      </c>
      <c r="Y49" s="411">
        <f>計分版!I$13</f>
        <v>5.0000000000000003E-10</v>
      </c>
      <c r="Z49" s="411">
        <f>計分版!J$13</f>
        <v>6E-10</v>
      </c>
      <c r="AA49" s="411">
        <f>計分版!K$13</f>
        <v>6.9999999999999996E-10</v>
      </c>
      <c r="AB49" s="411">
        <f>計分版!L$13</f>
        <v>8.0000000000000003E-10</v>
      </c>
      <c r="AC49" s="411">
        <f>計分版!M$13</f>
        <v>8.9999999999999999E-10</v>
      </c>
      <c r="AD49" s="411">
        <f>計分版!N$13</f>
        <v>9.5000000000000003E-10</v>
      </c>
      <c r="AJ49" s="2"/>
      <c r="AK49" s="2"/>
      <c r="AL49" s="2"/>
      <c r="AM49" s="2"/>
    </row>
    <row r="50" spans="1:39">
      <c r="A50" s="174" t="str">
        <f>CityU!A49</f>
        <v>JS1805</v>
      </c>
      <c r="B50" s="174" t="str">
        <f>CityU!C49</f>
        <v>生物醫學系 [選項: 理學士(生物科學)、理學士(生物醫學)]</v>
      </c>
      <c r="E50" s="419">
        <v>3</v>
      </c>
      <c r="F50" s="419">
        <v>3</v>
      </c>
      <c r="G50" s="419">
        <v>2</v>
      </c>
      <c r="H50" s="419">
        <v>2</v>
      </c>
      <c r="I50" s="419">
        <v>3</v>
      </c>
      <c r="J50" s="419">
        <v>3</v>
      </c>
      <c r="L50" s="411">
        <f t="shared" si="3"/>
        <v>0</v>
      </c>
      <c r="M50" s="411">
        <f t="shared" si="4"/>
        <v>0</v>
      </c>
      <c r="N50" s="411">
        <f t="shared" si="5"/>
        <v>0</v>
      </c>
      <c r="O50" s="411">
        <f t="shared" si="6"/>
        <v>0</v>
      </c>
      <c r="P50" s="78">
        <f>IF(計分版!$T$38=0,0,IF(I50&gt;LARGE(Y50:AC50,1),0,1))</f>
        <v>0</v>
      </c>
      <c r="Q50" s="78">
        <f>IF(計分版!$T$36=0,0,IF(J50&gt;LARGE(Y50:AC50,2),0,1))</f>
        <v>0</v>
      </c>
      <c r="S50" s="122">
        <f t="shared" si="7"/>
        <v>0</v>
      </c>
      <c r="T50" s="2"/>
      <c r="U50" s="411">
        <f>計分版!E$13</f>
        <v>1E-10</v>
      </c>
      <c r="V50" s="411">
        <f>計分版!F$13</f>
        <v>2.0000000000000001E-10</v>
      </c>
      <c r="W50" s="411">
        <f>計分版!G$13</f>
        <v>3E-10</v>
      </c>
      <c r="X50" s="411">
        <f>計分版!H$13</f>
        <v>4.0000000000000001E-10</v>
      </c>
      <c r="Y50" s="411">
        <f>計分版!I$13</f>
        <v>5.0000000000000003E-10</v>
      </c>
      <c r="Z50" s="411">
        <f>計分版!J$13</f>
        <v>6E-10</v>
      </c>
      <c r="AA50" s="411">
        <f>計分版!K$13</f>
        <v>6.9999999999999996E-10</v>
      </c>
      <c r="AB50" s="411">
        <f>計分版!L$13</f>
        <v>8.0000000000000003E-10</v>
      </c>
      <c r="AC50" s="411">
        <f>計分版!M$13</f>
        <v>8.9999999999999999E-10</v>
      </c>
      <c r="AD50" s="411">
        <f>計分版!N$13</f>
        <v>9.5000000000000003E-10</v>
      </c>
      <c r="AF50" s="413" t="s">
        <v>2308</v>
      </c>
      <c r="AH50" s="413" t="s">
        <v>2308</v>
      </c>
      <c r="AJ50" s="2"/>
      <c r="AK50" s="2"/>
      <c r="AL50" s="2"/>
      <c r="AM50" s="2"/>
    </row>
    <row r="51" spans="1:39">
      <c r="A51" s="174" t="str">
        <f>CityU!A50</f>
        <v>JS1806</v>
      </c>
      <c r="B51" s="174" t="str">
        <f>CityU!C50</f>
        <v>理學士(生物科學)</v>
      </c>
      <c r="E51" s="419">
        <v>3</v>
      </c>
      <c r="F51" s="419">
        <v>3</v>
      </c>
      <c r="G51" s="419">
        <v>2</v>
      </c>
      <c r="H51" s="419">
        <v>2</v>
      </c>
      <c r="I51" s="419">
        <v>3</v>
      </c>
      <c r="J51" s="419">
        <v>3</v>
      </c>
      <c r="L51" s="411">
        <f t="shared" si="3"/>
        <v>0</v>
      </c>
      <c r="M51" s="411">
        <f t="shared" si="4"/>
        <v>0</v>
      </c>
      <c r="N51" s="411">
        <f t="shared" si="5"/>
        <v>0</v>
      </c>
      <c r="O51" s="411">
        <f t="shared" si="6"/>
        <v>0</v>
      </c>
      <c r="P51" s="78">
        <f>IF(計分版!$T$38=0,0,IF(I51&gt;LARGE(Y51:AC51,1),0,1))</f>
        <v>0</v>
      </c>
      <c r="Q51" s="78">
        <f>IF(計分版!$T$36=0,0,IF(J51&gt;LARGE(Y51:AC51,2),0,1))</f>
        <v>0</v>
      </c>
      <c r="S51" s="122">
        <f t="shared" si="7"/>
        <v>0</v>
      </c>
      <c r="T51" s="2"/>
      <c r="U51" s="411">
        <f>計分版!E$13</f>
        <v>1E-10</v>
      </c>
      <c r="V51" s="411">
        <f>計分版!F$13</f>
        <v>2.0000000000000001E-10</v>
      </c>
      <c r="W51" s="411">
        <f>計分版!G$13</f>
        <v>3E-10</v>
      </c>
      <c r="X51" s="411">
        <f>計分版!H$13</f>
        <v>4.0000000000000001E-10</v>
      </c>
      <c r="Y51" s="411">
        <f>計分版!I$13</f>
        <v>5.0000000000000003E-10</v>
      </c>
      <c r="Z51" s="411">
        <f>計分版!J$13</f>
        <v>6E-10</v>
      </c>
      <c r="AA51" s="411">
        <f>計分版!K$13</f>
        <v>6.9999999999999996E-10</v>
      </c>
      <c r="AB51" s="411">
        <f>計分版!L$13</f>
        <v>8.0000000000000003E-10</v>
      </c>
      <c r="AC51" s="411">
        <f>計分版!M$13</f>
        <v>8.9999999999999999E-10</v>
      </c>
      <c r="AD51" s="411">
        <f>計分版!N$13</f>
        <v>9.5000000000000003E-10</v>
      </c>
      <c r="AF51" s="413" t="s">
        <v>2308</v>
      </c>
      <c r="AH51" s="413" t="s">
        <v>2308</v>
      </c>
      <c r="AJ51" s="2"/>
      <c r="AK51" s="2"/>
      <c r="AL51" s="2"/>
      <c r="AM51" s="2"/>
    </row>
    <row r="52" spans="1:39">
      <c r="A52" s="174" t="str">
        <f>CityU!A51</f>
        <v>JS1807</v>
      </c>
      <c r="B52" s="174" t="str">
        <f>CityU!C51</f>
        <v>理學士(生物醫學)</v>
      </c>
      <c r="E52" s="419">
        <v>3</v>
      </c>
      <c r="F52" s="419">
        <v>3</v>
      </c>
      <c r="G52" s="419">
        <v>3</v>
      </c>
      <c r="H52" s="419">
        <v>2</v>
      </c>
      <c r="I52" s="419">
        <v>3</v>
      </c>
      <c r="J52" s="419">
        <v>3</v>
      </c>
      <c r="L52" s="411">
        <f t="shared" si="3"/>
        <v>0</v>
      </c>
      <c r="M52" s="411">
        <f t="shared" si="4"/>
        <v>0</v>
      </c>
      <c r="N52" s="411">
        <f t="shared" si="5"/>
        <v>0</v>
      </c>
      <c r="O52" s="411">
        <f t="shared" si="6"/>
        <v>0</v>
      </c>
      <c r="P52" s="78">
        <f>IF(計分版!$T$38=0,0,IF(I52&gt;LARGE(Y52:AC52,1),0,1))</f>
        <v>0</v>
      </c>
      <c r="Q52" s="78">
        <f>IF(計分版!$T$36=0,0,IF(J52&gt;LARGE(Y52:AC52,2),0,1))</f>
        <v>0</v>
      </c>
      <c r="S52" s="122">
        <f t="shared" si="7"/>
        <v>0</v>
      </c>
      <c r="T52" s="2"/>
      <c r="U52" s="411">
        <f>計分版!E$13</f>
        <v>1E-10</v>
      </c>
      <c r="V52" s="411">
        <f>計分版!F$13</f>
        <v>2.0000000000000001E-10</v>
      </c>
      <c r="W52" s="411">
        <f>計分版!G$13</f>
        <v>3E-10</v>
      </c>
      <c r="X52" s="411">
        <f>計分版!H$13</f>
        <v>4.0000000000000001E-10</v>
      </c>
      <c r="Y52" s="411">
        <f>計分版!I$13</f>
        <v>5.0000000000000003E-10</v>
      </c>
      <c r="Z52" s="411">
        <f>計分版!J$13</f>
        <v>6E-10</v>
      </c>
      <c r="AA52" s="411">
        <f>計分版!K$13</f>
        <v>6.9999999999999996E-10</v>
      </c>
      <c r="AB52" s="411">
        <f>計分版!L$13</f>
        <v>8.0000000000000003E-10</v>
      </c>
      <c r="AC52" s="411">
        <f>計分版!M$13</f>
        <v>8.9999999999999999E-10</v>
      </c>
      <c r="AD52" s="411">
        <f>計分版!N$13</f>
        <v>9.5000000000000003E-10</v>
      </c>
      <c r="AF52" s="413" t="s">
        <v>2308</v>
      </c>
      <c r="AH52" s="413" t="s">
        <v>2308</v>
      </c>
      <c r="AJ52" s="2"/>
      <c r="AK52" s="2"/>
      <c r="AL52" s="2"/>
      <c r="AM52" s="2"/>
    </row>
    <row r="53" spans="1:39" s="174" customFormat="1">
      <c r="E53" s="419"/>
      <c r="F53" s="419"/>
      <c r="G53" s="419"/>
      <c r="H53" s="419"/>
      <c r="I53" s="419"/>
      <c r="J53" s="419"/>
      <c r="L53" s="258"/>
      <c r="M53" s="258"/>
      <c r="N53" s="258"/>
      <c r="O53" s="258"/>
      <c r="P53" s="258"/>
      <c r="Q53" s="258"/>
      <c r="S53" s="258"/>
      <c r="U53" s="411"/>
      <c r="V53" s="411"/>
      <c r="W53" s="411"/>
      <c r="X53" s="411"/>
      <c r="Y53" s="411"/>
      <c r="Z53" s="411"/>
      <c r="AA53" s="411"/>
      <c r="AB53" s="411"/>
      <c r="AC53" s="411"/>
      <c r="AD53" s="411"/>
      <c r="AE53" s="182"/>
      <c r="AF53" s="413"/>
      <c r="AG53" s="413"/>
      <c r="AH53" s="413"/>
      <c r="AI53" s="413"/>
    </row>
    <row r="54" spans="1:39">
      <c r="A54" s="261" t="s">
        <v>975</v>
      </c>
      <c r="E54" s="419"/>
      <c r="F54" s="419"/>
      <c r="G54" s="419"/>
      <c r="H54" s="419"/>
      <c r="I54" s="419"/>
      <c r="J54" s="419"/>
      <c r="T54" s="2"/>
    </row>
    <row r="55" spans="1:39">
      <c r="A55" s="15" t="s">
        <v>203</v>
      </c>
      <c r="B55" s="15" t="s">
        <v>367</v>
      </c>
      <c r="C55" s="15" t="s">
        <v>204</v>
      </c>
      <c r="D55" s="24" t="s">
        <v>361</v>
      </c>
      <c r="E55" s="422" t="s">
        <v>369</v>
      </c>
      <c r="F55" s="422" t="s">
        <v>370</v>
      </c>
      <c r="G55" s="422" t="s">
        <v>371</v>
      </c>
      <c r="H55" s="422" t="s">
        <v>372</v>
      </c>
      <c r="I55" s="422" t="s">
        <v>373</v>
      </c>
      <c r="J55" s="422" t="s">
        <v>374</v>
      </c>
      <c r="K55" s="15"/>
      <c r="L55" s="24" t="s">
        <v>369</v>
      </c>
      <c r="M55" s="24" t="s">
        <v>370</v>
      </c>
      <c r="N55" s="24" t="s">
        <v>371</v>
      </c>
      <c r="O55" s="24" t="s">
        <v>372</v>
      </c>
      <c r="P55" s="24" t="s">
        <v>373</v>
      </c>
      <c r="Q55" s="24" t="s">
        <v>374</v>
      </c>
      <c r="R55" s="109"/>
      <c r="S55" s="110"/>
      <c r="T55" s="2"/>
      <c r="U55" s="415" t="s">
        <v>2</v>
      </c>
      <c r="V55" s="415" t="s">
        <v>1</v>
      </c>
      <c r="W55" s="415" t="s">
        <v>3</v>
      </c>
      <c r="X55" s="415" t="s">
        <v>4</v>
      </c>
      <c r="Y55" s="415" t="s">
        <v>63</v>
      </c>
      <c r="Z55" s="415" t="str">
        <f>主頁!$B$15</f>
        <v>請選擇第一選修科</v>
      </c>
      <c r="AA55" s="415" t="str">
        <f>主頁!$B$16</f>
        <v>請選擇第二選修科</v>
      </c>
      <c r="AB55" s="415" t="str">
        <f>主頁!$B$17</f>
        <v>請選擇第三選修科</v>
      </c>
      <c r="AC55" s="415" t="str">
        <f>主頁!$B$18</f>
        <v>請選擇第四選修科</v>
      </c>
      <c r="AD55" s="416" t="str">
        <f>主頁!$B$19</f>
        <v>請選擇語言科目</v>
      </c>
      <c r="AE55" s="417" t="s">
        <v>360</v>
      </c>
      <c r="AF55" s="413" t="s">
        <v>2305</v>
      </c>
      <c r="AG55" s="413" t="s">
        <v>2306</v>
      </c>
      <c r="AH55" s="413" t="s">
        <v>2307</v>
      </c>
      <c r="AJ55" s="413" t="s">
        <v>2305</v>
      </c>
      <c r="AK55" s="413" t="s">
        <v>2306</v>
      </c>
      <c r="AL55" s="413" t="s">
        <v>2307</v>
      </c>
    </row>
    <row r="56" spans="1:39">
      <c r="A56" s="2" t="s">
        <v>893</v>
      </c>
      <c r="B56" s="2" t="s">
        <v>215</v>
      </c>
      <c r="C56" s="106" t="s">
        <v>190</v>
      </c>
      <c r="E56" s="419">
        <v>3</v>
      </c>
      <c r="F56" s="419">
        <v>3</v>
      </c>
      <c r="G56" s="419">
        <v>2</v>
      </c>
      <c r="H56" s="419">
        <v>2</v>
      </c>
      <c r="I56" s="419">
        <v>3</v>
      </c>
      <c r="J56" s="419">
        <v>3</v>
      </c>
      <c r="L56" s="411">
        <f t="shared" ref="L56" si="11">IF(E56&gt;U56,0,1)</f>
        <v>0</v>
      </c>
      <c r="M56" s="411">
        <f t="shared" ref="M56" si="12">IF(F56&gt;V56,0,1)</f>
        <v>0</v>
      </c>
      <c r="N56" s="411">
        <f t="shared" ref="N56" si="13">IF(G56&gt;W56,0,1)</f>
        <v>0</v>
      </c>
      <c r="O56" s="411">
        <f t="shared" ref="O56" si="14">IF(H56&gt;X56,0,1)</f>
        <v>0</v>
      </c>
      <c r="P56" s="78">
        <f t="shared" ref="P56:P66" si="15">IF(I56&gt;LARGE(Y56:AC56,1),0,1)</f>
        <v>0</v>
      </c>
      <c r="Q56" s="78">
        <f t="shared" ref="Q56:Q65" si="16">IF(J56&gt;LARGE(Y56:AD56,2),0,1)</f>
        <v>0</v>
      </c>
      <c r="S56" s="78">
        <f t="shared" ref="S56:S84" si="17">L56*M56*N56*O56*P56</f>
        <v>0</v>
      </c>
      <c r="T56" s="2"/>
      <c r="U56" s="411">
        <f>計分版!E$13</f>
        <v>1E-10</v>
      </c>
      <c r="V56" s="411">
        <f>計分版!F$13</f>
        <v>2.0000000000000001E-10</v>
      </c>
      <c r="W56" s="411">
        <f>計分版!G$13</f>
        <v>3E-10</v>
      </c>
      <c r="X56" s="411">
        <f>計分版!H$13</f>
        <v>4.0000000000000001E-10</v>
      </c>
      <c r="Y56" s="411">
        <f>計分版!I$13</f>
        <v>5.0000000000000003E-10</v>
      </c>
      <c r="Z56" s="411">
        <f>計分版!J$13</f>
        <v>6E-10</v>
      </c>
      <c r="AA56" s="411">
        <f>計分版!K$13</f>
        <v>6.9999999999999996E-10</v>
      </c>
      <c r="AB56" s="411">
        <f>計分版!L$13</f>
        <v>8.0000000000000003E-10</v>
      </c>
      <c r="AC56" s="411">
        <f>計分版!M$13</f>
        <v>8.9999999999999999E-10</v>
      </c>
      <c r="AD56" s="411">
        <f>計分版!N$13</f>
        <v>9.5000000000000003E-10</v>
      </c>
      <c r="AF56" s="413" t="s">
        <v>2308</v>
      </c>
      <c r="AJ56" s="413" t="s">
        <v>2308</v>
      </c>
      <c r="AK56" s="413" t="s">
        <v>2309</v>
      </c>
    </row>
    <row r="57" spans="1:39">
      <c r="A57" s="2" t="s">
        <v>894</v>
      </c>
      <c r="B57" s="2" t="s">
        <v>922</v>
      </c>
      <c r="C57" s="107" t="s">
        <v>195</v>
      </c>
      <c r="E57" s="419">
        <v>3</v>
      </c>
      <c r="F57" s="419">
        <v>3</v>
      </c>
      <c r="G57" s="419">
        <v>2</v>
      </c>
      <c r="H57" s="419">
        <v>2</v>
      </c>
      <c r="I57" s="419">
        <v>3</v>
      </c>
      <c r="J57" s="419">
        <v>3</v>
      </c>
      <c r="L57" s="411">
        <f t="shared" ref="L57:L84" si="18">IF(E57&gt;U57,0,1)</f>
        <v>0</v>
      </c>
      <c r="M57" s="411">
        <f t="shared" ref="M57:M84" si="19">IF(F57&gt;V57,0,1)</f>
        <v>0</v>
      </c>
      <c r="N57" s="411">
        <f t="shared" ref="N57:N84" si="20">IF(G57&gt;W57,0,1)</f>
        <v>0</v>
      </c>
      <c r="O57" s="411">
        <f t="shared" ref="O57:O84" si="21">IF(H57&gt;X57,0,1)</f>
        <v>0</v>
      </c>
      <c r="P57" s="411">
        <f t="shared" si="15"/>
        <v>0</v>
      </c>
      <c r="Q57" s="411">
        <f t="shared" si="16"/>
        <v>0</v>
      </c>
      <c r="S57" s="78">
        <f t="shared" si="17"/>
        <v>0</v>
      </c>
      <c r="T57" s="2"/>
      <c r="U57" s="411">
        <f>計分版!E$13</f>
        <v>1E-10</v>
      </c>
      <c r="V57" s="411">
        <f>計分版!F$13</f>
        <v>2.0000000000000001E-10</v>
      </c>
      <c r="W57" s="411">
        <f>計分版!G$13</f>
        <v>3E-10</v>
      </c>
      <c r="X57" s="411">
        <f>計分版!H$13</f>
        <v>4.0000000000000001E-10</v>
      </c>
      <c r="Y57" s="411">
        <f>計分版!I$13</f>
        <v>5.0000000000000003E-10</v>
      </c>
      <c r="Z57" s="411">
        <f>計分版!J$13</f>
        <v>6E-10</v>
      </c>
      <c r="AA57" s="411">
        <f>計分版!K$13</f>
        <v>6.9999999999999996E-10</v>
      </c>
      <c r="AB57" s="411">
        <f>計分版!L$13</f>
        <v>8.0000000000000003E-10</v>
      </c>
      <c r="AC57" s="411">
        <f>計分版!M$13</f>
        <v>8.9999999999999999E-10</v>
      </c>
      <c r="AD57" s="411">
        <f>計分版!N$13</f>
        <v>9.5000000000000003E-10</v>
      </c>
      <c r="AF57" s="413" t="s">
        <v>2308</v>
      </c>
      <c r="AJ57" s="413" t="s">
        <v>2308</v>
      </c>
      <c r="AK57" s="413" t="s">
        <v>2309</v>
      </c>
    </row>
    <row r="58" spans="1:39">
      <c r="A58" s="2" t="s">
        <v>895</v>
      </c>
      <c r="B58" s="2" t="s">
        <v>924</v>
      </c>
      <c r="C58" s="107" t="s">
        <v>195</v>
      </c>
      <c r="E58" s="419">
        <v>3</v>
      </c>
      <c r="F58" s="419">
        <v>3</v>
      </c>
      <c r="G58" s="419">
        <v>2</v>
      </c>
      <c r="H58" s="419">
        <v>2</v>
      </c>
      <c r="I58" s="419">
        <v>3</v>
      </c>
      <c r="J58" s="419">
        <v>3</v>
      </c>
      <c r="L58" s="411">
        <f t="shared" si="18"/>
        <v>0</v>
      </c>
      <c r="M58" s="411">
        <f t="shared" si="19"/>
        <v>0</v>
      </c>
      <c r="N58" s="411">
        <f t="shared" si="20"/>
        <v>0</v>
      </c>
      <c r="O58" s="411">
        <f t="shared" si="21"/>
        <v>0</v>
      </c>
      <c r="P58" s="411">
        <f t="shared" si="15"/>
        <v>0</v>
      </c>
      <c r="Q58" s="411">
        <f t="shared" si="16"/>
        <v>0</v>
      </c>
      <c r="S58" s="78">
        <f t="shared" si="17"/>
        <v>0</v>
      </c>
      <c r="T58" s="2"/>
      <c r="U58" s="411">
        <f>計分版!E$13</f>
        <v>1E-10</v>
      </c>
      <c r="V58" s="411">
        <f>計分版!F$13</f>
        <v>2.0000000000000001E-10</v>
      </c>
      <c r="W58" s="411">
        <f>計分版!G$13</f>
        <v>3E-10</v>
      </c>
      <c r="X58" s="411">
        <f>計分版!H$13</f>
        <v>4.0000000000000001E-10</v>
      </c>
      <c r="Y58" s="411">
        <f>計分版!I$13</f>
        <v>5.0000000000000003E-10</v>
      </c>
      <c r="Z58" s="411">
        <f>計分版!J$13</f>
        <v>6E-10</v>
      </c>
      <c r="AA58" s="411">
        <f>計分版!K$13</f>
        <v>6.9999999999999996E-10</v>
      </c>
      <c r="AB58" s="411">
        <f>計分版!L$13</f>
        <v>8.0000000000000003E-10</v>
      </c>
      <c r="AC58" s="411">
        <f>計分版!M$13</f>
        <v>8.9999999999999999E-10</v>
      </c>
      <c r="AD58" s="411">
        <f>計分版!N$13</f>
        <v>9.5000000000000003E-10</v>
      </c>
      <c r="AF58" s="413" t="s">
        <v>2308</v>
      </c>
      <c r="AJ58" s="413" t="s">
        <v>2308</v>
      </c>
      <c r="AK58" s="413" t="s">
        <v>2309</v>
      </c>
    </row>
    <row r="59" spans="1:39">
      <c r="A59" s="2" t="s">
        <v>896</v>
      </c>
      <c r="B59" s="2" t="s">
        <v>926</v>
      </c>
      <c r="C59" s="107" t="s">
        <v>195</v>
      </c>
      <c r="E59" s="419">
        <v>3</v>
      </c>
      <c r="F59" s="419">
        <v>3</v>
      </c>
      <c r="G59" s="419">
        <v>2</v>
      </c>
      <c r="H59" s="419">
        <v>2</v>
      </c>
      <c r="I59" s="419">
        <v>3</v>
      </c>
      <c r="J59" s="419">
        <v>3</v>
      </c>
      <c r="L59" s="411">
        <f t="shared" si="18"/>
        <v>0</v>
      </c>
      <c r="M59" s="411">
        <f t="shared" si="19"/>
        <v>0</v>
      </c>
      <c r="N59" s="411">
        <f t="shared" si="20"/>
        <v>0</v>
      </c>
      <c r="O59" s="411">
        <f t="shared" si="21"/>
        <v>0</v>
      </c>
      <c r="P59" s="411">
        <f t="shared" si="15"/>
        <v>0</v>
      </c>
      <c r="Q59" s="411">
        <f t="shared" si="16"/>
        <v>0</v>
      </c>
      <c r="S59" s="78">
        <f t="shared" si="17"/>
        <v>0</v>
      </c>
      <c r="T59" s="2"/>
      <c r="U59" s="411">
        <f>計分版!E$13</f>
        <v>1E-10</v>
      </c>
      <c r="V59" s="411">
        <f>計分版!F$13</f>
        <v>2.0000000000000001E-10</v>
      </c>
      <c r="W59" s="411">
        <f>計分版!G$13</f>
        <v>3E-10</v>
      </c>
      <c r="X59" s="411">
        <f>計分版!H$13</f>
        <v>4.0000000000000001E-10</v>
      </c>
      <c r="Y59" s="411">
        <f>計分版!I$13</f>
        <v>5.0000000000000003E-10</v>
      </c>
      <c r="Z59" s="411">
        <f>計分版!J$13</f>
        <v>6E-10</v>
      </c>
      <c r="AA59" s="411">
        <f>計分版!K$13</f>
        <v>6.9999999999999996E-10</v>
      </c>
      <c r="AB59" s="411">
        <f>計分版!L$13</f>
        <v>8.0000000000000003E-10</v>
      </c>
      <c r="AC59" s="411">
        <f>計分版!M$13</f>
        <v>8.9999999999999999E-10</v>
      </c>
      <c r="AD59" s="411">
        <f>計分版!N$13</f>
        <v>9.5000000000000003E-10</v>
      </c>
      <c r="AF59" s="413" t="s">
        <v>2308</v>
      </c>
      <c r="AJ59" s="413" t="s">
        <v>2308</v>
      </c>
      <c r="AK59" s="413" t="s">
        <v>2309</v>
      </c>
    </row>
    <row r="60" spans="1:39">
      <c r="A60" s="2" t="s">
        <v>897</v>
      </c>
      <c r="B60" s="2" t="s">
        <v>928</v>
      </c>
      <c r="C60" s="107" t="s">
        <v>195</v>
      </c>
      <c r="E60" s="419">
        <v>3</v>
      </c>
      <c r="F60" s="419">
        <v>3</v>
      </c>
      <c r="G60" s="419">
        <v>2</v>
      </c>
      <c r="H60" s="419">
        <v>2</v>
      </c>
      <c r="I60" s="419">
        <v>3</v>
      </c>
      <c r="J60" s="419">
        <v>3</v>
      </c>
      <c r="L60" s="411">
        <f t="shared" si="18"/>
        <v>0</v>
      </c>
      <c r="M60" s="411">
        <f t="shared" si="19"/>
        <v>0</v>
      </c>
      <c r="N60" s="411">
        <f t="shared" si="20"/>
        <v>0</v>
      </c>
      <c r="O60" s="411">
        <f t="shared" si="21"/>
        <v>0</v>
      </c>
      <c r="P60" s="411">
        <f t="shared" si="15"/>
        <v>0</v>
      </c>
      <c r="Q60" s="411">
        <f t="shared" si="16"/>
        <v>0</v>
      </c>
      <c r="S60" s="78">
        <f t="shared" si="17"/>
        <v>0</v>
      </c>
      <c r="T60" s="2"/>
      <c r="U60" s="411">
        <f>計分版!E$13</f>
        <v>1E-10</v>
      </c>
      <c r="V60" s="411">
        <f>計分版!F$13</f>
        <v>2.0000000000000001E-10</v>
      </c>
      <c r="W60" s="411">
        <f>計分版!G$13</f>
        <v>3E-10</v>
      </c>
      <c r="X60" s="411">
        <f>計分版!H$13</f>
        <v>4.0000000000000001E-10</v>
      </c>
      <c r="Y60" s="411">
        <f>計分版!I$13</f>
        <v>5.0000000000000003E-10</v>
      </c>
      <c r="Z60" s="411">
        <f>計分版!J$13</f>
        <v>6E-10</v>
      </c>
      <c r="AA60" s="411">
        <f>計分版!K$13</f>
        <v>6.9999999999999996E-10</v>
      </c>
      <c r="AB60" s="411">
        <f>計分版!L$13</f>
        <v>8.0000000000000003E-10</v>
      </c>
      <c r="AC60" s="411">
        <f>計分版!M$13</f>
        <v>8.9999999999999999E-10</v>
      </c>
      <c r="AD60" s="411">
        <f>計分版!N$13</f>
        <v>9.5000000000000003E-10</v>
      </c>
      <c r="AF60" s="413" t="s">
        <v>2308</v>
      </c>
      <c r="AJ60" s="413" t="s">
        <v>2308</v>
      </c>
      <c r="AK60" s="413" t="s">
        <v>2309</v>
      </c>
    </row>
    <row r="61" spans="1:39">
      <c r="A61" s="2" t="s">
        <v>898</v>
      </c>
      <c r="B61" s="2" t="s">
        <v>930</v>
      </c>
      <c r="C61" s="107" t="s">
        <v>195</v>
      </c>
      <c r="E61" s="419">
        <v>3</v>
      </c>
      <c r="F61" s="419">
        <v>3</v>
      </c>
      <c r="G61" s="419">
        <v>2</v>
      </c>
      <c r="H61" s="419">
        <v>2</v>
      </c>
      <c r="I61" s="419">
        <v>3</v>
      </c>
      <c r="J61" s="419">
        <v>3</v>
      </c>
      <c r="L61" s="411">
        <f t="shared" si="18"/>
        <v>0</v>
      </c>
      <c r="M61" s="411">
        <f t="shared" si="19"/>
        <v>0</v>
      </c>
      <c r="N61" s="411">
        <f t="shared" si="20"/>
        <v>0</v>
      </c>
      <c r="O61" s="411">
        <f t="shared" si="21"/>
        <v>0</v>
      </c>
      <c r="P61" s="411">
        <f t="shared" si="15"/>
        <v>0</v>
      </c>
      <c r="Q61" s="411">
        <f t="shared" si="16"/>
        <v>0</v>
      </c>
      <c r="S61" s="78">
        <f t="shared" si="17"/>
        <v>0</v>
      </c>
      <c r="T61" s="2"/>
      <c r="U61" s="411">
        <f>計分版!E$13</f>
        <v>1E-10</v>
      </c>
      <c r="V61" s="411">
        <f>計分版!F$13</f>
        <v>2.0000000000000001E-10</v>
      </c>
      <c r="W61" s="411">
        <f>計分版!G$13</f>
        <v>3E-10</v>
      </c>
      <c r="X61" s="411">
        <f>計分版!H$13</f>
        <v>4.0000000000000001E-10</v>
      </c>
      <c r="Y61" s="411">
        <f>計分版!I$13</f>
        <v>5.0000000000000003E-10</v>
      </c>
      <c r="Z61" s="411">
        <f>計分版!J$13</f>
        <v>6E-10</v>
      </c>
      <c r="AA61" s="411">
        <f>計分版!K$13</f>
        <v>6.9999999999999996E-10</v>
      </c>
      <c r="AB61" s="411">
        <f>計分版!L$13</f>
        <v>8.0000000000000003E-10</v>
      </c>
      <c r="AC61" s="411">
        <f>計分版!M$13</f>
        <v>8.9999999999999999E-10</v>
      </c>
      <c r="AD61" s="411">
        <f>計分版!N$13</f>
        <v>9.5000000000000003E-10</v>
      </c>
      <c r="AF61" s="413" t="s">
        <v>2308</v>
      </c>
      <c r="AJ61" s="413" t="s">
        <v>2308</v>
      </c>
      <c r="AK61" s="413" t="s">
        <v>2309</v>
      </c>
    </row>
    <row r="62" spans="1:39">
      <c r="A62" s="2" t="s">
        <v>899</v>
      </c>
      <c r="B62" s="2" t="s">
        <v>932</v>
      </c>
      <c r="C62" s="107" t="s">
        <v>195</v>
      </c>
      <c r="E62" s="419">
        <v>3</v>
      </c>
      <c r="F62" s="419">
        <v>3</v>
      </c>
      <c r="G62" s="419">
        <v>2</v>
      </c>
      <c r="H62" s="419">
        <v>2</v>
      </c>
      <c r="I62" s="419">
        <v>3</v>
      </c>
      <c r="J62" s="419">
        <v>3</v>
      </c>
      <c r="L62" s="411">
        <f t="shared" si="18"/>
        <v>0</v>
      </c>
      <c r="M62" s="411">
        <f t="shared" si="19"/>
        <v>0</v>
      </c>
      <c r="N62" s="411">
        <f t="shared" si="20"/>
        <v>0</v>
      </c>
      <c r="O62" s="411">
        <f t="shared" si="21"/>
        <v>0</v>
      </c>
      <c r="P62" s="411">
        <f t="shared" si="15"/>
        <v>0</v>
      </c>
      <c r="Q62" s="411">
        <f t="shared" si="16"/>
        <v>0</v>
      </c>
      <c r="S62" s="78">
        <f t="shared" si="17"/>
        <v>0</v>
      </c>
      <c r="T62" s="2"/>
      <c r="U62" s="411">
        <f>計分版!E$13</f>
        <v>1E-10</v>
      </c>
      <c r="V62" s="411">
        <f>計分版!F$13</f>
        <v>2.0000000000000001E-10</v>
      </c>
      <c r="W62" s="411">
        <f>計分版!G$13</f>
        <v>3E-10</v>
      </c>
      <c r="X62" s="411">
        <f>計分版!H$13</f>
        <v>4.0000000000000001E-10</v>
      </c>
      <c r="Y62" s="411">
        <f>計分版!I$13</f>
        <v>5.0000000000000003E-10</v>
      </c>
      <c r="Z62" s="411">
        <f>計分版!J$13</f>
        <v>6E-10</v>
      </c>
      <c r="AA62" s="411">
        <f>計分版!K$13</f>
        <v>6.9999999999999996E-10</v>
      </c>
      <c r="AB62" s="411">
        <f>計分版!L$13</f>
        <v>8.0000000000000003E-10</v>
      </c>
      <c r="AC62" s="411">
        <f>計分版!M$13</f>
        <v>8.9999999999999999E-10</v>
      </c>
      <c r="AD62" s="411">
        <f>計分版!N$13</f>
        <v>9.5000000000000003E-10</v>
      </c>
      <c r="AF62" s="413" t="s">
        <v>2308</v>
      </c>
      <c r="AJ62" s="413" t="s">
        <v>2308</v>
      </c>
      <c r="AK62" s="413" t="s">
        <v>2309</v>
      </c>
    </row>
    <row r="63" spans="1:39">
      <c r="A63" s="2" t="s">
        <v>900</v>
      </c>
      <c r="B63" s="2" t="s">
        <v>934</v>
      </c>
      <c r="C63" s="106" t="s">
        <v>190</v>
      </c>
      <c r="E63" s="419">
        <v>3</v>
      </c>
      <c r="F63" s="419">
        <v>3</v>
      </c>
      <c r="G63" s="419">
        <v>2</v>
      </c>
      <c r="H63" s="419">
        <v>2</v>
      </c>
      <c r="I63" s="419">
        <v>3</v>
      </c>
      <c r="J63" s="419">
        <v>3</v>
      </c>
      <c r="L63" s="411">
        <f t="shared" si="18"/>
        <v>0</v>
      </c>
      <c r="M63" s="411">
        <f t="shared" si="19"/>
        <v>0</v>
      </c>
      <c r="N63" s="411">
        <f t="shared" si="20"/>
        <v>0</v>
      </c>
      <c r="O63" s="411">
        <f t="shared" si="21"/>
        <v>0</v>
      </c>
      <c r="P63" s="411">
        <f t="shared" si="15"/>
        <v>0</v>
      </c>
      <c r="Q63" s="411">
        <f t="shared" si="16"/>
        <v>0</v>
      </c>
      <c r="S63" s="78">
        <f>IF(L63*M63*N63*O63*P63*Q63=0,0,2)</f>
        <v>0</v>
      </c>
      <c r="T63" s="2"/>
      <c r="U63" s="411">
        <f>計分版!E$13</f>
        <v>1E-10</v>
      </c>
      <c r="V63" s="411">
        <f>計分版!F$13</f>
        <v>2.0000000000000001E-10</v>
      </c>
      <c r="W63" s="411">
        <f>計分版!G$13</f>
        <v>3E-10</v>
      </c>
      <c r="X63" s="411">
        <f>計分版!H$13</f>
        <v>4.0000000000000001E-10</v>
      </c>
      <c r="Y63" s="411">
        <f>計分版!I$13</f>
        <v>5.0000000000000003E-10</v>
      </c>
      <c r="Z63" s="411">
        <f>計分版!J$13</f>
        <v>6E-10</v>
      </c>
      <c r="AA63" s="411">
        <f>計分版!K$13</f>
        <v>6.9999999999999996E-10</v>
      </c>
      <c r="AB63" s="411">
        <f>計分版!L$13</f>
        <v>8.0000000000000003E-10</v>
      </c>
      <c r="AC63" s="411">
        <f>計分版!M$13</f>
        <v>8.9999999999999999E-10</v>
      </c>
      <c r="AD63" s="411">
        <f>計分版!N$13</f>
        <v>9.5000000000000003E-10</v>
      </c>
      <c r="AF63" s="413" t="s">
        <v>2308</v>
      </c>
      <c r="AJ63" s="413" t="s">
        <v>2308</v>
      </c>
      <c r="AK63" s="413" t="s">
        <v>2309</v>
      </c>
    </row>
    <row r="64" spans="1:39">
      <c r="A64" s="2" t="s">
        <v>901</v>
      </c>
      <c r="B64" s="2" t="s">
        <v>935</v>
      </c>
      <c r="C64" s="106" t="s">
        <v>190</v>
      </c>
      <c r="E64" s="419">
        <v>3</v>
      </c>
      <c r="F64" s="419">
        <v>3</v>
      </c>
      <c r="G64" s="419">
        <v>2</v>
      </c>
      <c r="H64" s="419">
        <v>2</v>
      </c>
      <c r="I64" s="419">
        <v>3</v>
      </c>
      <c r="J64" s="419">
        <v>3</v>
      </c>
      <c r="L64" s="411">
        <f t="shared" si="18"/>
        <v>0</v>
      </c>
      <c r="M64" s="411">
        <f t="shared" si="19"/>
        <v>0</v>
      </c>
      <c r="N64" s="411">
        <f t="shared" si="20"/>
        <v>0</v>
      </c>
      <c r="O64" s="411">
        <f t="shared" si="21"/>
        <v>0</v>
      </c>
      <c r="P64" s="411">
        <f t="shared" si="15"/>
        <v>0</v>
      </c>
      <c r="Q64" s="411">
        <f t="shared" si="16"/>
        <v>0</v>
      </c>
      <c r="S64" s="78">
        <f t="shared" si="17"/>
        <v>0</v>
      </c>
      <c r="T64" s="2"/>
      <c r="U64" s="411">
        <f>計分版!E$13</f>
        <v>1E-10</v>
      </c>
      <c r="V64" s="411">
        <f>計分版!F$13</f>
        <v>2.0000000000000001E-10</v>
      </c>
      <c r="W64" s="411">
        <f>計分版!G$13</f>
        <v>3E-10</v>
      </c>
      <c r="X64" s="411">
        <f>計分版!H$13</f>
        <v>4.0000000000000001E-10</v>
      </c>
      <c r="Y64" s="411">
        <f>計分版!I$13</f>
        <v>5.0000000000000003E-10</v>
      </c>
      <c r="Z64" s="411">
        <f>計分版!J$13</f>
        <v>6E-10</v>
      </c>
      <c r="AA64" s="411">
        <f>計分版!K$13</f>
        <v>6.9999999999999996E-10</v>
      </c>
      <c r="AB64" s="411">
        <f>計分版!L$13</f>
        <v>8.0000000000000003E-10</v>
      </c>
      <c r="AC64" s="411">
        <f>計分版!M$13</f>
        <v>8.9999999999999999E-10</v>
      </c>
      <c r="AD64" s="411">
        <f>計分版!N$13</f>
        <v>9.5000000000000003E-10</v>
      </c>
      <c r="AF64" s="413" t="s">
        <v>2308</v>
      </c>
      <c r="AJ64" s="413" t="s">
        <v>2308</v>
      </c>
      <c r="AK64" s="413" t="s">
        <v>2309</v>
      </c>
    </row>
    <row r="65" spans="1:38">
      <c r="A65" s="2" t="s">
        <v>902</v>
      </c>
      <c r="B65" s="2" t="s">
        <v>937</v>
      </c>
      <c r="C65" s="106" t="s">
        <v>190</v>
      </c>
      <c r="E65" s="419">
        <v>3</v>
      </c>
      <c r="F65" s="419">
        <v>3</v>
      </c>
      <c r="G65" s="419">
        <v>2</v>
      </c>
      <c r="H65" s="419">
        <v>2</v>
      </c>
      <c r="I65" s="419">
        <v>3</v>
      </c>
      <c r="J65" s="419">
        <v>3</v>
      </c>
      <c r="L65" s="411">
        <f t="shared" si="18"/>
        <v>0</v>
      </c>
      <c r="M65" s="411">
        <f t="shared" si="19"/>
        <v>0</v>
      </c>
      <c r="N65" s="411">
        <f t="shared" si="20"/>
        <v>0</v>
      </c>
      <c r="O65" s="411">
        <f t="shared" si="21"/>
        <v>0</v>
      </c>
      <c r="P65" s="411">
        <f t="shared" si="15"/>
        <v>0</v>
      </c>
      <c r="Q65" s="411">
        <f t="shared" si="16"/>
        <v>0</v>
      </c>
      <c r="S65" s="401">
        <f>IF(L65*M65*N65*O65*P65*Q65=0,0,2)</f>
        <v>0</v>
      </c>
      <c r="U65" s="411">
        <f>計分版!E$13</f>
        <v>1E-10</v>
      </c>
      <c r="V65" s="411">
        <f>計分版!F$13</f>
        <v>2.0000000000000001E-10</v>
      </c>
      <c r="W65" s="411">
        <f>計分版!G$13</f>
        <v>3E-10</v>
      </c>
      <c r="X65" s="411">
        <f>計分版!H$13</f>
        <v>4.0000000000000001E-10</v>
      </c>
      <c r="Y65" s="411">
        <f>計分版!I$13</f>
        <v>5.0000000000000003E-10</v>
      </c>
      <c r="Z65" s="411">
        <f>計分版!J$13</f>
        <v>6E-10</v>
      </c>
      <c r="AA65" s="411">
        <f>計分版!K$13</f>
        <v>6.9999999999999996E-10</v>
      </c>
      <c r="AB65" s="411">
        <f>計分版!L$13</f>
        <v>8.0000000000000003E-10</v>
      </c>
      <c r="AC65" s="411">
        <f>計分版!M$13</f>
        <v>8.9999999999999999E-10</v>
      </c>
      <c r="AD65" s="411">
        <f>計分版!N$13</f>
        <v>9.5000000000000003E-10</v>
      </c>
      <c r="AF65" s="413" t="s">
        <v>2308</v>
      </c>
      <c r="AJ65" s="413" t="s">
        <v>2308</v>
      </c>
      <c r="AK65" s="413" t="s">
        <v>2309</v>
      </c>
    </row>
    <row r="66" spans="1:38">
      <c r="A66" s="2" t="s">
        <v>903</v>
      </c>
      <c r="B66" s="2" t="s">
        <v>939</v>
      </c>
      <c r="C66" s="106" t="s">
        <v>548</v>
      </c>
      <c r="E66" s="419">
        <v>3</v>
      </c>
      <c r="F66" s="419">
        <v>3</v>
      </c>
      <c r="G66" s="419">
        <v>2</v>
      </c>
      <c r="H66" s="419">
        <v>2</v>
      </c>
      <c r="I66" s="419">
        <v>3</v>
      </c>
      <c r="J66" s="419">
        <v>3</v>
      </c>
      <c r="L66" s="411">
        <f t="shared" si="18"/>
        <v>0</v>
      </c>
      <c r="M66" s="411">
        <f t="shared" si="19"/>
        <v>0</v>
      </c>
      <c r="N66" s="411">
        <f t="shared" si="20"/>
        <v>0</v>
      </c>
      <c r="O66" s="411">
        <f t="shared" si="21"/>
        <v>0</v>
      </c>
      <c r="P66" s="411">
        <f t="shared" si="15"/>
        <v>0</v>
      </c>
      <c r="Q66" s="411">
        <f>IF(J66&gt;LARGE(Y66:AC66,2),0,1)</f>
        <v>0</v>
      </c>
      <c r="S66" s="78">
        <f t="shared" si="17"/>
        <v>0</v>
      </c>
      <c r="U66" s="411">
        <f>計分版!E$13</f>
        <v>1E-10</v>
      </c>
      <c r="V66" s="411">
        <f>計分版!F$13</f>
        <v>2.0000000000000001E-10</v>
      </c>
      <c r="W66" s="411">
        <f>計分版!G$13</f>
        <v>3E-10</v>
      </c>
      <c r="X66" s="411">
        <f>計分版!H$13</f>
        <v>4.0000000000000001E-10</v>
      </c>
      <c r="Y66" s="411">
        <f>計分版!I$13</f>
        <v>5.0000000000000003E-10</v>
      </c>
      <c r="Z66" s="411">
        <f>計分版!J$13</f>
        <v>6E-10</v>
      </c>
      <c r="AA66" s="411">
        <f>計分版!K$13</f>
        <v>6.9999999999999996E-10</v>
      </c>
      <c r="AB66" s="411">
        <f>計分版!L$13</f>
        <v>8.0000000000000003E-10</v>
      </c>
      <c r="AC66" s="411">
        <f>計分版!M$13</f>
        <v>8.9999999999999999E-10</v>
      </c>
      <c r="AD66" s="411">
        <f>計分版!N$13</f>
        <v>9.5000000000000003E-10</v>
      </c>
      <c r="AF66" s="413" t="s">
        <v>2308</v>
      </c>
      <c r="AJ66" s="413" t="s">
        <v>2308</v>
      </c>
    </row>
    <row r="67" spans="1:38">
      <c r="A67" s="2" t="s">
        <v>904</v>
      </c>
      <c r="B67" s="2" t="s">
        <v>941</v>
      </c>
      <c r="C67" s="106" t="s">
        <v>548</v>
      </c>
      <c r="E67" s="419">
        <v>3</v>
      </c>
      <c r="F67" s="419">
        <v>3</v>
      </c>
      <c r="G67" s="419">
        <v>2</v>
      </c>
      <c r="H67" s="419">
        <v>2</v>
      </c>
      <c r="I67" s="419">
        <v>3</v>
      </c>
      <c r="J67" s="419">
        <v>3</v>
      </c>
      <c r="L67" s="411">
        <f t="shared" si="18"/>
        <v>0</v>
      </c>
      <c r="M67" s="411">
        <f t="shared" si="19"/>
        <v>0</v>
      </c>
      <c r="N67" s="411">
        <f t="shared" si="20"/>
        <v>0</v>
      </c>
      <c r="O67" s="411">
        <f t="shared" si="21"/>
        <v>0</v>
      </c>
      <c r="P67" s="411">
        <f>IF(I67&gt;LARGE(Y67:AC67,1),0,1)</f>
        <v>0</v>
      </c>
      <c r="Q67" s="411">
        <f>IF(J67&gt;LARGE(Y67:AC67,2),0,1)</f>
        <v>0</v>
      </c>
      <c r="S67" s="78">
        <f t="shared" si="17"/>
        <v>0</v>
      </c>
      <c r="U67" s="411">
        <f>計分版!E$13</f>
        <v>1E-10</v>
      </c>
      <c r="V67" s="411">
        <f>計分版!F$13</f>
        <v>2.0000000000000001E-10</v>
      </c>
      <c r="W67" s="411">
        <f>計分版!G$13</f>
        <v>3E-10</v>
      </c>
      <c r="X67" s="411">
        <f>計分版!H$13</f>
        <v>4.0000000000000001E-10</v>
      </c>
      <c r="Y67" s="411">
        <f>計分版!I$13</f>
        <v>5.0000000000000003E-10</v>
      </c>
      <c r="Z67" s="411">
        <f>計分版!J$13</f>
        <v>6E-10</v>
      </c>
      <c r="AA67" s="411">
        <f>計分版!K$13</f>
        <v>6.9999999999999996E-10</v>
      </c>
      <c r="AB67" s="411">
        <f>計分版!L$13</f>
        <v>8.0000000000000003E-10</v>
      </c>
      <c r="AC67" s="411">
        <f>計分版!M$13</f>
        <v>8.9999999999999999E-10</v>
      </c>
      <c r="AD67" s="411">
        <f>計分版!N$13</f>
        <v>9.5000000000000003E-10</v>
      </c>
      <c r="AF67" s="413" t="s">
        <v>2308</v>
      </c>
      <c r="AJ67" s="413" t="s">
        <v>2308</v>
      </c>
    </row>
    <row r="68" spans="1:38">
      <c r="A68" s="2" t="s">
        <v>905</v>
      </c>
      <c r="B68" s="2" t="s">
        <v>943</v>
      </c>
      <c r="C68" s="106" t="s">
        <v>189</v>
      </c>
      <c r="E68" s="419">
        <v>3</v>
      </c>
      <c r="F68" s="419">
        <v>3</v>
      </c>
      <c r="G68" s="419">
        <v>2</v>
      </c>
      <c r="H68" s="419">
        <v>2</v>
      </c>
      <c r="I68" s="419">
        <v>3</v>
      </c>
      <c r="J68" s="419">
        <v>3</v>
      </c>
      <c r="L68" s="411">
        <f t="shared" si="18"/>
        <v>0</v>
      </c>
      <c r="M68" s="411">
        <f t="shared" si="19"/>
        <v>0</v>
      </c>
      <c r="N68" s="411">
        <f t="shared" si="20"/>
        <v>0</v>
      </c>
      <c r="O68" s="411">
        <f t="shared" si="21"/>
        <v>0</v>
      </c>
      <c r="P68" s="411">
        <f>IF(I68&gt;LARGE(Z68:AC68,1),0,1)</f>
        <v>0</v>
      </c>
      <c r="Q68" s="411">
        <f>IF(J68&gt;LARGE(Y68:AD68,2),0,1)</f>
        <v>0</v>
      </c>
      <c r="S68" s="78">
        <f t="shared" si="17"/>
        <v>0</v>
      </c>
      <c r="U68" s="411">
        <f>計分版!E$13</f>
        <v>1E-10</v>
      </c>
      <c r="V68" s="411">
        <f>計分版!F$13</f>
        <v>2.0000000000000001E-10</v>
      </c>
      <c r="W68" s="411">
        <f>計分版!G$13</f>
        <v>3E-10</v>
      </c>
      <c r="X68" s="411">
        <f>計分版!H$13</f>
        <v>4.0000000000000001E-10</v>
      </c>
      <c r="Y68" s="411">
        <f>計分版!I$13</f>
        <v>5.0000000000000003E-10</v>
      </c>
      <c r="Z68" s="411">
        <f>計分版!J$13</f>
        <v>6E-10</v>
      </c>
      <c r="AA68" s="411">
        <f>計分版!K$13</f>
        <v>6.9999999999999996E-10</v>
      </c>
      <c r="AB68" s="411">
        <f>計分版!L$13</f>
        <v>8.0000000000000003E-10</v>
      </c>
      <c r="AC68" s="411">
        <f>計分版!M$13</f>
        <v>8.9999999999999999E-10</v>
      </c>
      <c r="AD68" s="411">
        <f>計分版!N$13</f>
        <v>9.5000000000000003E-10</v>
      </c>
      <c r="AJ68" s="413" t="s">
        <v>2308</v>
      </c>
      <c r="AK68" s="413" t="s">
        <v>2309</v>
      </c>
      <c r="AL68" s="413" t="s">
        <v>2308</v>
      </c>
    </row>
    <row r="69" spans="1:38">
      <c r="A69" s="2" t="s">
        <v>906</v>
      </c>
      <c r="B69" s="2" t="s">
        <v>944</v>
      </c>
      <c r="C69" s="106" t="s">
        <v>189</v>
      </c>
      <c r="E69" s="419">
        <v>3</v>
      </c>
      <c r="F69" s="419">
        <v>3</v>
      </c>
      <c r="G69" s="419">
        <v>2</v>
      </c>
      <c r="H69" s="419">
        <v>2</v>
      </c>
      <c r="I69" s="419">
        <v>3</v>
      </c>
      <c r="J69" s="419">
        <v>3</v>
      </c>
      <c r="L69" s="411">
        <f t="shared" si="18"/>
        <v>0</v>
      </c>
      <c r="M69" s="411">
        <f t="shared" si="19"/>
        <v>0</v>
      </c>
      <c r="N69" s="411">
        <f t="shared" si="20"/>
        <v>0</v>
      </c>
      <c r="O69" s="411">
        <f t="shared" si="21"/>
        <v>0</v>
      </c>
      <c r="P69" s="411">
        <f t="shared" ref="P69" si="22">IF(I69&gt;LARGE(Z69:AC69,1),0,1)</f>
        <v>0</v>
      </c>
      <c r="Q69" s="411">
        <f t="shared" ref="Q69:Q84" si="23">IF(J69&gt;LARGE(Z69:AC69,2),0,1)</f>
        <v>0</v>
      </c>
      <c r="S69" s="78">
        <f t="shared" si="17"/>
        <v>0</v>
      </c>
      <c r="U69" s="411">
        <f>計分版!E$13</f>
        <v>1E-10</v>
      </c>
      <c r="V69" s="411">
        <f>計分版!F$13</f>
        <v>2.0000000000000001E-10</v>
      </c>
      <c r="W69" s="411">
        <f>計分版!G$13</f>
        <v>3E-10</v>
      </c>
      <c r="X69" s="411">
        <f>計分版!H$13</f>
        <v>4.0000000000000001E-10</v>
      </c>
      <c r="Y69" s="411">
        <f>計分版!I$13</f>
        <v>5.0000000000000003E-10</v>
      </c>
      <c r="Z69" s="411">
        <f>計分版!J$13</f>
        <v>6E-10</v>
      </c>
      <c r="AA69" s="411">
        <f>計分版!K$13</f>
        <v>6.9999999999999996E-10</v>
      </c>
      <c r="AB69" s="411">
        <f>計分版!L$13</f>
        <v>8.0000000000000003E-10</v>
      </c>
      <c r="AC69" s="411">
        <f>計分版!M$13</f>
        <v>8.9999999999999999E-10</v>
      </c>
      <c r="AD69" s="411">
        <f>計分版!N$13</f>
        <v>9.5000000000000003E-10</v>
      </c>
      <c r="AJ69" s="413" t="s">
        <v>2308</v>
      </c>
      <c r="AK69" s="413" t="s">
        <v>2309</v>
      </c>
      <c r="AL69" s="413" t="s">
        <v>2308</v>
      </c>
    </row>
    <row r="70" spans="1:38">
      <c r="A70" s="2" t="s">
        <v>907</v>
      </c>
      <c r="B70" s="2" t="s">
        <v>945</v>
      </c>
      <c r="C70" s="106" t="s">
        <v>59</v>
      </c>
      <c r="E70" s="419">
        <v>3</v>
      </c>
      <c r="F70" s="419">
        <v>3</v>
      </c>
      <c r="G70" s="419">
        <v>2</v>
      </c>
      <c r="H70" s="419">
        <v>2</v>
      </c>
      <c r="I70" s="419">
        <v>3</v>
      </c>
      <c r="J70" s="419">
        <v>3</v>
      </c>
      <c r="L70" s="411">
        <f t="shared" si="18"/>
        <v>0</v>
      </c>
      <c r="M70" s="411">
        <f t="shared" si="19"/>
        <v>0</v>
      </c>
      <c r="N70" s="411">
        <f t="shared" si="20"/>
        <v>0</v>
      </c>
      <c r="O70" s="411">
        <f t="shared" si="21"/>
        <v>0</v>
      </c>
      <c r="P70" s="411">
        <f>IF(I70&gt;LARGE(Y70:AD70,1),0,1)</f>
        <v>0</v>
      </c>
      <c r="Q70" s="411">
        <f>IF(J70&gt;LARGE(Y70:AD70,2),0,1)</f>
        <v>0</v>
      </c>
      <c r="S70" s="401">
        <f>IF(L70*M70*N70*O70*P70*Q70=0,0,2)</f>
        <v>0</v>
      </c>
      <c r="U70" s="411">
        <f>計分版!E$13</f>
        <v>1E-10</v>
      </c>
      <c r="V70" s="411">
        <f>計分版!F$13</f>
        <v>2.0000000000000001E-10</v>
      </c>
      <c r="W70" s="411">
        <f>計分版!G$13</f>
        <v>3E-10</v>
      </c>
      <c r="X70" s="411">
        <f>計分版!H$13</f>
        <v>4.0000000000000001E-10</v>
      </c>
      <c r="Y70" s="411">
        <f>計分版!I$13</f>
        <v>5.0000000000000003E-10</v>
      </c>
      <c r="Z70" s="411">
        <f>計分版!J$13</f>
        <v>6E-10</v>
      </c>
      <c r="AA70" s="411">
        <f>計分版!K$13</f>
        <v>6.9999999999999996E-10</v>
      </c>
      <c r="AB70" s="411">
        <f>計分版!L$13</f>
        <v>8.0000000000000003E-10</v>
      </c>
      <c r="AC70" s="411">
        <f>計分版!M$13</f>
        <v>8.9999999999999999E-10</v>
      </c>
      <c r="AD70" s="411">
        <f>計分版!N$13</f>
        <v>9.5000000000000003E-10</v>
      </c>
      <c r="AF70" s="413" t="s">
        <v>2308</v>
      </c>
      <c r="AG70" s="413" t="s">
        <v>2309</v>
      </c>
      <c r="AH70" s="413" t="s">
        <v>2308</v>
      </c>
      <c r="AJ70" s="413" t="s">
        <v>2308</v>
      </c>
      <c r="AK70" s="413" t="s">
        <v>2309</v>
      </c>
      <c r="AL70" s="413" t="s">
        <v>2308</v>
      </c>
    </row>
    <row r="71" spans="1:38">
      <c r="A71" s="2" t="s">
        <v>1261</v>
      </c>
      <c r="B71" s="2" t="s">
        <v>1259</v>
      </c>
      <c r="C71" s="106" t="s">
        <v>189</v>
      </c>
      <c r="E71" s="419">
        <v>3</v>
      </c>
      <c r="F71" s="419">
        <v>3</v>
      </c>
      <c r="G71" s="419">
        <v>2</v>
      </c>
      <c r="H71" s="419">
        <v>2</v>
      </c>
      <c r="I71" s="419">
        <v>3</v>
      </c>
      <c r="J71" s="419">
        <v>3</v>
      </c>
      <c r="L71" s="411">
        <f t="shared" si="18"/>
        <v>0</v>
      </c>
      <c r="M71" s="411">
        <f t="shared" si="19"/>
        <v>0</v>
      </c>
      <c r="N71" s="411">
        <f t="shared" si="20"/>
        <v>0</v>
      </c>
      <c r="O71" s="411">
        <f t="shared" si="21"/>
        <v>0</v>
      </c>
      <c r="P71" s="411">
        <f>IF(I71&gt;LARGE(Z71:AC71,1),0,1)</f>
        <v>0</v>
      </c>
      <c r="Q71" s="411">
        <f>IF(J71&gt;LARGE(Y71:AD71,2),0,1)</f>
        <v>0</v>
      </c>
      <c r="S71" s="102">
        <f t="shared" ref="S71:S72" si="24">L71*M71*N71*O71*P71</f>
        <v>0</v>
      </c>
      <c r="U71" s="411">
        <f>計分版!E$13</f>
        <v>1E-10</v>
      </c>
      <c r="V71" s="411">
        <f>計分版!F$13</f>
        <v>2.0000000000000001E-10</v>
      </c>
      <c r="W71" s="411">
        <f>計分版!G$13</f>
        <v>3E-10</v>
      </c>
      <c r="X71" s="411">
        <f>計分版!H$13</f>
        <v>4.0000000000000001E-10</v>
      </c>
      <c r="Y71" s="411">
        <f>計分版!I$13</f>
        <v>5.0000000000000003E-10</v>
      </c>
      <c r="Z71" s="411">
        <f>計分版!J$13</f>
        <v>6E-10</v>
      </c>
      <c r="AA71" s="411">
        <f>計分版!K$13</f>
        <v>6.9999999999999996E-10</v>
      </c>
      <c r="AB71" s="411">
        <f>計分版!L$13</f>
        <v>8.0000000000000003E-10</v>
      </c>
      <c r="AC71" s="411">
        <f>計分版!M$13</f>
        <v>8.9999999999999999E-10</v>
      </c>
      <c r="AD71" s="411">
        <f>計分版!N$13</f>
        <v>9.5000000000000003E-10</v>
      </c>
      <c r="AJ71" s="413" t="s">
        <v>2308</v>
      </c>
      <c r="AK71" s="413" t="s">
        <v>2309</v>
      </c>
      <c r="AL71" s="413" t="s">
        <v>2308</v>
      </c>
    </row>
    <row r="72" spans="1:38">
      <c r="A72" s="2" t="s">
        <v>1262</v>
      </c>
      <c r="B72" s="2" t="s">
        <v>1260</v>
      </c>
      <c r="C72" s="106" t="s">
        <v>189</v>
      </c>
      <c r="E72" s="419">
        <v>3</v>
      </c>
      <c r="F72" s="419">
        <v>3</v>
      </c>
      <c r="G72" s="419">
        <v>2</v>
      </c>
      <c r="H72" s="419">
        <v>2</v>
      </c>
      <c r="I72" s="419">
        <v>3</v>
      </c>
      <c r="J72" s="419">
        <v>3</v>
      </c>
      <c r="L72" s="411">
        <f t="shared" si="18"/>
        <v>0</v>
      </c>
      <c r="M72" s="411">
        <f t="shared" si="19"/>
        <v>0</v>
      </c>
      <c r="N72" s="411">
        <f t="shared" si="20"/>
        <v>0</v>
      </c>
      <c r="O72" s="411">
        <f t="shared" si="21"/>
        <v>0</v>
      </c>
      <c r="P72" s="411">
        <f>IF(I72&gt;LARGE(Z72:AC72,1),0,1)</f>
        <v>0</v>
      </c>
      <c r="Q72" s="411">
        <f>IF(J72&gt;LARGE(Y72:AD72,2),0,1)</f>
        <v>0</v>
      </c>
      <c r="S72" s="102">
        <f t="shared" si="24"/>
        <v>0</v>
      </c>
      <c r="U72" s="411">
        <f>計分版!E$13</f>
        <v>1E-10</v>
      </c>
      <c r="V72" s="411">
        <f>計分版!F$13</f>
        <v>2.0000000000000001E-10</v>
      </c>
      <c r="W72" s="411">
        <f>計分版!G$13</f>
        <v>3E-10</v>
      </c>
      <c r="X72" s="411">
        <f>計分版!H$13</f>
        <v>4.0000000000000001E-10</v>
      </c>
      <c r="Y72" s="411">
        <f>計分版!I$13</f>
        <v>5.0000000000000003E-10</v>
      </c>
      <c r="Z72" s="411">
        <f>計分版!J$13</f>
        <v>6E-10</v>
      </c>
      <c r="AA72" s="411">
        <f>計分版!K$13</f>
        <v>6.9999999999999996E-10</v>
      </c>
      <c r="AB72" s="411">
        <f>計分版!L$13</f>
        <v>8.0000000000000003E-10</v>
      </c>
      <c r="AC72" s="411">
        <f>計分版!M$13</f>
        <v>8.9999999999999999E-10</v>
      </c>
      <c r="AD72" s="411">
        <f>計分版!N$13</f>
        <v>9.5000000000000003E-10</v>
      </c>
      <c r="AJ72" s="413" t="s">
        <v>2308</v>
      </c>
      <c r="AK72" s="413" t="s">
        <v>2309</v>
      </c>
      <c r="AL72" s="413" t="s">
        <v>2308</v>
      </c>
    </row>
    <row r="73" spans="1:38">
      <c r="A73" s="2" t="s">
        <v>908</v>
      </c>
      <c r="B73" s="2" t="s">
        <v>946</v>
      </c>
      <c r="C73" s="106" t="s">
        <v>189</v>
      </c>
      <c r="E73" s="419">
        <v>3</v>
      </c>
      <c r="F73" s="419">
        <v>3</v>
      </c>
      <c r="G73" s="419">
        <v>2</v>
      </c>
      <c r="H73" s="419">
        <v>2</v>
      </c>
      <c r="I73" s="419">
        <v>3</v>
      </c>
      <c r="J73" s="419">
        <v>3</v>
      </c>
      <c r="L73" s="411">
        <f t="shared" si="18"/>
        <v>0</v>
      </c>
      <c r="M73" s="411">
        <f t="shared" si="19"/>
        <v>0</v>
      </c>
      <c r="N73" s="411">
        <f t="shared" si="20"/>
        <v>0</v>
      </c>
      <c r="O73" s="411">
        <f t="shared" si="21"/>
        <v>0</v>
      </c>
      <c r="P73" s="78">
        <f>IF(計分版!$S$28=0,0,IF(I73&gt;LARGE(Z73:AC73,1),0,1))</f>
        <v>0</v>
      </c>
      <c r="Q73" s="411">
        <f>IF(J73&gt;LARGE(Y73:AC73,2),0,1)</f>
        <v>0</v>
      </c>
      <c r="S73" s="78">
        <f t="shared" si="17"/>
        <v>0</v>
      </c>
      <c r="U73" s="411">
        <f>計分版!E$13</f>
        <v>1E-10</v>
      </c>
      <c r="V73" s="411">
        <f>計分版!F$13</f>
        <v>2.0000000000000001E-10</v>
      </c>
      <c r="W73" s="411">
        <f>計分版!G$13</f>
        <v>3E-10</v>
      </c>
      <c r="X73" s="411">
        <f>計分版!H$13</f>
        <v>4.0000000000000001E-10</v>
      </c>
      <c r="Y73" s="411">
        <f>計分版!I$13</f>
        <v>5.0000000000000003E-10</v>
      </c>
      <c r="Z73" s="411">
        <f>計分版!J$13</f>
        <v>6E-10</v>
      </c>
      <c r="AA73" s="411">
        <f>計分版!K$13</f>
        <v>6.9999999999999996E-10</v>
      </c>
      <c r="AB73" s="411">
        <f>計分版!L$13</f>
        <v>8.0000000000000003E-10</v>
      </c>
      <c r="AC73" s="411">
        <f>計分版!M$13</f>
        <v>8.9999999999999999E-10</v>
      </c>
      <c r="AD73" s="411">
        <f>計分版!N$13</f>
        <v>9.5000000000000003E-10</v>
      </c>
      <c r="AJ73" s="413" t="s">
        <v>2308</v>
      </c>
    </row>
    <row r="74" spans="1:38">
      <c r="A74" s="2" t="s">
        <v>909</v>
      </c>
      <c r="B74" s="2" t="s">
        <v>948</v>
      </c>
      <c r="C74" s="106" t="s">
        <v>189</v>
      </c>
      <c r="E74" s="419">
        <v>3</v>
      </c>
      <c r="F74" s="419">
        <v>3</v>
      </c>
      <c r="G74" s="419">
        <v>2</v>
      </c>
      <c r="H74" s="419">
        <v>2</v>
      </c>
      <c r="I74" s="419">
        <v>3</v>
      </c>
      <c r="J74" s="419">
        <v>3</v>
      </c>
      <c r="L74" s="411">
        <f t="shared" si="18"/>
        <v>0</v>
      </c>
      <c r="M74" s="411">
        <f t="shared" si="19"/>
        <v>0</v>
      </c>
      <c r="N74" s="411">
        <f t="shared" si="20"/>
        <v>0</v>
      </c>
      <c r="O74" s="411">
        <f t="shared" si="21"/>
        <v>0</v>
      </c>
      <c r="P74" s="78">
        <f>IF(計分版!$T$39=0,0,IF(I74&gt;LARGE(Z74:AC74,1),0,1))</f>
        <v>0</v>
      </c>
      <c r="Q74" s="411">
        <f>IF(J74&gt;LARGE(Y74:AC74,2),0,1)</f>
        <v>0</v>
      </c>
      <c r="S74" s="78">
        <f t="shared" si="17"/>
        <v>0</v>
      </c>
      <c r="U74" s="411">
        <f>計分版!E$13</f>
        <v>1E-10</v>
      </c>
      <c r="V74" s="411">
        <f>計分版!F$13</f>
        <v>2.0000000000000001E-10</v>
      </c>
      <c r="W74" s="411">
        <f>計分版!G$13</f>
        <v>3E-10</v>
      </c>
      <c r="X74" s="411">
        <f>計分版!H$13</f>
        <v>4.0000000000000001E-10</v>
      </c>
      <c r="Y74" s="411">
        <f>計分版!I$13</f>
        <v>5.0000000000000003E-10</v>
      </c>
      <c r="Z74" s="411">
        <f>計分版!J$13</f>
        <v>6E-10</v>
      </c>
      <c r="AA74" s="411">
        <f>計分版!K$13</f>
        <v>6.9999999999999996E-10</v>
      </c>
      <c r="AB74" s="411">
        <f>計分版!L$13</f>
        <v>8.0000000000000003E-10</v>
      </c>
      <c r="AC74" s="411">
        <f>計分版!M$13</f>
        <v>8.9999999999999999E-10</v>
      </c>
      <c r="AD74" s="411">
        <f>計分版!N$13</f>
        <v>9.5000000000000003E-10</v>
      </c>
      <c r="AJ74" s="413" t="s">
        <v>2308</v>
      </c>
    </row>
    <row r="75" spans="1:38">
      <c r="A75" s="2" t="s">
        <v>910</v>
      </c>
      <c r="B75" s="2" t="s">
        <v>276</v>
      </c>
      <c r="C75" s="108" t="s">
        <v>548</v>
      </c>
      <c r="E75" s="419">
        <v>3</v>
      </c>
      <c r="F75" s="419">
        <v>3</v>
      </c>
      <c r="G75" s="419">
        <v>2</v>
      </c>
      <c r="H75" s="419">
        <v>2</v>
      </c>
      <c r="I75" s="419">
        <v>3</v>
      </c>
      <c r="J75" s="419">
        <v>3</v>
      </c>
      <c r="L75" s="411">
        <f t="shared" si="18"/>
        <v>0</v>
      </c>
      <c r="M75" s="411">
        <f t="shared" si="19"/>
        <v>0</v>
      </c>
      <c r="N75" s="411">
        <f t="shared" si="20"/>
        <v>0</v>
      </c>
      <c r="O75" s="411">
        <f t="shared" si="21"/>
        <v>0</v>
      </c>
      <c r="P75" s="78">
        <f>IF(I75&gt;LARGE(Y75:AC75,1),0,1)</f>
        <v>0</v>
      </c>
      <c r="Q75" s="411">
        <f>IF(J75&gt;LARGE(Y75:AD75,2),0,1)</f>
        <v>0</v>
      </c>
      <c r="S75" s="78">
        <f t="shared" si="17"/>
        <v>0</v>
      </c>
      <c r="U75" s="411">
        <f>計分版!E$13</f>
        <v>1E-10</v>
      </c>
      <c r="V75" s="411">
        <f>計分版!F$13</f>
        <v>2.0000000000000001E-10</v>
      </c>
      <c r="W75" s="411">
        <f>計分版!G$13</f>
        <v>3E-10</v>
      </c>
      <c r="X75" s="411">
        <f>計分版!H$13</f>
        <v>4.0000000000000001E-10</v>
      </c>
      <c r="Y75" s="411">
        <f>計分版!I$13</f>
        <v>5.0000000000000003E-10</v>
      </c>
      <c r="Z75" s="411">
        <f>計分版!J$13</f>
        <v>6E-10</v>
      </c>
      <c r="AA75" s="411">
        <f>計分版!K$13</f>
        <v>6.9999999999999996E-10</v>
      </c>
      <c r="AB75" s="411">
        <f>計分版!L$13</f>
        <v>8.0000000000000003E-10</v>
      </c>
      <c r="AC75" s="411">
        <f>計分版!M$13</f>
        <v>8.9999999999999999E-10</v>
      </c>
      <c r="AD75" s="411">
        <f>計分版!N$13</f>
        <v>9.5000000000000003E-10</v>
      </c>
      <c r="AF75" s="413" t="s">
        <v>2308</v>
      </c>
      <c r="AJ75" s="413" t="s">
        <v>2308</v>
      </c>
      <c r="AK75" s="413" t="s">
        <v>2309</v>
      </c>
      <c r="AL75" s="413" t="s">
        <v>2308</v>
      </c>
    </row>
    <row r="76" spans="1:38">
      <c r="A76" s="2" t="s">
        <v>911</v>
      </c>
      <c r="B76" s="2" t="s">
        <v>951</v>
      </c>
      <c r="C76" s="106" t="s">
        <v>190</v>
      </c>
      <c r="E76" s="419">
        <v>3</v>
      </c>
      <c r="F76" s="419">
        <v>3</v>
      </c>
      <c r="G76" s="419">
        <v>2</v>
      </c>
      <c r="H76" s="419">
        <v>2</v>
      </c>
      <c r="I76" s="419">
        <v>3</v>
      </c>
      <c r="J76" s="419">
        <v>3</v>
      </c>
      <c r="L76" s="411">
        <f t="shared" si="18"/>
        <v>0</v>
      </c>
      <c r="M76" s="411">
        <f t="shared" si="19"/>
        <v>0</v>
      </c>
      <c r="N76" s="411">
        <f t="shared" si="20"/>
        <v>0</v>
      </c>
      <c r="O76" s="411">
        <f t="shared" si="21"/>
        <v>0</v>
      </c>
      <c r="P76" s="411">
        <f>IF(I76&gt;LARGE(Y76:AC76,1),0,1)</f>
        <v>0</v>
      </c>
      <c r="Q76" s="411">
        <f>IF(J76&gt;LARGE(Y76:AD76,2),0,1)</f>
        <v>0</v>
      </c>
      <c r="S76" s="78">
        <f t="shared" si="17"/>
        <v>0</v>
      </c>
      <c r="U76" s="411">
        <f>計分版!E$13</f>
        <v>1E-10</v>
      </c>
      <c r="V76" s="411">
        <f>計分版!F$13</f>
        <v>2.0000000000000001E-10</v>
      </c>
      <c r="W76" s="411">
        <f>計分版!G$13</f>
        <v>3E-10</v>
      </c>
      <c r="X76" s="411">
        <f>計分版!H$13</f>
        <v>4.0000000000000001E-10</v>
      </c>
      <c r="Y76" s="411">
        <f>計分版!I$13</f>
        <v>5.0000000000000003E-10</v>
      </c>
      <c r="Z76" s="411">
        <f>計分版!J$13</f>
        <v>6E-10</v>
      </c>
      <c r="AA76" s="411">
        <f>計分版!K$13</f>
        <v>6.9999999999999996E-10</v>
      </c>
      <c r="AB76" s="411">
        <f>計分版!L$13</f>
        <v>8.0000000000000003E-10</v>
      </c>
      <c r="AC76" s="411">
        <f>計分版!M$13</f>
        <v>8.9999999999999999E-10</v>
      </c>
      <c r="AD76" s="411">
        <f>計分版!N$13</f>
        <v>9.5000000000000003E-10</v>
      </c>
      <c r="AF76" s="413" t="s">
        <v>2308</v>
      </c>
      <c r="AJ76" s="413" t="s">
        <v>2308</v>
      </c>
      <c r="AK76" s="413" t="s">
        <v>2309</v>
      </c>
    </row>
    <row r="77" spans="1:38">
      <c r="A77" s="2" t="s">
        <v>912</v>
      </c>
      <c r="B77" s="2" t="s">
        <v>953</v>
      </c>
      <c r="C77" s="106" t="s">
        <v>190</v>
      </c>
      <c r="E77" s="419">
        <v>3</v>
      </c>
      <c r="F77" s="419">
        <v>3</v>
      </c>
      <c r="G77" s="419">
        <v>2</v>
      </c>
      <c r="H77" s="419">
        <v>2</v>
      </c>
      <c r="I77" s="419">
        <v>3</v>
      </c>
      <c r="J77" s="419">
        <v>3</v>
      </c>
      <c r="L77" s="411">
        <f t="shared" si="18"/>
        <v>0</v>
      </c>
      <c r="M77" s="411">
        <f t="shared" si="19"/>
        <v>0</v>
      </c>
      <c r="N77" s="411">
        <f t="shared" si="20"/>
        <v>0</v>
      </c>
      <c r="O77" s="411">
        <f t="shared" si="21"/>
        <v>0</v>
      </c>
      <c r="P77" s="411">
        <f>IF(I77&gt;LARGE(Z77:AC77,1),0,1)</f>
        <v>0</v>
      </c>
      <c r="Q77" s="411">
        <f>IF(J77&gt;LARGE(Y77:AC77,2),0,1)</f>
        <v>0</v>
      </c>
      <c r="S77" s="78">
        <f t="shared" si="17"/>
        <v>0</v>
      </c>
      <c r="U77" s="411">
        <f>計分版!E$13</f>
        <v>1E-10</v>
      </c>
      <c r="V77" s="411">
        <f>計分版!F$13</f>
        <v>2.0000000000000001E-10</v>
      </c>
      <c r="W77" s="411">
        <f>計分版!G$13</f>
        <v>3E-10</v>
      </c>
      <c r="X77" s="411">
        <f>計分版!H$13</f>
        <v>4.0000000000000001E-10</v>
      </c>
      <c r="Y77" s="411">
        <f>計分版!I$13</f>
        <v>5.0000000000000003E-10</v>
      </c>
      <c r="Z77" s="411">
        <f>計分版!J$13</f>
        <v>6E-10</v>
      </c>
      <c r="AA77" s="411">
        <f>計分版!K$13</f>
        <v>6.9999999999999996E-10</v>
      </c>
      <c r="AB77" s="411">
        <f>計分版!L$13</f>
        <v>8.0000000000000003E-10</v>
      </c>
      <c r="AC77" s="411">
        <f>計分版!M$13</f>
        <v>8.9999999999999999E-10</v>
      </c>
      <c r="AD77" s="411">
        <f>計分版!N$13</f>
        <v>9.5000000000000003E-10</v>
      </c>
      <c r="AJ77" s="413" t="s">
        <v>2308</v>
      </c>
      <c r="AL77" s="413" t="s">
        <v>2308</v>
      </c>
    </row>
    <row r="78" spans="1:38">
      <c r="A78" s="2" t="s">
        <v>913</v>
      </c>
      <c r="B78" s="2" t="s">
        <v>955</v>
      </c>
      <c r="C78" s="106" t="s">
        <v>189</v>
      </c>
      <c r="E78" s="419">
        <v>3</v>
      </c>
      <c r="F78" s="419">
        <v>3</v>
      </c>
      <c r="G78" s="419">
        <v>2</v>
      </c>
      <c r="H78" s="419">
        <v>2</v>
      </c>
      <c r="I78" s="419">
        <v>3</v>
      </c>
      <c r="J78" s="419">
        <v>3</v>
      </c>
      <c r="L78" s="411">
        <f t="shared" si="18"/>
        <v>0</v>
      </c>
      <c r="M78" s="411">
        <f t="shared" si="19"/>
        <v>0</v>
      </c>
      <c r="N78" s="411">
        <f t="shared" si="20"/>
        <v>0</v>
      </c>
      <c r="O78" s="411">
        <f t="shared" si="21"/>
        <v>0</v>
      </c>
      <c r="P78" s="411">
        <f>IF(I78&gt;LARGE(Z78:AC78,1),0,1)</f>
        <v>0</v>
      </c>
      <c r="Q78" s="411">
        <f t="shared" ref="Q78:Q83" si="25">IF(J78&gt;LARGE(Y78:AD78,2),0,1)</f>
        <v>0</v>
      </c>
      <c r="S78" s="78">
        <f t="shared" si="17"/>
        <v>0</v>
      </c>
      <c r="U78" s="411">
        <f>計分版!E$13</f>
        <v>1E-10</v>
      </c>
      <c r="V78" s="411">
        <f>計分版!F$13</f>
        <v>2.0000000000000001E-10</v>
      </c>
      <c r="W78" s="411">
        <f>計分版!G$13</f>
        <v>3E-10</v>
      </c>
      <c r="X78" s="411">
        <f>計分版!H$13</f>
        <v>4.0000000000000001E-10</v>
      </c>
      <c r="Y78" s="411">
        <f>計分版!I$13</f>
        <v>5.0000000000000003E-10</v>
      </c>
      <c r="Z78" s="411">
        <f>計分版!J$13</f>
        <v>6E-10</v>
      </c>
      <c r="AA78" s="411">
        <f>計分版!K$13</f>
        <v>6.9999999999999996E-10</v>
      </c>
      <c r="AB78" s="411">
        <f>計分版!L$13</f>
        <v>8.0000000000000003E-10</v>
      </c>
      <c r="AC78" s="411">
        <f>計分版!M$13</f>
        <v>8.9999999999999999E-10</v>
      </c>
      <c r="AD78" s="411">
        <f>計分版!N$13</f>
        <v>9.5000000000000003E-10</v>
      </c>
      <c r="AJ78" s="413" t="s">
        <v>2308</v>
      </c>
      <c r="AK78" s="413" t="s">
        <v>2310</v>
      </c>
      <c r="AL78" s="413" t="s">
        <v>2308</v>
      </c>
    </row>
    <row r="79" spans="1:38">
      <c r="A79" s="2" t="s">
        <v>914</v>
      </c>
      <c r="B79" s="2" t="s">
        <v>957</v>
      </c>
      <c r="C79" s="106" t="s">
        <v>189</v>
      </c>
      <c r="E79" s="419">
        <v>3</v>
      </c>
      <c r="F79" s="419">
        <v>3</v>
      </c>
      <c r="G79" s="419">
        <v>2</v>
      </c>
      <c r="H79" s="419">
        <v>2</v>
      </c>
      <c r="I79" s="419">
        <v>3</v>
      </c>
      <c r="J79" s="419">
        <v>3</v>
      </c>
      <c r="L79" s="411">
        <f t="shared" si="18"/>
        <v>0</v>
      </c>
      <c r="M79" s="411">
        <f t="shared" si="19"/>
        <v>0</v>
      </c>
      <c r="N79" s="411">
        <f t="shared" si="20"/>
        <v>0</v>
      </c>
      <c r="O79" s="411">
        <f t="shared" si="21"/>
        <v>0</v>
      </c>
      <c r="P79" s="411">
        <f>IF(I79&gt;LARGE(Z79:AC79,1),0,1)</f>
        <v>0</v>
      </c>
      <c r="Q79" s="411">
        <f t="shared" si="25"/>
        <v>0</v>
      </c>
      <c r="S79" s="78">
        <f t="shared" si="17"/>
        <v>0</v>
      </c>
      <c r="U79" s="411">
        <f>計分版!E$13</f>
        <v>1E-10</v>
      </c>
      <c r="V79" s="411">
        <f>計分版!F$13</f>
        <v>2.0000000000000001E-10</v>
      </c>
      <c r="W79" s="411">
        <f>計分版!G$13</f>
        <v>3E-10</v>
      </c>
      <c r="X79" s="411">
        <f>計分版!H$13</f>
        <v>4.0000000000000001E-10</v>
      </c>
      <c r="Y79" s="411">
        <f>計分版!I$13</f>
        <v>5.0000000000000003E-10</v>
      </c>
      <c r="Z79" s="411">
        <f>計分版!J$13</f>
        <v>6E-10</v>
      </c>
      <c r="AA79" s="411">
        <f>計分版!K$13</f>
        <v>6.9999999999999996E-10</v>
      </c>
      <c r="AB79" s="411">
        <f>計分版!L$13</f>
        <v>8.0000000000000003E-10</v>
      </c>
      <c r="AC79" s="411">
        <f>計分版!M$13</f>
        <v>8.9999999999999999E-10</v>
      </c>
      <c r="AD79" s="411">
        <f>計分版!N$13</f>
        <v>9.5000000000000003E-10</v>
      </c>
      <c r="AJ79" s="413" t="s">
        <v>2308</v>
      </c>
      <c r="AK79" s="413" t="s">
        <v>2310</v>
      </c>
      <c r="AL79" s="413" t="s">
        <v>2308</v>
      </c>
    </row>
    <row r="80" spans="1:38">
      <c r="A80" s="2" t="s">
        <v>915</v>
      </c>
      <c r="B80" s="2" t="s">
        <v>959</v>
      </c>
      <c r="C80" s="106" t="s">
        <v>190</v>
      </c>
      <c r="E80" s="419">
        <v>3</v>
      </c>
      <c r="F80" s="419">
        <v>3</v>
      </c>
      <c r="G80" s="419">
        <v>2</v>
      </c>
      <c r="H80" s="419">
        <v>2</v>
      </c>
      <c r="I80" s="419">
        <v>3</v>
      </c>
      <c r="J80" s="419">
        <v>3</v>
      </c>
      <c r="L80" s="411">
        <f t="shared" si="18"/>
        <v>0</v>
      </c>
      <c r="M80" s="411">
        <f t="shared" si="19"/>
        <v>0</v>
      </c>
      <c r="N80" s="411">
        <f t="shared" si="20"/>
        <v>0</v>
      </c>
      <c r="O80" s="411">
        <f t="shared" si="21"/>
        <v>0</v>
      </c>
      <c r="P80" s="411">
        <f>IF(I80&gt;LARGE(Z80:AC80,1),0,1)</f>
        <v>0</v>
      </c>
      <c r="Q80" s="411">
        <f t="shared" si="25"/>
        <v>0</v>
      </c>
      <c r="S80" s="78">
        <f t="shared" si="17"/>
        <v>0</v>
      </c>
      <c r="U80" s="411">
        <f>計分版!E$13</f>
        <v>1E-10</v>
      </c>
      <c r="V80" s="411">
        <f>計分版!F$13</f>
        <v>2.0000000000000001E-10</v>
      </c>
      <c r="W80" s="411">
        <f>計分版!G$13</f>
        <v>3E-10</v>
      </c>
      <c r="X80" s="411">
        <f>計分版!H$13</f>
        <v>4.0000000000000001E-10</v>
      </c>
      <c r="Y80" s="411">
        <f>計分版!I$13</f>
        <v>5.0000000000000003E-10</v>
      </c>
      <c r="Z80" s="411">
        <f>計分版!J$13</f>
        <v>6E-10</v>
      </c>
      <c r="AA80" s="411">
        <f>計分版!K$13</f>
        <v>6.9999999999999996E-10</v>
      </c>
      <c r="AB80" s="411">
        <f>計分版!L$13</f>
        <v>8.0000000000000003E-10</v>
      </c>
      <c r="AC80" s="411">
        <f>計分版!M$13</f>
        <v>8.9999999999999999E-10</v>
      </c>
      <c r="AD80" s="411">
        <f>計分版!N$13</f>
        <v>9.5000000000000003E-10</v>
      </c>
      <c r="AJ80" s="413" t="s">
        <v>2308</v>
      </c>
      <c r="AK80" s="413" t="s">
        <v>2309</v>
      </c>
      <c r="AL80" s="413" t="s">
        <v>2308</v>
      </c>
    </row>
    <row r="81" spans="1:39">
      <c r="A81" s="2" t="s">
        <v>916</v>
      </c>
      <c r="B81" s="2" t="s">
        <v>961</v>
      </c>
      <c r="C81" s="106" t="s">
        <v>195</v>
      </c>
      <c r="E81" s="419">
        <v>3</v>
      </c>
      <c r="F81" s="419">
        <v>3</v>
      </c>
      <c r="G81" s="419">
        <v>2</v>
      </c>
      <c r="H81" s="419">
        <v>2</v>
      </c>
      <c r="I81" s="419">
        <v>3</v>
      </c>
      <c r="J81" s="419">
        <v>3</v>
      </c>
      <c r="L81" s="411">
        <f t="shared" si="18"/>
        <v>0</v>
      </c>
      <c r="M81" s="411">
        <f t="shared" si="19"/>
        <v>0</v>
      </c>
      <c r="N81" s="411">
        <f t="shared" si="20"/>
        <v>0</v>
      </c>
      <c r="O81" s="411">
        <f t="shared" si="21"/>
        <v>0</v>
      </c>
      <c r="P81" s="411">
        <f>IF(I81&gt;LARGE(Z81:AC81,1),0,1)</f>
        <v>0</v>
      </c>
      <c r="Q81" s="411">
        <f t="shared" si="25"/>
        <v>0</v>
      </c>
      <c r="S81" s="78">
        <f t="shared" si="17"/>
        <v>0</v>
      </c>
      <c r="U81" s="411">
        <f>計分版!E$13</f>
        <v>1E-10</v>
      </c>
      <c r="V81" s="411">
        <f>計分版!F$13</f>
        <v>2.0000000000000001E-10</v>
      </c>
      <c r="W81" s="411">
        <f>計分版!G$13</f>
        <v>3E-10</v>
      </c>
      <c r="X81" s="411">
        <f>計分版!H$13</f>
        <v>4.0000000000000001E-10</v>
      </c>
      <c r="Y81" s="411">
        <f>計分版!I$13</f>
        <v>5.0000000000000003E-10</v>
      </c>
      <c r="Z81" s="411">
        <f>計分版!J$13</f>
        <v>6E-10</v>
      </c>
      <c r="AA81" s="411">
        <f>計分版!K$13</f>
        <v>6.9999999999999996E-10</v>
      </c>
      <c r="AB81" s="411">
        <f>計分版!L$13</f>
        <v>8.0000000000000003E-10</v>
      </c>
      <c r="AC81" s="411">
        <f>計分版!M$13</f>
        <v>8.9999999999999999E-10</v>
      </c>
      <c r="AD81" s="411">
        <f>計分版!N$13</f>
        <v>9.5000000000000003E-10</v>
      </c>
      <c r="AJ81" s="413" t="s">
        <v>2308</v>
      </c>
      <c r="AK81" s="413" t="s">
        <v>2309</v>
      </c>
    </row>
    <row r="82" spans="1:39">
      <c r="A82" s="2" t="s">
        <v>918</v>
      </c>
      <c r="B82" s="2" t="s">
        <v>962</v>
      </c>
      <c r="C82" s="106" t="s">
        <v>190</v>
      </c>
      <c r="E82" s="419">
        <v>3</v>
      </c>
      <c r="F82" s="419">
        <v>3</v>
      </c>
      <c r="G82" s="419">
        <v>2</v>
      </c>
      <c r="H82" s="419">
        <v>2</v>
      </c>
      <c r="I82" s="419">
        <v>3</v>
      </c>
      <c r="J82" s="419">
        <v>3</v>
      </c>
      <c r="L82" s="411">
        <f t="shared" si="18"/>
        <v>0</v>
      </c>
      <c r="M82" s="411">
        <f t="shared" si="19"/>
        <v>0</v>
      </c>
      <c r="N82" s="411">
        <f t="shared" si="20"/>
        <v>0</v>
      </c>
      <c r="O82" s="411">
        <f t="shared" si="21"/>
        <v>0</v>
      </c>
      <c r="P82" s="411">
        <f>IF(I82&gt;LARGE(Y82:AC82,1),0,1)</f>
        <v>0</v>
      </c>
      <c r="Q82" s="411">
        <f t="shared" si="25"/>
        <v>0</v>
      </c>
      <c r="S82" s="78">
        <f t="shared" si="17"/>
        <v>0</v>
      </c>
      <c r="U82" s="411">
        <f>計分版!E$13</f>
        <v>1E-10</v>
      </c>
      <c r="V82" s="411">
        <f>計分版!F$13</f>
        <v>2.0000000000000001E-10</v>
      </c>
      <c r="W82" s="411">
        <f>計分版!G$13</f>
        <v>3E-10</v>
      </c>
      <c r="X82" s="411">
        <f>計分版!H$13</f>
        <v>4.0000000000000001E-10</v>
      </c>
      <c r="Y82" s="411">
        <f>計分版!I$13</f>
        <v>5.0000000000000003E-10</v>
      </c>
      <c r="Z82" s="411">
        <f>計分版!J$13</f>
        <v>6E-10</v>
      </c>
      <c r="AA82" s="411">
        <f>計分版!K$13</f>
        <v>6.9999999999999996E-10</v>
      </c>
      <c r="AB82" s="411">
        <f>計分版!L$13</f>
        <v>8.0000000000000003E-10</v>
      </c>
      <c r="AC82" s="411">
        <f>計分版!M$13</f>
        <v>8.9999999999999999E-10</v>
      </c>
      <c r="AD82" s="411">
        <f>計分版!N$13</f>
        <v>9.5000000000000003E-10</v>
      </c>
      <c r="AF82" s="413" t="s">
        <v>2308</v>
      </c>
      <c r="AJ82" s="413" t="s">
        <v>2308</v>
      </c>
      <c r="AK82" s="413" t="s">
        <v>2309</v>
      </c>
      <c r="AL82" s="413" t="s">
        <v>2308</v>
      </c>
    </row>
    <row r="83" spans="1:39">
      <c r="A83" s="2" t="s">
        <v>919</v>
      </c>
      <c r="B83" s="2" t="s">
        <v>964</v>
      </c>
      <c r="C83" s="106" t="s">
        <v>189</v>
      </c>
      <c r="E83" s="419">
        <v>3</v>
      </c>
      <c r="F83" s="419">
        <v>3</v>
      </c>
      <c r="G83" s="419">
        <v>2</v>
      </c>
      <c r="H83" s="419">
        <v>2</v>
      </c>
      <c r="I83" s="419">
        <v>3</v>
      </c>
      <c r="J83" s="419">
        <v>3</v>
      </c>
      <c r="L83" s="411">
        <f t="shared" si="18"/>
        <v>0</v>
      </c>
      <c r="M83" s="411">
        <f t="shared" si="19"/>
        <v>0</v>
      </c>
      <c r="N83" s="411">
        <f t="shared" si="20"/>
        <v>0</v>
      </c>
      <c r="O83" s="411">
        <f t="shared" si="21"/>
        <v>0</v>
      </c>
      <c r="P83" s="411">
        <f>IF(I83&gt;LARGE(Y83:AC83,1),0,1)</f>
        <v>0</v>
      </c>
      <c r="Q83" s="411">
        <f t="shared" si="25"/>
        <v>0</v>
      </c>
      <c r="S83" s="401">
        <f>IF(L83*M83*N83*O83*P83*Q83=0,0,2)</f>
        <v>0</v>
      </c>
      <c r="U83" s="411">
        <f>計分版!E$13</f>
        <v>1E-10</v>
      </c>
      <c r="V83" s="411">
        <f>計分版!F$13</f>
        <v>2.0000000000000001E-10</v>
      </c>
      <c r="W83" s="411">
        <f>計分版!G$13</f>
        <v>3E-10</v>
      </c>
      <c r="X83" s="411">
        <f>計分版!H$13</f>
        <v>4.0000000000000001E-10</v>
      </c>
      <c r="Y83" s="411">
        <f>計分版!I$13</f>
        <v>5.0000000000000003E-10</v>
      </c>
      <c r="Z83" s="411">
        <f>計分版!J$13</f>
        <v>6E-10</v>
      </c>
      <c r="AA83" s="411">
        <f>計分版!K$13</f>
        <v>6.9999999999999996E-10</v>
      </c>
      <c r="AB83" s="411">
        <f>計分版!L$13</f>
        <v>8.0000000000000003E-10</v>
      </c>
      <c r="AC83" s="411">
        <f>計分版!M$13</f>
        <v>8.9999999999999999E-10</v>
      </c>
      <c r="AD83" s="411">
        <f>計分版!N$13</f>
        <v>9.5000000000000003E-10</v>
      </c>
      <c r="AF83" s="413" t="s">
        <v>2308</v>
      </c>
      <c r="AJ83" s="413" t="s">
        <v>2308</v>
      </c>
      <c r="AK83" s="413" t="s">
        <v>2309</v>
      </c>
      <c r="AL83" s="413" t="s">
        <v>2308</v>
      </c>
    </row>
    <row r="84" spans="1:39">
      <c r="A84" s="2" t="s">
        <v>920</v>
      </c>
      <c r="B84" s="2" t="s">
        <v>966</v>
      </c>
      <c r="C84" s="106" t="s">
        <v>548</v>
      </c>
      <c r="E84" s="419">
        <v>3</v>
      </c>
      <c r="F84" s="419">
        <v>3</v>
      </c>
      <c r="G84" s="419">
        <v>2</v>
      </c>
      <c r="H84" s="419">
        <v>2</v>
      </c>
      <c r="I84" s="419">
        <v>3</v>
      </c>
      <c r="J84" s="419">
        <v>3</v>
      </c>
      <c r="L84" s="411">
        <f t="shared" si="18"/>
        <v>0</v>
      </c>
      <c r="M84" s="411">
        <f t="shared" si="19"/>
        <v>0</v>
      </c>
      <c r="N84" s="411">
        <f t="shared" si="20"/>
        <v>0</v>
      </c>
      <c r="O84" s="411">
        <f t="shared" si="21"/>
        <v>0</v>
      </c>
      <c r="P84" s="411">
        <f>IF(I84&gt;LARGE(Y84:AC84,1),0,1)</f>
        <v>0</v>
      </c>
      <c r="Q84" s="411">
        <f t="shared" si="23"/>
        <v>0</v>
      </c>
      <c r="S84" s="401">
        <f t="shared" si="17"/>
        <v>0</v>
      </c>
      <c r="U84" s="411">
        <f>計分版!E$13</f>
        <v>1E-10</v>
      </c>
      <c r="V84" s="411">
        <f>計分版!F$13</f>
        <v>2.0000000000000001E-10</v>
      </c>
      <c r="W84" s="411">
        <f>計分版!G$13</f>
        <v>3E-10</v>
      </c>
      <c r="X84" s="411">
        <f>計分版!H$13</f>
        <v>4.0000000000000001E-10</v>
      </c>
      <c r="Y84" s="411">
        <f>計分版!I$13</f>
        <v>5.0000000000000003E-10</v>
      </c>
      <c r="Z84" s="411">
        <f>計分版!J$13</f>
        <v>6E-10</v>
      </c>
      <c r="AA84" s="411">
        <f>計分版!K$13</f>
        <v>6.9999999999999996E-10</v>
      </c>
      <c r="AB84" s="411">
        <f>計分版!L$13</f>
        <v>8.0000000000000003E-10</v>
      </c>
      <c r="AC84" s="411">
        <f>計分版!M$13</f>
        <v>8.9999999999999999E-10</v>
      </c>
      <c r="AD84" s="411">
        <f>計分版!N$13</f>
        <v>9.5000000000000003E-10</v>
      </c>
      <c r="AF84" s="413" t="s">
        <v>2308</v>
      </c>
      <c r="AJ84" s="413" t="s">
        <v>2308</v>
      </c>
    </row>
    <row r="85" spans="1:39" s="174" customFormat="1">
      <c r="C85" s="106"/>
      <c r="E85" s="419"/>
      <c r="F85" s="419"/>
      <c r="G85" s="419"/>
      <c r="H85" s="419"/>
      <c r="I85" s="419"/>
      <c r="J85" s="419"/>
      <c r="L85" s="258"/>
      <c r="M85" s="258"/>
      <c r="N85" s="258"/>
      <c r="O85" s="258"/>
      <c r="P85" s="258"/>
      <c r="Q85" s="258"/>
      <c r="S85" s="258"/>
      <c r="T85" s="258"/>
      <c r="U85" s="411"/>
      <c r="V85" s="411"/>
      <c r="W85" s="411"/>
      <c r="X85" s="411"/>
      <c r="Y85" s="411"/>
      <c r="Z85" s="411"/>
      <c r="AA85" s="411"/>
      <c r="AB85" s="411"/>
      <c r="AC85" s="411"/>
      <c r="AD85" s="411"/>
      <c r="AE85" s="182"/>
      <c r="AF85" s="413"/>
      <c r="AG85" s="413"/>
      <c r="AH85" s="413"/>
      <c r="AI85" s="413"/>
      <c r="AJ85" s="413"/>
      <c r="AK85" s="413"/>
      <c r="AL85" s="413"/>
      <c r="AM85" s="413"/>
    </row>
    <row r="86" spans="1:39">
      <c r="A86" s="15" t="s">
        <v>550</v>
      </c>
      <c r="E86" s="419"/>
      <c r="F86" s="419"/>
      <c r="G86" s="419"/>
      <c r="H86" s="419"/>
      <c r="I86" s="419"/>
      <c r="J86" s="419"/>
    </row>
    <row r="87" spans="1:39">
      <c r="A87" s="15" t="s">
        <v>203</v>
      </c>
      <c r="B87" s="15" t="s">
        <v>367</v>
      </c>
      <c r="C87" s="15" t="s">
        <v>204</v>
      </c>
      <c r="D87" s="24" t="s">
        <v>361</v>
      </c>
      <c r="E87" s="422" t="s">
        <v>369</v>
      </c>
      <c r="F87" s="422" t="s">
        <v>370</v>
      </c>
      <c r="G87" s="422" t="s">
        <v>371</v>
      </c>
      <c r="H87" s="422" t="s">
        <v>372</v>
      </c>
      <c r="I87" s="422" t="s">
        <v>373</v>
      </c>
      <c r="J87" s="422" t="s">
        <v>374</v>
      </c>
      <c r="K87" s="15"/>
      <c r="L87" s="24" t="s">
        <v>369</v>
      </c>
      <c r="M87" s="24" t="s">
        <v>370</v>
      </c>
      <c r="N87" s="24" t="s">
        <v>371</v>
      </c>
      <c r="O87" s="24" t="s">
        <v>372</v>
      </c>
      <c r="P87" s="24" t="s">
        <v>373</v>
      </c>
      <c r="Q87" s="24" t="s">
        <v>374</v>
      </c>
      <c r="R87" s="78"/>
      <c r="U87" s="415" t="s">
        <v>2</v>
      </c>
      <c r="V87" s="415" t="s">
        <v>1</v>
      </c>
      <c r="W87" s="415" t="s">
        <v>3</v>
      </c>
      <c r="X87" s="415" t="s">
        <v>4</v>
      </c>
      <c r="Y87" s="415" t="s">
        <v>63</v>
      </c>
      <c r="Z87" s="415" t="str">
        <f>主頁!$B$15</f>
        <v>請選擇第一選修科</v>
      </c>
      <c r="AA87" s="415" t="str">
        <f>主頁!$B$16</f>
        <v>請選擇第二選修科</v>
      </c>
      <c r="AB87" s="415" t="str">
        <f>主頁!$B$17</f>
        <v>請選擇第三選修科</v>
      </c>
      <c r="AC87" s="415" t="str">
        <f>主頁!$B$18</f>
        <v>請選擇第四選修科</v>
      </c>
      <c r="AD87" s="416" t="str">
        <f>主頁!$B$19</f>
        <v>請選擇語言科目</v>
      </c>
      <c r="AE87" s="417" t="s">
        <v>360</v>
      </c>
      <c r="AF87" s="413" t="s">
        <v>2305</v>
      </c>
      <c r="AG87" s="413" t="s">
        <v>2306</v>
      </c>
      <c r="AH87" s="413" t="s">
        <v>2307</v>
      </c>
    </row>
    <row r="88" spans="1:39">
      <c r="A88" s="2" t="s">
        <v>395</v>
      </c>
      <c r="B88" s="2" t="s">
        <v>485</v>
      </c>
      <c r="C88" s="26" t="s">
        <v>190</v>
      </c>
      <c r="D88" s="19"/>
      <c r="E88" s="419">
        <v>3</v>
      </c>
      <c r="F88" s="419">
        <v>3</v>
      </c>
      <c r="G88" s="419">
        <v>2</v>
      </c>
      <c r="H88" s="419">
        <v>2</v>
      </c>
      <c r="I88" s="419">
        <v>3</v>
      </c>
      <c r="J88" s="419">
        <v>3</v>
      </c>
      <c r="L88" s="411">
        <f t="shared" ref="L88" si="26">IF(E88&gt;U88,0,1)</f>
        <v>0</v>
      </c>
      <c r="M88" s="411">
        <f t="shared" ref="M88" si="27">IF(F88&gt;V88,0,1)</f>
        <v>0</v>
      </c>
      <c r="N88" s="411">
        <f t="shared" ref="N88" si="28">IF(G88&gt;W88,0,1)</f>
        <v>0</v>
      </c>
      <c r="O88" s="411">
        <f t="shared" ref="O88" si="29">IF(H88&gt;X88,0,1)</f>
        <v>0</v>
      </c>
      <c r="P88" s="78">
        <f>IF(I88&gt;LARGE(Y88:AD88,1),0,1)</f>
        <v>0</v>
      </c>
      <c r="Q88" s="78">
        <f>IF(J88&gt;LARGE(Y88:AD88,2),0,1)</f>
        <v>0</v>
      </c>
      <c r="S88" s="78">
        <f t="shared" ref="S88:S132" si="30">L88*M88*N88*O88*P88*Q88</f>
        <v>0</v>
      </c>
      <c r="U88" s="411">
        <f>計分版!E$13</f>
        <v>1E-10</v>
      </c>
      <c r="V88" s="411">
        <f>計分版!F$13</f>
        <v>2.0000000000000001E-10</v>
      </c>
      <c r="W88" s="411">
        <f>計分版!G$13</f>
        <v>3E-10</v>
      </c>
      <c r="X88" s="411">
        <f>計分版!H$13</f>
        <v>4.0000000000000001E-10</v>
      </c>
      <c r="Y88" s="411">
        <f>計分版!I$13</f>
        <v>5.0000000000000003E-10</v>
      </c>
      <c r="Z88" s="411">
        <f>計分版!J$13</f>
        <v>6E-10</v>
      </c>
      <c r="AA88" s="411">
        <f>計分版!K$13</f>
        <v>6.9999999999999996E-10</v>
      </c>
      <c r="AB88" s="411">
        <f>計分版!L$13</f>
        <v>8.0000000000000003E-10</v>
      </c>
      <c r="AC88" s="411">
        <f>計分版!M$13</f>
        <v>8.9999999999999999E-10</v>
      </c>
      <c r="AD88" s="411">
        <f>計分版!N$13</f>
        <v>9.5000000000000003E-10</v>
      </c>
      <c r="AF88" s="413" t="s">
        <v>2308</v>
      </c>
      <c r="AG88" s="413" t="s">
        <v>2309</v>
      </c>
    </row>
    <row r="89" spans="1:39">
      <c r="A89" s="2" t="s">
        <v>396</v>
      </c>
      <c r="B89" s="2" t="s">
        <v>486</v>
      </c>
      <c r="C89" s="26" t="s">
        <v>189</v>
      </c>
      <c r="D89" s="19"/>
      <c r="E89" s="419">
        <v>3</v>
      </c>
      <c r="F89" s="419">
        <v>3</v>
      </c>
      <c r="G89" s="419">
        <v>2</v>
      </c>
      <c r="H89" s="419">
        <v>2</v>
      </c>
      <c r="I89" s="419">
        <v>3</v>
      </c>
      <c r="J89" s="419">
        <v>3</v>
      </c>
      <c r="L89" s="411">
        <f t="shared" ref="L89:L134" si="31">IF(E89&gt;U89,0,1)</f>
        <v>0</v>
      </c>
      <c r="M89" s="411">
        <f t="shared" ref="M89:M132" si="32">IF(F89&gt;V89,0,1)</f>
        <v>0</v>
      </c>
      <c r="N89" s="411">
        <f t="shared" ref="N89:N132" si="33">IF(G89&gt;W89,0,1)</f>
        <v>0</v>
      </c>
      <c r="O89" s="411">
        <f t="shared" ref="O89:O132" si="34">IF(H89&gt;X89,0,1)</f>
        <v>0</v>
      </c>
      <c r="P89" s="413">
        <f t="shared" ref="P89:P132" si="35">IF(I89&gt;LARGE(Y89:AD89,1),0,1)</f>
        <v>0</v>
      </c>
      <c r="Q89" s="413">
        <f t="shared" ref="Q89:Q132" si="36">IF(J89&gt;LARGE(Y89:AD89,2),0,1)</f>
        <v>0</v>
      </c>
      <c r="S89" s="78">
        <f t="shared" si="30"/>
        <v>0</v>
      </c>
      <c r="U89" s="411">
        <f>計分版!E$13</f>
        <v>1E-10</v>
      </c>
      <c r="V89" s="411">
        <f>計分版!F$13</f>
        <v>2.0000000000000001E-10</v>
      </c>
      <c r="W89" s="411">
        <f>計分版!G$13</f>
        <v>3E-10</v>
      </c>
      <c r="X89" s="411">
        <f>計分版!H$13</f>
        <v>4.0000000000000001E-10</v>
      </c>
      <c r="Y89" s="411">
        <f>計分版!I$13</f>
        <v>5.0000000000000003E-10</v>
      </c>
      <c r="Z89" s="411">
        <f>計分版!J$13</f>
        <v>6E-10</v>
      </c>
      <c r="AA89" s="411">
        <f>計分版!K$13</f>
        <v>6.9999999999999996E-10</v>
      </c>
      <c r="AB89" s="411">
        <f>計分版!L$13</f>
        <v>8.0000000000000003E-10</v>
      </c>
      <c r="AC89" s="411">
        <f>計分版!M$13</f>
        <v>8.9999999999999999E-10</v>
      </c>
      <c r="AD89" s="411">
        <f>計分版!N$13</f>
        <v>9.5000000000000003E-10</v>
      </c>
      <c r="AF89" s="413" t="s">
        <v>2308</v>
      </c>
      <c r="AG89" s="413" t="s">
        <v>2309</v>
      </c>
    </row>
    <row r="90" spans="1:39">
      <c r="A90" s="2" t="s">
        <v>397</v>
      </c>
      <c r="B90" s="2" t="s">
        <v>487</v>
      </c>
      <c r="C90" s="26" t="s">
        <v>189</v>
      </c>
      <c r="D90" s="19"/>
      <c r="E90" s="419">
        <v>3</v>
      </c>
      <c r="F90" s="419">
        <v>3</v>
      </c>
      <c r="G90" s="419">
        <v>2</v>
      </c>
      <c r="H90" s="419">
        <v>2</v>
      </c>
      <c r="I90" s="419">
        <v>3</v>
      </c>
      <c r="J90" s="419">
        <v>3</v>
      </c>
      <c r="L90" s="411">
        <f t="shared" si="31"/>
        <v>0</v>
      </c>
      <c r="M90" s="411">
        <f t="shared" si="32"/>
        <v>0</v>
      </c>
      <c r="N90" s="411">
        <f t="shared" si="33"/>
        <v>0</v>
      </c>
      <c r="O90" s="411">
        <f t="shared" si="34"/>
        <v>0</v>
      </c>
      <c r="P90" s="413">
        <f t="shared" si="35"/>
        <v>0</v>
      </c>
      <c r="Q90" s="413">
        <f t="shared" si="36"/>
        <v>0</v>
      </c>
      <c r="S90" s="78">
        <f t="shared" si="30"/>
        <v>0</v>
      </c>
      <c r="U90" s="411">
        <f>計分版!E$13</f>
        <v>1E-10</v>
      </c>
      <c r="V90" s="411">
        <f>計分版!F$13</f>
        <v>2.0000000000000001E-10</v>
      </c>
      <c r="W90" s="411">
        <f>計分版!G$13</f>
        <v>3E-10</v>
      </c>
      <c r="X90" s="411">
        <f>計分版!H$13</f>
        <v>4.0000000000000001E-10</v>
      </c>
      <c r="Y90" s="411">
        <f>計分版!I$13</f>
        <v>5.0000000000000003E-10</v>
      </c>
      <c r="Z90" s="411">
        <f>計分版!J$13</f>
        <v>6E-10</v>
      </c>
      <c r="AA90" s="411">
        <f>計分版!K$13</f>
        <v>6.9999999999999996E-10</v>
      </c>
      <c r="AB90" s="411">
        <f>計分版!L$13</f>
        <v>8.0000000000000003E-10</v>
      </c>
      <c r="AC90" s="411">
        <f>計分版!M$13</f>
        <v>8.9999999999999999E-10</v>
      </c>
      <c r="AD90" s="411">
        <f>計分版!N$13</f>
        <v>9.5000000000000003E-10</v>
      </c>
      <c r="AF90" s="413" t="s">
        <v>2308</v>
      </c>
      <c r="AG90" s="413" t="s">
        <v>2309</v>
      </c>
    </row>
    <row r="91" spans="1:39">
      <c r="A91" s="2" t="s">
        <v>398</v>
      </c>
      <c r="B91" s="2" t="s">
        <v>488</v>
      </c>
      <c r="C91" s="26" t="s">
        <v>189</v>
      </c>
      <c r="D91" s="19"/>
      <c r="E91" s="419">
        <v>3</v>
      </c>
      <c r="F91" s="419">
        <v>3</v>
      </c>
      <c r="G91" s="419">
        <v>2</v>
      </c>
      <c r="H91" s="419">
        <v>2</v>
      </c>
      <c r="I91" s="419">
        <v>3</v>
      </c>
      <c r="J91" s="419">
        <v>3</v>
      </c>
      <c r="L91" s="411">
        <f t="shared" si="31"/>
        <v>0</v>
      </c>
      <c r="M91" s="411">
        <f t="shared" si="32"/>
        <v>0</v>
      </c>
      <c r="N91" s="411">
        <f t="shared" si="33"/>
        <v>0</v>
      </c>
      <c r="O91" s="411">
        <f t="shared" si="34"/>
        <v>0</v>
      </c>
      <c r="P91" s="413">
        <f t="shared" si="35"/>
        <v>0</v>
      </c>
      <c r="Q91" s="413">
        <f t="shared" si="36"/>
        <v>0</v>
      </c>
      <c r="S91" s="78">
        <f t="shared" si="30"/>
        <v>0</v>
      </c>
      <c r="U91" s="411">
        <f>計分版!E$13</f>
        <v>1E-10</v>
      </c>
      <c r="V91" s="411">
        <f>計分版!F$13</f>
        <v>2.0000000000000001E-10</v>
      </c>
      <c r="W91" s="411">
        <f>計分版!G$13</f>
        <v>3E-10</v>
      </c>
      <c r="X91" s="411">
        <f>計分版!H$13</f>
        <v>4.0000000000000001E-10</v>
      </c>
      <c r="Y91" s="411">
        <f>計分版!I$13</f>
        <v>5.0000000000000003E-10</v>
      </c>
      <c r="Z91" s="411">
        <f>計分版!J$13</f>
        <v>6E-10</v>
      </c>
      <c r="AA91" s="411">
        <f>計分版!K$13</f>
        <v>6.9999999999999996E-10</v>
      </c>
      <c r="AB91" s="411">
        <f>計分版!L$13</f>
        <v>8.0000000000000003E-10</v>
      </c>
      <c r="AC91" s="411">
        <f>計分版!M$13</f>
        <v>8.9999999999999999E-10</v>
      </c>
      <c r="AD91" s="411">
        <f>計分版!N$13</f>
        <v>9.5000000000000003E-10</v>
      </c>
      <c r="AF91" s="413" t="s">
        <v>2308</v>
      </c>
      <c r="AG91" s="413" t="s">
        <v>2309</v>
      </c>
    </row>
    <row r="92" spans="1:39">
      <c r="A92" s="2" t="s">
        <v>399</v>
      </c>
      <c r="B92" s="2" t="s">
        <v>489</v>
      </c>
      <c r="C92" s="26" t="s">
        <v>189</v>
      </c>
      <c r="D92" s="19"/>
      <c r="E92" s="419">
        <v>3</v>
      </c>
      <c r="F92" s="419">
        <v>3</v>
      </c>
      <c r="G92" s="419">
        <v>2</v>
      </c>
      <c r="H92" s="419">
        <v>2</v>
      </c>
      <c r="I92" s="419">
        <v>3</v>
      </c>
      <c r="J92" s="419">
        <v>3</v>
      </c>
      <c r="L92" s="411">
        <f t="shared" si="31"/>
        <v>0</v>
      </c>
      <c r="M92" s="411">
        <f t="shared" si="32"/>
        <v>0</v>
      </c>
      <c r="N92" s="411">
        <f t="shared" si="33"/>
        <v>0</v>
      </c>
      <c r="O92" s="411">
        <f t="shared" si="34"/>
        <v>0</v>
      </c>
      <c r="P92" s="413">
        <f t="shared" si="35"/>
        <v>0</v>
      </c>
      <c r="Q92" s="413">
        <f t="shared" si="36"/>
        <v>0</v>
      </c>
      <c r="S92" s="78">
        <f t="shared" si="30"/>
        <v>0</v>
      </c>
      <c r="U92" s="411">
        <f>計分版!E$13</f>
        <v>1E-10</v>
      </c>
      <c r="V92" s="411">
        <f>計分版!F$13</f>
        <v>2.0000000000000001E-10</v>
      </c>
      <c r="W92" s="411">
        <f>計分版!G$13</f>
        <v>3E-10</v>
      </c>
      <c r="X92" s="411">
        <f>計分版!H$13</f>
        <v>4.0000000000000001E-10</v>
      </c>
      <c r="Y92" s="411">
        <f>計分版!I$13</f>
        <v>5.0000000000000003E-10</v>
      </c>
      <c r="Z92" s="411">
        <f>計分版!J$13</f>
        <v>6E-10</v>
      </c>
      <c r="AA92" s="411">
        <f>計分版!K$13</f>
        <v>6.9999999999999996E-10</v>
      </c>
      <c r="AB92" s="411">
        <f>計分版!L$13</f>
        <v>8.0000000000000003E-10</v>
      </c>
      <c r="AC92" s="411">
        <f>計分版!M$13</f>
        <v>8.9999999999999999E-10</v>
      </c>
      <c r="AD92" s="411">
        <f>計分版!N$13</f>
        <v>9.5000000000000003E-10</v>
      </c>
      <c r="AF92" s="413" t="s">
        <v>2308</v>
      </c>
      <c r="AG92" s="413" t="s">
        <v>2309</v>
      </c>
    </row>
    <row r="93" spans="1:39">
      <c r="A93" s="2" t="s">
        <v>400</v>
      </c>
      <c r="B93" s="2" t="s">
        <v>490</v>
      </c>
      <c r="C93" s="26" t="s">
        <v>189</v>
      </c>
      <c r="D93" s="19"/>
      <c r="E93" s="419">
        <v>3</v>
      </c>
      <c r="F93" s="419">
        <v>3</v>
      </c>
      <c r="G93" s="419">
        <v>2</v>
      </c>
      <c r="H93" s="419">
        <v>2</v>
      </c>
      <c r="I93" s="419">
        <v>3</v>
      </c>
      <c r="J93" s="419">
        <v>3</v>
      </c>
      <c r="L93" s="411">
        <f t="shared" si="31"/>
        <v>0</v>
      </c>
      <c r="M93" s="411">
        <f t="shared" si="32"/>
        <v>0</v>
      </c>
      <c r="N93" s="411">
        <f t="shared" si="33"/>
        <v>0</v>
      </c>
      <c r="O93" s="411">
        <f t="shared" si="34"/>
        <v>0</v>
      </c>
      <c r="P93" s="413">
        <f t="shared" si="35"/>
        <v>0</v>
      </c>
      <c r="Q93" s="413">
        <f t="shared" si="36"/>
        <v>0</v>
      </c>
      <c r="S93" s="78">
        <f t="shared" si="30"/>
        <v>0</v>
      </c>
      <c r="U93" s="411">
        <f>計分版!E$13</f>
        <v>1E-10</v>
      </c>
      <c r="V93" s="411">
        <f>計分版!F$13</f>
        <v>2.0000000000000001E-10</v>
      </c>
      <c r="W93" s="411">
        <f>計分版!G$13</f>
        <v>3E-10</v>
      </c>
      <c r="X93" s="411">
        <f>計分版!H$13</f>
        <v>4.0000000000000001E-10</v>
      </c>
      <c r="Y93" s="411">
        <f>計分版!I$13</f>
        <v>5.0000000000000003E-10</v>
      </c>
      <c r="Z93" s="411">
        <f>計分版!J$13</f>
        <v>6E-10</v>
      </c>
      <c r="AA93" s="411">
        <f>計分版!K$13</f>
        <v>6.9999999999999996E-10</v>
      </c>
      <c r="AB93" s="411">
        <f>計分版!L$13</f>
        <v>8.0000000000000003E-10</v>
      </c>
      <c r="AC93" s="411">
        <f>計分版!M$13</f>
        <v>8.9999999999999999E-10</v>
      </c>
      <c r="AD93" s="411">
        <f>計分版!N$13</f>
        <v>9.5000000000000003E-10</v>
      </c>
      <c r="AF93" s="413" t="s">
        <v>2308</v>
      </c>
      <c r="AG93" s="413" t="s">
        <v>2309</v>
      </c>
    </row>
    <row r="94" spans="1:39">
      <c r="A94" s="2" t="s">
        <v>401</v>
      </c>
      <c r="B94" s="2" t="s">
        <v>491</v>
      </c>
      <c r="C94" s="26" t="s">
        <v>189</v>
      </c>
      <c r="D94" s="19"/>
      <c r="E94" s="419">
        <v>3</v>
      </c>
      <c r="F94" s="419">
        <v>3</v>
      </c>
      <c r="G94" s="419">
        <v>2</v>
      </c>
      <c r="H94" s="419">
        <v>2</v>
      </c>
      <c r="I94" s="419">
        <v>3</v>
      </c>
      <c r="J94" s="419">
        <v>3</v>
      </c>
      <c r="L94" s="411">
        <f t="shared" si="31"/>
        <v>0</v>
      </c>
      <c r="M94" s="411">
        <f t="shared" si="32"/>
        <v>0</v>
      </c>
      <c r="N94" s="411">
        <f t="shared" si="33"/>
        <v>0</v>
      </c>
      <c r="O94" s="411">
        <f t="shared" si="34"/>
        <v>0</v>
      </c>
      <c r="P94" s="413">
        <f t="shared" si="35"/>
        <v>0</v>
      </c>
      <c r="Q94" s="413">
        <f t="shared" si="36"/>
        <v>0</v>
      </c>
      <c r="S94" s="78">
        <f t="shared" si="30"/>
        <v>0</v>
      </c>
      <c r="U94" s="411">
        <f>計分版!E$13</f>
        <v>1E-10</v>
      </c>
      <c r="V94" s="411">
        <f>計分版!F$13</f>
        <v>2.0000000000000001E-10</v>
      </c>
      <c r="W94" s="411">
        <f>計分版!G$13</f>
        <v>3E-10</v>
      </c>
      <c r="X94" s="411">
        <f>計分版!H$13</f>
        <v>4.0000000000000001E-10</v>
      </c>
      <c r="Y94" s="411">
        <f>計分版!I$13</f>
        <v>5.0000000000000003E-10</v>
      </c>
      <c r="Z94" s="411">
        <f>計分版!J$13</f>
        <v>6E-10</v>
      </c>
      <c r="AA94" s="411">
        <f>計分版!K$13</f>
        <v>6.9999999999999996E-10</v>
      </c>
      <c r="AB94" s="411">
        <f>計分版!L$13</f>
        <v>8.0000000000000003E-10</v>
      </c>
      <c r="AC94" s="411">
        <f>計分版!M$13</f>
        <v>8.9999999999999999E-10</v>
      </c>
      <c r="AD94" s="411">
        <f>計分版!N$13</f>
        <v>9.5000000000000003E-10</v>
      </c>
      <c r="AF94" s="413" t="s">
        <v>2308</v>
      </c>
      <c r="AG94" s="413" t="s">
        <v>2309</v>
      </c>
    </row>
    <row r="95" spans="1:39">
      <c r="A95" s="2" t="s">
        <v>402</v>
      </c>
      <c r="B95" s="2" t="s">
        <v>492</v>
      </c>
      <c r="C95" s="26" t="s">
        <v>548</v>
      </c>
      <c r="D95" s="19"/>
      <c r="E95" s="419">
        <v>3</v>
      </c>
      <c r="F95" s="419">
        <v>3</v>
      </c>
      <c r="G95" s="419">
        <v>2</v>
      </c>
      <c r="H95" s="419">
        <v>2</v>
      </c>
      <c r="I95" s="419">
        <v>3</v>
      </c>
      <c r="J95" s="419">
        <v>3</v>
      </c>
      <c r="L95" s="411">
        <f t="shared" si="31"/>
        <v>0</v>
      </c>
      <c r="M95" s="411">
        <f t="shared" si="32"/>
        <v>0</v>
      </c>
      <c r="N95" s="411">
        <f t="shared" si="33"/>
        <v>0</v>
      </c>
      <c r="O95" s="411">
        <f t="shared" si="34"/>
        <v>0</v>
      </c>
      <c r="P95" s="413">
        <f t="shared" si="35"/>
        <v>0</v>
      </c>
      <c r="Q95" s="413">
        <f t="shared" si="36"/>
        <v>0</v>
      </c>
      <c r="S95" s="78">
        <f t="shared" si="30"/>
        <v>0</v>
      </c>
      <c r="U95" s="411">
        <f>計分版!E$13</f>
        <v>1E-10</v>
      </c>
      <c r="V95" s="411">
        <f>計分版!F$13</f>
        <v>2.0000000000000001E-10</v>
      </c>
      <c r="W95" s="411">
        <f>計分版!G$13</f>
        <v>3E-10</v>
      </c>
      <c r="X95" s="411">
        <f>計分版!H$13</f>
        <v>4.0000000000000001E-10</v>
      </c>
      <c r="Y95" s="411">
        <f>計分版!I$13</f>
        <v>5.0000000000000003E-10</v>
      </c>
      <c r="Z95" s="411">
        <f>計分版!J$13</f>
        <v>6E-10</v>
      </c>
      <c r="AA95" s="411">
        <f>計分版!K$13</f>
        <v>6.9999999999999996E-10</v>
      </c>
      <c r="AB95" s="411">
        <f>計分版!L$13</f>
        <v>8.0000000000000003E-10</v>
      </c>
      <c r="AC95" s="411">
        <f>計分版!M$13</f>
        <v>8.9999999999999999E-10</v>
      </c>
      <c r="AD95" s="411">
        <f>計分版!N$13</f>
        <v>9.5000000000000003E-10</v>
      </c>
      <c r="AF95" s="413" t="s">
        <v>2308</v>
      </c>
      <c r="AG95" s="413" t="s">
        <v>2309</v>
      </c>
    </row>
    <row r="96" spans="1:39">
      <c r="A96" s="2" t="s">
        <v>403</v>
      </c>
      <c r="B96" s="2" t="s">
        <v>493</v>
      </c>
      <c r="C96" s="26" t="s">
        <v>189</v>
      </c>
      <c r="D96" s="19"/>
      <c r="E96" s="419">
        <v>3</v>
      </c>
      <c r="F96" s="419">
        <v>3</v>
      </c>
      <c r="G96" s="419">
        <v>2</v>
      </c>
      <c r="H96" s="419">
        <v>2</v>
      </c>
      <c r="I96" s="419">
        <v>3</v>
      </c>
      <c r="J96" s="419">
        <v>3</v>
      </c>
      <c r="L96" s="411">
        <f t="shared" si="31"/>
        <v>0</v>
      </c>
      <c r="M96" s="411">
        <f t="shared" si="32"/>
        <v>0</v>
      </c>
      <c r="N96" s="411">
        <f t="shared" si="33"/>
        <v>0</v>
      </c>
      <c r="O96" s="411">
        <f t="shared" si="34"/>
        <v>0</v>
      </c>
      <c r="P96" s="413">
        <f t="shared" si="35"/>
        <v>0</v>
      </c>
      <c r="Q96" s="413">
        <f t="shared" si="36"/>
        <v>0</v>
      </c>
      <c r="S96" s="78">
        <f t="shared" si="30"/>
        <v>0</v>
      </c>
      <c r="U96" s="411">
        <f>計分版!E$13</f>
        <v>1E-10</v>
      </c>
      <c r="V96" s="411">
        <f>計分版!F$13</f>
        <v>2.0000000000000001E-10</v>
      </c>
      <c r="W96" s="411">
        <f>計分版!G$13</f>
        <v>3E-10</v>
      </c>
      <c r="X96" s="411">
        <f>計分版!H$13</f>
        <v>4.0000000000000001E-10</v>
      </c>
      <c r="Y96" s="411">
        <f>計分版!I$13</f>
        <v>5.0000000000000003E-10</v>
      </c>
      <c r="Z96" s="411">
        <f>計分版!J$13</f>
        <v>6E-10</v>
      </c>
      <c r="AA96" s="411">
        <f>計分版!K$13</f>
        <v>6.9999999999999996E-10</v>
      </c>
      <c r="AB96" s="411">
        <f>計分版!L$13</f>
        <v>8.0000000000000003E-10</v>
      </c>
      <c r="AC96" s="411">
        <f>計分版!M$13</f>
        <v>8.9999999999999999E-10</v>
      </c>
      <c r="AD96" s="411">
        <f>計分版!N$13</f>
        <v>9.5000000000000003E-10</v>
      </c>
      <c r="AF96" s="413" t="s">
        <v>2308</v>
      </c>
      <c r="AG96" s="413" t="s">
        <v>2309</v>
      </c>
    </row>
    <row r="97" spans="1:33">
      <c r="A97" s="2" t="s">
        <v>404</v>
      </c>
      <c r="B97" s="2" t="s">
        <v>494</v>
      </c>
      <c r="C97" s="26" t="s">
        <v>189</v>
      </c>
      <c r="D97" s="19"/>
      <c r="E97" s="419">
        <v>3</v>
      </c>
      <c r="F97" s="419">
        <v>3</v>
      </c>
      <c r="G97" s="419">
        <v>2</v>
      </c>
      <c r="H97" s="419">
        <v>2</v>
      </c>
      <c r="I97" s="419">
        <v>3</v>
      </c>
      <c r="J97" s="419">
        <v>3</v>
      </c>
      <c r="L97" s="411">
        <f t="shared" si="31"/>
        <v>0</v>
      </c>
      <c r="M97" s="411">
        <f t="shared" si="32"/>
        <v>0</v>
      </c>
      <c r="N97" s="411">
        <f t="shared" si="33"/>
        <v>0</v>
      </c>
      <c r="O97" s="411">
        <f t="shared" si="34"/>
        <v>0</v>
      </c>
      <c r="P97" s="413">
        <f t="shared" si="35"/>
        <v>0</v>
      </c>
      <c r="Q97" s="413">
        <f t="shared" si="36"/>
        <v>0</v>
      </c>
      <c r="S97" s="78">
        <f t="shared" si="30"/>
        <v>0</v>
      </c>
      <c r="U97" s="411">
        <f>計分版!E$13</f>
        <v>1E-10</v>
      </c>
      <c r="V97" s="411">
        <f>計分版!F$13</f>
        <v>2.0000000000000001E-10</v>
      </c>
      <c r="W97" s="411">
        <f>計分版!G$13</f>
        <v>3E-10</v>
      </c>
      <c r="X97" s="411">
        <f>計分版!H$13</f>
        <v>4.0000000000000001E-10</v>
      </c>
      <c r="Y97" s="411">
        <f>計分版!I$13</f>
        <v>5.0000000000000003E-10</v>
      </c>
      <c r="Z97" s="411">
        <f>計分版!J$13</f>
        <v>6E-10</v>
      </c>
      <c r="AA97" s="411">
        <f>計分版!K$13</f>
        <v>6.9999999999999996E-10</v>
      </c>
      <c r="AB97" s="411">
        <f>計分版!L$13</f>
        <v>8.0000000000000003E-10</v>
      </c>
      <c r="AC97" s="411">
        <f>計分版!M$13</f>
        <v>8.9999999999999999E-10</v>
      </c>
      <c r="AD97" s="411">
        <f>計分版!N$13</f>
        <v>9.5000000000000003E-10</v>
      </c>
      <c r="AF97" s="413" t="s">
        <v>2308</v>
      </c>
      <c r="AG97" s="413" t="s">
        <v>2309</v>
      </c>
    </row>
    <row r="98" spans="1:33">
      <c r="A98" s="2" t="s">
        <v>405</v>
      </c>
      <c r="B98" s="2" t="s">
        <v>495</v>
      </c>
      <c r="C98" s="26" t="s">
        <v>189</v>
      </c>
      <c r="D98" s="19"/>
      <c r="E98" s="419">
        <v>3</v>
      </c>
      <c r="F98" s="419">
        <v>3</v>
      </c>
      <c r="G98" s="419">
        <v>2</v>
      </c>
      <c r="H98" s="419">
        <v>2</v>
      </c>
      <c r="I98" s="419">
        <v>3</v>
      </c>
      <c r="J98" s="419">
        <v>3</v>
      </c>
      <c r="L98" s="411">
        <f t="shared" si="31"/>
        <v>0</v>
      </c>
      <c r="M98" s="411">
        <f t="shared" si="32"/>
        <v>0</v>
      </c>
      <c r="N98" s="411">
        <f t="shared" si="33"/>
        <v>0</v>
      </c>
      <c r="O98" s="411">
        <f t="shared" si="34"/>
        <v>0</v>
      </c>
      <c r="P98" s="413">
        <f t="shared" si="35"/>
        <v>0</v>
      </c>
      <c r="Q98" s="413">
        <f t="shared" si="36"/>
        <v>0</v>
      </c>
      <c r="S98" s="78">
        <f t="shared" si="30"/>
        <v>0</v>
      </c>
      <c r="U98" s="411">
        <f>計分版!E$13</f>
        <v>1E-10</v>
      </c>
      <c r="V98" s="411">
        <f>計分版!F$13</f>
        <v>2.0000000000000001E-10</v>
      </c>
      <c r="W98" s="411">
        <f>計分版!G$13</f>
        <v>3E-10</v>
      </c>
      <c r="X98" s="411">
        <f>計分版!H$13</f>
        <v>4.0000000000000001E-10</v>
      </c>
      <c r="Y98" s="411">
        <f>計分版!I$13</f>
        <v>5.0000000000000003E-10</v>
      </c>
      <c r="Z98" s="411">
        <f>計分版!J$13</f>
        <v>6E-10</v>
      </c>
      <c r="AA98" s="411">
        <f>計分版!K$13</f>
        <v>6.9999999999999996E-10</v>
      </c>
      <c r="AB98" s="411">
        <f>計分版!L$13</f>
        <v>8.0000000000000003E-10</v>
      </c>
      <c r="AC98" s="411">
        <f>計分版!M$13</f>
        <v>8.9999999999999999E-10</v>
      </c>
      <c r="AD98" s="411">
        <f>計分版!N$13</f>
        <v>9.5000000000000003E-10</v>
      </c>
      <c r="AF98" s="413" t="s">
        <v>2308</v>
      </c>
      <c r="AG98" s="413" t="s">
        <v>2309</v>
      </c>
    </row>
    <row r="99" spans="1:33">
      <c r="A99" s="2" t="s">
        <v>406</v>
      </c>
      <c r="B99" s="2" t="s">
        <v>496</v>
      </c>
      <c r="C99" s="26" t="s">
        <v>189</v>
      </c>
      <c r="D99" s="19"/>
      <c r="E99" s="419">
        <v>3</v>
      </c>
      <c r="F99" s="419">
        <v>3</v>
      </c>
      <c r="G99" s="419">
        <v>2</v>
      </c>
      <c r="H99" s="419">
        <v>2</v>
      </c>
      <c r="I99" s="419">
        <v>3</v>
      </c>
      <c r="J99" s="419">
        <v>3</v>
      </c>
      <c r="L99" s="411">
        <f t="shared" si="31"/>
        <v>0</v>
      </c>
      <c r="M99" s="411">
        <f t="shared" si="32"/>
        <v>0</v>
      </c>
      <c r="N99" s="411">
        <f t="shared" si="33"/>
        <v>0</v>
      </c>
      <c r="O99" s="411">
        <f t="shared" si="34"/>
        <v>0</v>
      </c>
      <c r="P99" s="413">
        <f t="shared" si="35"/>
        <v>0</v>
      </c>
      <c r="Q99" s="413">
        <f t="shared" si="36"/>
        <v>0</v>
      </c>
      <c r="S99" s="78">
        <f t="shared" si="30"/>
        <v>0</v>
      </c>
      <c r="U99" s="411">
        <f>計分版!E$13</f>
        <v>1E-10</v>
      </c>
      <c r="V99" s="411">
        <f>計分版!F$13</f>
        <v>2.0000000000000001E-10</v>
      </c>
      <c r="W99" s="411">
        <f>計分版!G$13</f>
        <v>3E-10</v>
      </c>
      <c r="X99" s="411">
        <f>計分版!H$13</f>
        <v>4.0000000000000001E-10</v>
      </c>
      <c r="Y99" s="411">
        <f>計分版!I$13</f>
        <v>5.0000000000000003E-10</v>
      </c>
      <c r="Z99" s="411">
        <f>計分版!J$13</f>
        <v>6E-10</v>
      </c>
      <c r="AA99" s="411">
        <f>計分版!K$13</f>
        <v>6.9999999999999996E-10</v>
      </c>
      <c r="AB99" s="411">
        <f>計分版!L$13</f>
        <v>8.0000000000000003E-10</v>
      </c>
      <c r="AC99" s="411">
        <f>計分版!M$13</f>
        <v>8.9999999999999999E-10</v>
      </c>
      <c r="AD99" s="411">
        <f>計分版!N$13</f>
        <v>9.5000000000000003E-10</v>
      </c>
      <c r="AF99" s="413" t="s">
        <v>2308</v>
      </c>
      <c r="AG99" s="413" t="s">
        <v>2309</v>
      </c>
    </row>
    <row r="100" spans="1:33">
      <c r="A100" s="2" t="s">
        <v>407</v>
      </c>
      <c r="B100" s="2" t="s">
        <v>497</v>
      </c>
      <c r="C100" s="26" t="s">
        <v>189</v>
      </c>
      <c r="D100" s="19"/>
      <c r="E100" s="419">
        <v>3</v>
      </c>
      <c r="F100" s="419">
        <v>3</v>
      </c>
      <c r="G100" s="419">
        <v>2</v>
      </c>
      <c r="H100" s="419">
        <v>2</v>
      </c>
      <c r="I100" s="419">
        <v>3</v>
      </c>
      <c r="J100" s="419">
        <v>3</v>
      </c>
      <c r="L100" s="411">
        <f t="shared" si="31"/>
        <v>0</v>
      </c>
      <c r="M100" s="411">
        <f t="shared" si="32"/>
        <v>0</v>
      </c>
      <c r="N100" s="411">
        <f t="shared" si="33"/>
        <v>0</v>
      </c>
      <c r="O100" s="411">
        <f t="shared" si="34"/>
        <v>0</v>
      </c>
      <c r="P100" s="413">
        <f t="shared" si="35"/>
        <v>0</v>
      </c>
      <c r="Q100" s="413">
        <f t="shared" si="36"/>
        <v>0</v>
      </c>
      <c r="S100" s="78">
        <f t="shared" si="30"/>
        <v>0</v>
      </c>
      <c r="U100" s="411">
        <f>計分版!E$13</f>
        <v>1E-10</v>
      </c>
      <c r="V100" s="411">
        <f>計分版!F$13</f>
        <v>2.0000000000000001E-10</v>
      </c>
      <c r="W100" s="411">
        <f>計分版!G$13</f>
        <v>3E-10</v>
      </c>
      <c r="X100" s="411">
        <f>計分版!H$13</f>
        <v>4.0000000000000001E-10</v>
      </c>
      <c r="Y100" s="411">
        <f>計分版!I$13</f>
        <v>5.0000000000000003E-10</v>
      </c>
      <c r="Z100" s="411">
        <f>計分版!J$13</f>
        <v>6E-10</v>
      </c>
      <c r="AA100" s="411">
        <f>計分版!K$13</f>
        <v>6.9999999999999996E-10</v>
      </c>
      <c r="AB100" s="411">
        <f>計分版!L$13</f>
        <v>8.0000000000000003E-10</v>
      </c>
      <c r="AC100" s="411">
        <f>計分版!M$13</f>
        <v>8.9999999999999999E-10</v>
      </c>
      <c r="AD100" s="411">
        <f>計分版!N$13</f>
        <v>9.5000000000000003E-10</v>
      </c>
      <c r="AF100" s="413" t="s">
        <v>2308</v>
      </c>
      <c r="AG100" s="413" t="s">
        <v>2309</v>
      </c>
    </row>
    <row r="101" spans="1:33">
      <c r="A101" s="2" t="s">
        <v>408</v>
      </c>
      <c r="B101" s="2" t="s">
        <v>498</v>
      </c>
      <c r="C101" s="26" t="s">
        <v>189</v>
      </c>
      <c r="D101" s="19"/>
      <c r="E101" s="419">
        <v>3</v>
      </c>
      <c r="F101" s="419">
        <v>3</v>
      </c>
      <c r="G101" s="419">
        <v>2</v>
      </c>
      <c r="H101" s="419">
        <v>2</v>
      </c>
      <c r="I101" s="419">
        <v>3</v>
      </c>
      <c r="J101" s="419">
        <v>3</v>
      </c>
      <c r="L101" s="411">
        <f t="shared" si="31"/>
        <v>0</v>
      </c>
      <c r="M101" s="411">
        <f t="shared" si="32"/>
        <v>0</v>
      </c>
      <c r="N101" s="411">
        <f t="shared" si="33"/>
        <v>0</v>
      </c>
      <c r="O101" s="411">
        <f t="shared" si="34"/>
        <v>0</v>
      </c>
      <c r="P101" s="413">
        <f t="shared" si="35"/>
        <v>0</v>
      </c>
      <c r="Q101" s="413">
        <f t="shared" si="36"/>
        <v>0</v>
      </c>
      <c r="S101" s="78">
        <f t="shared" si="30"/>
        <v>0</v>
      </c>
      <c r="U101" s="411">
        <f>計分版!E$13</f>
        <v>1E-10</v>
      </c>
      <c r="V101" s="411">
        <f>計分版!F$13</f>
        <v>2.0000000000000001E-10</v>
      </c>
      <c r="W101" s="411">
        <f>計分版!G$13</f>
        <v>3E-10</v>
      </c>
      <c r="X101" s="411">
        <f>計分版!H$13</f>
        <v>4.0000000000000001E-10</v>
      </c>
      <c r="Y101" s="411">
        <f>計分版!I$13</f>
        <v>5.0000000000000003E-10</v>
      </c>
      <c r="Z101" s="411">
        <f>計分版!J$13</f>
        <v>6E-10</v>
      </c>
      <c r="AA101" s="411">
        <f>計分版!K$13</f>
        <v>6.9999999999999996E-10</v>
      </c>
      <c r="AB101" s="411">
        <f>計分版!L$13</f>
        <v>8.0000000000000003E-10</v>
      </c>
      <c r="AC101" s="411">
        <f>計分版!M$13</f>
        <v>8.9999999999999999E-10</v>
      </c>
      <c r="AD101" s="411">
        <f>計分版!N$13</f>
        <v>9.5000000000000003E-10</v>
      </c>
      <c r="AF101" s="413" t="s">
        <v>2308</v>
      </c>
      <c r="AG101" s="413" t="s">
        <v>2309</v>
      </c>
    </row>
    <row r="102" spans="1:33">
      <c r="A102" s="2" t="s">
        <v>409</v>
      </c>
      <c r="B102" s="2" t="s">
        <v>499</v>
      </c>
      <c r="C102" s="26" t="s">
        <v>189</v>
      </c>
      <c r="D102" s="19"/>
      <c r="E102" s="419">
        <v>3</v>
      </c>
      <c r="F102" s="419">
        <v>3</v>
      </c>
      <c r="G102" s="419">
        <v>2</v>
      </c>
      <c r="H102" s="419">
        <v>2</v>
      </c>
      <c r="I102" s="419">
        <v>3</v>
      </c>
      <c r="J102" s="419">
        <v>3</v>
      </c>
      <c r="L102" s="411">
        <f t="shared" si="31"/>
        <v>0</v>
      </c>
      <c r="M102" s="411">
        <f t="shared" si="32"/>
        <v>0</v>
      </c>
      <c r="N102" s="411">
        <f t="shared" si="33"/>
        <v>0</v>
      </c>
      <c r="O102" s="411">
        <f t="shared" si="34"/>
        <v>0</v>
      </c>
      <c r="P102" s="413">
        <f t="shared" si="35"/>
        <v>0</v>
      </c>
      <c r="Q102" s="413">
        <f t="shared" si="36"/>
        <v>0</v>
      </c>
      <c r="S102" s="78">
        <f t="shared" si="30"/>
        <v>0</v>
      </c>
      <c r="U102" s="411">
        <f>計分版!E$13</f>
        <v>1E-10</v>
      </c>
      <c r="V102" s="411">
        <f>計分版!F$13</f>
        <v>2.0000000000000001E-10</v>
      </c>
      <c r="W102" s="411">
        <f>計分版!G$13</f>
        <v>3E-10</v>
      </c>
      <c r="X102" s="411">
        <f>計分版!H$13</f>
        <v>4.0000000000000001E-10</v>
      </c>
      <c r="Y102" s="411">
        <f>計分版!I$13</f>
        <v>5.0000000000000003E-10</v>
      </c>
      <c r="Z102" s="411">
        <f>計分版!J$13</f>
        <v>6E-10</v>
      </c>
      <c r="AA102" s="411">
        <f>計分版!K$13</f>
        <v>6.9999999999999996E-10</v>
      </c>
      <c r="AB102" s="411">
        <f>計分版!L$13</f>
        <v>8.0000000000000003E-10</v>
      </c>
      <c r="AC102" s="411">
        <f>計分版!M$13</f>
        <v>8.9999999999999999E-10</v>
      </c>
      <c r="AD102" s="411">
        <f>計分版!N$13</f>
        <v>9.5000000000000003E-10</v>
      </c>
      <c r="AF102" s="413" t="s">
        <v>2308</v>
      </c>
      <c r="AG102" s="413" t="s">
        <v>2309</v>
      </c>
    </row>
    <row r="103" spans="1:33">
      <c r="A103" s="2" t="s">
        <v>410</v>
      </c>
      <c r="B103" s="2" t="s">
        <v>500</v>
      </c>
      <c r="C103" s="26" t="s">
        <v>189</v>
      </c>
      <c r="D103" s="19"/>
      <c r="E103" s="419">
        <v>3</v>
      </c>
      <c r="F103" s="419">
        <v>3</v>
      </c>
      <c r="G103" s="419">
        <v>2</v>
      </c>
      <c r="H103" s="419">
        <v>2</v>
      </c>
      <c r="I103" s="419">
        <v>3</v>
      </c>
      <c r="J103" s="419">
        <v>3</v>
      </c>
      <c r="L103" s="411">
        <f t="shared" si="31"/>
        <v>0</v>
      </c>
      <c r="M103" s="411">
        <f t="shared" si="32"/>
        <v>0</v>
      </c>
      <c r="N103" s="411">
        <f t="shared" si="33"/>
        <v>0</v>
      </c>
      <c r="O103" s="411">
        <f t="shared" si="34"/>
        <v>0</v>
      </c>
      <c r="P103" s="413">
        <f t="shared" si="35"/>
        <v>0</v>
      </c>
      <c r="Q103" s="413">
        <f t="shared" si="36"/>
        <v>0</v>
      </c>
      <c r="S103" s="78">
        <f t="shared" si="30"/>
        <v>0</v>
      </c>
      <c r="U103" s="411">
        <f>計分版!E$13</f>
        <v>1E-10</v>
      </c>
      <c r="V103" s="411">
        <f>計分版!F$13</f>
        <v>2.0000000000000001E-10</v>
      </c>
      <c r="W103" s="411">
        <f>計分版!G$13</f>
        <v>3E-10</v>
      </c>
      <c r="X103" s="411">
        <f>計分版!H$13</f>
        <v>4.0000000000000001E-10</v>
      </c>
      <c r="Y103" s="411">
        <f>計分版!I$13</f>
        <v>5.0000000000000003E-10</v>
      </c>
      <c r="Z103" s="411">
        <f>計分版!J$13</f>
        <v>6E-10</v>
      </c>
      <c r="AA103" s="411">
        <f>計分版!K$13</f>
        <v>6.9999999999999996E-10</v>
      </c>
      <c r="AB103" s="411">
        <f>計分版!L$13</f>
        <v>8.0000000000000003E-10</v>
      </c>
      <c r="AC103" s="411">
        <f>計分版!M$13</f>
        <v>8.9999999999999999E-10</v>
      </c>
      <c r="AD103" s="411">
        <f>計分版!N$13</f>
        <v>9.5000000000000003E-10</v>
      </c>
      <c r="AF103" s="413" t="s">
        <v>2308</v>
      </c>
      <c r="AG103" s="413" t="s">
        <v>2309</v>
      </c>
    </row>
    <row r="104" spans="1:33">
      <c r="A104" s="2" t="s">
        <v>411</v>
      </c>
      <c r="B104" s="2" t="s">
        <v>501</v>
      </c>
      <c r="C104" s="26" t="s">
        <v>189</v>
      </c>
      <c r="D104" s="19"/>
      <c r="E104" s="419">
        <v>3</v>
      </c>
      <c r="F104" s="419">
        <v>3</v>
      </c>
      <c r="G104" s="419">
        <v>2</v>
      </c>
      <c r="H104" s="419">
        <v>2</v>
      </c>
      <c r="I104" s="419">
        <v>3</v>
      </c>
      <c r="J104" s="419">
        <v>3</v>
      </c>
      <c r="L104" s="411">
        <f t="shared" si="31"/>
        <v>0</v>
      </c>
      <c r="M104" s="411">
        <f t="shared" si="32"/>
        <v>0</v>
      </c>
      <c r="N104" s="411">
        <f t="shared" si="33"/>
        <v>0</v>
      </c>
      <c r="O104" s="411">
        <f t="shared" si="34"/>
        <v>0</v>
      </c>
      <c r="P104" s="413">
        <f t="shared" si="35"/>
        <v>0</v>
      </c>
      <c r="Q104" s="413">
        <f t="shared" si="36"/>
        <v>0</v>
      </c>
      <c r="S104" s="78">
        <f t="shared" si="30"/>
        <v>0</v>
      </c>
      <c r="U104" s="411">
        <f>計分版!E$13</f>
        <v>1E-10</v>
      </c>
      <c r="V104" s="411">
        <f>計分版!F$13</f>
        <v>2.0000000000000001E-10</v>
      </c>
      <c r="W104" s="411">
        <f>計分版!G$13</f>
        <v>3E-10</v>
      </c>
      <c r="X104" s="411">
        <f>計分版!H$13</f>
        <v>4.0000000000000001E-10</v>
      </c>
      <c r="Y104" s="411">
        <f>計分版!I$13</f>
        <v>5.0000000000000003E-10</v>
      </c>
      <c r="Z104" s="411">
        <f>計分版!J$13</f>
        <v>6E-10</v>
      </c>
      <c r="AA104" s="411">
        <f>計分版!K$13</f>
        <v>6.9999999999999996E-10</v>
      </c>
      <c r="AB104" s="411">
        <f>計分版!L$13</f>
        <v>8.0000000000000003E-10</v>
      </c>
      <c r="AC104" s="411">
        <f>計分版!M$13</f>
        <v>8.9999999999999999E-10</v>
      </c>
      <c r="AD104" s="411">
        <f>計分版!N$13</f>
        <v>9.5000000000000003E-10</v>
      </c>
      <c r="AF104" s="413" t="s">
        <v>2308</v>
      </c>
      <c r="AG104" s="413" t="s">
        <v>2309</v>
      </c>
    </row>
    <row r="105" spans="1:33">
      <c r="A105" s="2" t="s">
        <v>412</v>
      </c>
      <c r="B105" s="2" t="s">
        <v>502</v>
      </c>
      <c r="C105" s="26" t="s">
        <v>548</v>
      </c>
      <c r="D105" s="19"/>
      <c r="E105" s="419">
        <v>3</v>
      </c>
      <c r="F105" s="419">
        <v>3</v>
      </c>
      <c r="G105" s="419">
        <v>2</v>
      </c>
      <c r="H105" s="419">
        <v>2</v>
      </c>
      <c r="I105" s="419">
        <v>3</v>
      </c>
      <c r="J105" s="419">
        <v>3</v>
      </c>
      <c r="L105" s="411">
        <f t="shared" si="31"/>
        <v>0</v>
      </c>
      <c r="M105" s="411">
        <f t="shared" si="32"/>
        <v>0</v>
      </c>
      <c r="N105" s="411">
        <f t="shared" si="33"/>
        <v>0</v>
      </c>
      <c r="O105" s="411">
        <f t="shared" si="34"/>
        <v>0</v>
      </c>
      <c r="P105" s="413">
        <f t="shared" si="35"/>
        <v>0</v>
      </c>
      <c r="Q105" s="413">
        <f t="shared" si="36"/>
        <v>0</v>
      </c>
      <c r="S105" s="78">
        <f t="shared" si="30"/>
        <v>0</v>
      </c>
      <c r="U105" s="411">
        <f>計分版!E$13</f>
        <v>1E-10</v>
      </c>
      <c r="V105" s="411">
        <f>計分版!F$13</f>
        <v>2.0000000000000001E-10</v>
      </c>
      <c r="W105" s="411">
        <f>計分版!G$13</f>
        <v>3E-10</v>
      </c>
      <c r="X105" s="411">
        <f>計分版!H$13</f>
        <v>4.0000000000000001E-10</v>
      </c>
      <c r="Y105" s="411">
        <f>計分版!I$13</f>
        <v>5.0000000000000003E-10</v>
      </c>
      <c r="Z105" s="411">
        <f>計分版!J$13</f>
        <v>6E-10</v>
      </c>
      <c r="AA105" s="411">
        <f>計分版!K$13</f>
        <v>6.9999999999999996E-10</v>
      </c>
      <c r="AB105" s="411">
        <f>計分版!L$13</f>
        <v>8.0000000000000003E-10</v>
      </c>
      <c r="AC105" s="411">
        <f>計分版!M$13</f>
        <v>8.9999999999999999E-10</v>
      </c>
      <c r="AD105" s="411">
        <f>計分版!N$13</f>
        <v>9.5000000000000003E-10</v>
      </c>
      <c r="AF105" s="413" t="s">
        <v>2308</v>
      </c>
      <c r="AG105" s="413" t="s">
        <v>2309</v>
      </c>
    </row>
    <row r="106" spans="1:33">
      <c r="A106" s="2" t="s">
        <v>413</v>
      </c>
      <c r="B106" s="2" t="s">
        <v>503</v>
      </c>
      <c r="C106" s="26" t="s">
        <v>548</v>
      </c>
      <c r="D106" s="19"/>
      <c r="E106" s="419">
        <v>3</v>
      </c>
      <c r="F106" s="419">
        <v>3</v>
      </c>
      <c r="G106" s="419">
        <v>2</v>
      </c>
      <c r="H106" s="419">
        <v>2</v>
      </c>
      <c r="I106" s="419">
        <v>3</v>
      </c>
      <c r="J106" s="419">
        <v>3</v>
      </c>
      <c r="L106" s="411">
        <f t="shared" si="31"/>
        <v>0</v>
      </c>
      <c r="M106" s="411">
        <f t="shared" si="32"/>
        <v>0</v>
      </c>
      <c r="N106" s="411">
        <f t="shared" si="33"/>
        <v>0</v>
      </c>
      <c r="O106" s="411">
        <f t="shared" si="34"/>
        <v>0</v>
      </c>
      <c r="P106" s="413">
        <f t="shared" si="35"/>
        <v>0</v>
      </c>
      <c r="Q106" s="413">
        <f t="shared" si="36"/>
        <v>0</v>
      </c>
      <c r="S106" s="78">
        <f t="shared" si="30"/>
        <v>0</v>
      </c>
      <c r="U106" s="411">
        <f>計分版!E$13</f>
        <v>1E-10</v>
      </c>
      <c r="V106" s="411">
        <f>計分版!F$13</f>
        <v>2.0000000000000001E-10</v>
      </c>
      <c r="W106" s="411">
        <f>計分版!G$13</f>
        <v>3E-10</v>
      </c>
      <c r="X106" s="411">
        <f>計分版!H$13</f>
        <v>4.0000000000000001E-10</v>
      </c>
      <c r="Y106" s="411">
        <f>計分版!I$13</f>
        <v>5.0000000000000003E-10</v>
      </c>
      <c r="Z106" s="411">
        <f>計分版!J$13</f>
        <v>6E-10</v>
      </c>
      <c r="AA106" s="411">
        <f>計分版!K$13</f>
        <v>6.9999999999999996E-10</v>
      </c>
      <c r="AB106" s="411">
        <f>計分版!L$13</f>
        <v>8.0000000000000003E-10</v>
      </c>
      <c r="AC106" s="411">
        <f>計分版!M$13</f>
        <v>8.9999999999999999E-10</v>
      </c>
      <c r="AD106" s="411">
        <f>計分版!N$13</f>
        <v>9.5000000000000003E-10</v>
      </c>
      <c r="AF106" s="413" t="s">
        <v>2308</v>
      </c>
      <c r="AG106" s="413" t="s">
        <v>2309</v>
      </c>
    </row>
    <row r="107" spans="1:33">
      <c r="A107" s="2" t="s">
        <v>414</v>
      </c>
      <c r="B107" s="2" t="s">
        <v>504</v>
      </c>
      <c r="C107" s="26" t="s">
        <v>548</v>
      </c>
      <c r="D107" s="19"/>
      <c r="E107" s="419">
        <v>3</v>
      </c>
      <c r="F107" s="419">
        <v>3</v>
      </c>
      <c r="G107" s="419">
        <v>2</v>
      </c>
      <c r="H107" s="419">
        <v>2</v>
      </c>
      <c r="I107" s="419">
        <v>3</v>
      </c>
      <c r="J107" s="419">
        <v>3</v>
      </c>
      <c r="L107" s="411">
        <f t="shared" si="31"/>
        <v>0</v>
      </c>
      <c r="M107" s="411">
        <f t="shared" si="32"/>
        <v>0</v>
      </c>
      <c r="N107" s="411">
        <f t="shared" si="33"/>
        <v>0</v>
      </c>
      <c r="O107" s="411">
        <f t="shared" si="34"/>
        <v>0</v>
      </c>
      <c r="P107" s="413">
        <f t="shared" si="35"/>
        <v>0</v>
      </c>
      <c r="Q107" s="413">
        <f t="shared" si="36"/>
        <v>0</v>
      </c>
      <c r="S107" s="78">
        <f t="shared" si="30"/>
        <v>0</v>
      </c>
      <c r="U107" s="411">
        <f>計分版!E$13</f>
        <v>1E-10</v>
      </c>
      <c r="V107" s="411">
        <f>計分版!F$13</f>
        <v>2.0000000000000001E-10</v>
      </c>
      <c r="W107" s="411">
        <f>計分版!G$13</f>
        <v>3E-10</v>
      </c>
      <c r="X107" s="411">
        <f>計分版!H$13</f>
        <v>4.0000000000000001E-10</v>
      </c>
      <c r="Y107" s="411">
        <f>計分版!I$13</f>
        <v>5.0000000000000003E-10</v>
      </c>
      <c r="Z107" s="411">
        <f>計分版!J$13</f>
        <v>6E-10</v>
      </c>
      <c r="AA107" s="411">
        <f>計分版!K$13</f>
        <v>6.9999999999999996E-10</v>
      </c>
      <c r="AB107" s="411">
        <f>計分版!L$13</f>
        <v>8.0000000000000003E-10</v>
      </c>
      <c r="AC107" s="411">
        <f>計分版!M$13</f>
        <v>8.9999999999999999E-10</v>
      </c>
      <c r="AD107" s="411">
        <f>計分版!N$13</f>
        <v>9.5000000000000003E-10</v>
      </c>
      <c r="AF107" s="413" t="s">
        <v>2308</v>
      </c>
      <c r="AG107" s="413" t="s">
        <v>2309</v>
      </c>
    </row>
    <row r="108" spans="1:33">
      <c r="A108" s="2" t="s">
        <v>415</v>
      </c>
      <c r="B108" s="2" t="s">
        <v>505</v>
      </c>
      <c r="C108" s="26" t="s">
        <v>190</v>
      </c>
      <c r="D108" s="19"/>
      <c r="E108" s="419">
        <v>3</v>
      </c>
      <c r="F108" s="419">
        <v>3</v>
      </c>
      <c r="G108" s="419">
        <v>2</v>
      </c>
      <c r="H108" s="419">
        <v>2</v>
      </c>
      <c r="I108" s="419">
        <v>3</v>
      </c>
      <c r="J108" s="419">
        <v>3</v>
      </c>
      <c r="L108" s="411">
        <f t="shared" si="31"/>
        <v>0</v>
      </c>
      <c r="M108" s="411">
        <f t="shared" si="32"/>
        <v>0</v>
      </c>
      <c r="N108" s="411">
        <f t="shared" si="33"/>
        <v>0</v>
      </c>
      <c r="O108" s="411">
        <f t="shared" si="34"/>
        <v>0</v>
      </c>
      <c r="P108" s="413">
        <f t="shared" si="35"/>
        <v>0</v>
      </c>
      <c r="Q108" s="413">
        <f t="shared" si="36"/>
        <v>0</v>
      </c>
      <c r="S108" s="78">
        <f t="shared" si="30"/>
        <v>0</v>
      </c>
      <c r="U108" s="411">
        <f>計分版!E$13</f>
        <v>1E-10</v>
      </c>
      <c r="V108" s="411">
        <f>計分版!F$13</f>
        <v>2.0000000000000001E-10</v>
      </c>
      <c r="W108" s="411">
        <f>計分版!G$13</f>
        <v>3E-10</v>
      </c>
      <c r="X108" s="411">
        <f>計分版!H$13</f>
        <v>4.0000000000000001E-10</v>
      </c>
      <c r="Y108" s="411">
        <f>計分版!I$13</f>
        <v>5.0000000000000003E-10</v>
      </c>
      <c r="Z108" s="411">
        <f>計分版!J$13</f>
        <v>6E-10</v>
      </c>
      <c r="AA108" s="411">
        <f>計分版!K$13</f>
        <v>6.9999999999999996E-10</v>
      </c>
      <c r="AB108" s="411">
        <f>計分版!L$13</f>
        <v>8.0000000000000003E-10</v>
      </c>
      <c r="AC108" s="411">
        <f>計分版!M$13</f>
        <v>8.9999999999999999E-10</v>
      </c>
      <c r="AD108" s="411">
        <f>計分版!N$13</f>
        <v>9.5000000000000003E-10</v>
      </c>
      <c r="AF108" s="413" t="s">
        <v>2308</v>
      </c>
      <c r="AG108" s="413" t="s">
        <v>2309</v>
      </c>
    </row>
    <row r="109" spans="1:33">
      <c r="A109" s="2" t="s">
        <v>416</v>
      </c>
      <c r="B109" s="2" t="s">
        <v>506</v>
      </c>
      <c r="C109" s="26" t="s">
        <v>548</v>
      </c>
      <c r="D109" s="19"/>
      <c r="E109" s="419">
        <v>3</v>
      </c>
      <c r="F109" s="419">
        <v>3</v>
      </c>
      <c r="G109" s="419">
        <v>2</v>
      </c>
      <c r="H109" s="419">
        <v>2</v>
      </c>
      <c r="I109" s="419">
        <v>3</v>
      </c>
      <c r="J109" s="419">
        <v>3</v>
      </c>
      <c r="L109" s="411">
        <f t="shared" si="31"/>
        <v>0</v>
      </c>
      <c r="M109" s="411">
        <f t="shared" si="32"/>
        <v>0</v>
      </c>
      <c r="N109" s="411">
        <f t="shared" si="33"/>
        <v>0</v>
      </c>
      <c r="O109" s="411">
        <f t="shared" si="34"/>
        <v>0</v>
      </c>
      <c r="P109" s="413">
        <f t="shared" si="35"/>
        <v>0</v>
      </c>
      <c r="Q109" s="413">
        <f t="shared" si="36"/>
        <v>0</v>
      </c>
      <c r="S109" s="78">
        <f t="shared" si="30"/>
        <v>0</v>
      </c>
      <c r="T109" s="2"/>
      <c r="U109" s="411">
        <f>計分版!E$13</f>
        <v>1E-10</v>
      </c>
      <c r="V109" s="411">
        <f>計分版!F$13</f>
        <v>2.0000000000000001E-10</v>
      </c>
      <c r="W109" s="411">
        <f>計分版!G$13</f>
        <v>3E-10</v>
      </c>
      <c r="X109" s="411">
        <f>計分版!H$13</f>
        <v>4.0000000000000001E-10</v>
      </c>
      <c r="Y109" s="411">
        <f>計分版!I$13</f>
        <v>5.0000000000000003E-10</v>
      </c>
      <c r="Z109" s="411">
        <f>計分版!J$13</f>
        <v>6E-10</v>
      </c>
      <c r="AA109" s="411">
        <f>計分版!K$13</f>
        <v>6.9999999999999996E-10</v>
      </c>
      <c r="AB109" s="411">
        <f>計分版!L$13</f>
        <v>8.0000000000000003E-10</v>
      </c>
      <c r="AC109" s="411">
        <f>計分版!M$13</f>
        <v>8.9999999999999999E-10</v>
      </c>
      <c r="AD109" s="411">
        <f>計分版!N$13</f>
        <v>9.5000000000000003E-10</v>
      </c>
      <c r="AF109" s="413" t="s">
        <v>2308</v>
      </c>
      <c r="AG109" s="413" t="s">
        <v>2309</v>
      </c>
    </row>
    <row r="110" spans="1:33">
      <c r="A110" s="2" t="s">
        <v>417</v>
      </c>
      <c r="B110" s="2" t="s">
        <v>507</v>
      </c>
      <c r="C110" s="26" t="s">
        <v>190</v>
      </c>
      <c r="D110" s="19"/>
      <c r="E110" s="419">
        <v>3</v>
      </c>
      <c r="F110" s="419">
        <v>3</v>
      </c>
      <c r="G110" s="419">
        <v>2</v>
      </c>
      <c r="H110" s="419">
        <v>2</v>
      </c>
      <c r="I110" s="419">
        <v>3</v>
      </c>
      <c r="J110" s="419">
        <v>3</v>
      </c>
      <c r="L110" s="411">
        <f t="shared" si="31"/>
        <v>0</v>
      </c>
      <c r="M110" s="411">
        <f t="shared" si="32"/>
        <v>0</v>
      </c>
      <c r="N110" s="411">
        <f t="shared" si="33"/>
        <v>0</v>
      </c>
      <c r="O110" s="411">
        <f t="shared" si="34"/>
        <v>0</v>
      </c>
      <c r="P110" s="413">
        <f t="shared" si="35"/>
        <v>0</v>
      </c>
      <c r="Q110" s="413">
        <f t="shared" si="36"/>
        <v>0</v>
      </c>
      <c r="S110" s="78">
        <f t="shared" si="30"/>
        <v>0</v>
      </c>
      <c r="T110" s="2"/>
      <c r="U110" s="411">
        <f>計分版!E$13</f>
        <v>1E-10</v>
      </c>
      <c r="V110" s="411">
        <f>計分版!F$13</f>
        <v>2.0000000000000001E-10</v>
      </c>
      <c r="W110" s="411">
        <f>計分版!G$13</f>
        <v>3E-10</v>
      </c>
      <c r="X110" s="411">
        <f>計分版!H$13</f>
        <v>4.0000000000000001E-10</v>
      </c>
      <c r="Y110" s="411">
        <f>計分版!I$13</f>
        <v>5.0000000000000003E-10</v>
      </c>
      <c r="Z110" s="411">
        <f>計分版!J$13</f>
        <v>6E-10</v>
      </c>
      <c r="AA110" s="411">
        <f>計分版!K$13</f>
        <v>6.9999999999999996E-10</v>
      </c>
      <c r="AB110" s="411">
        <f>計分版!L$13</f>
        <v>8.0000000000000003E-10</v>
      </c>
      <c r="AC110" s="411">
        <f>計分版!M$13</f>
        <v>8.9999999999999999E-10</v>
      </c>
      <c r="AD110" s="411">
        <f>計分版!N$13</f>
        <v>9.5000000000000003E-10</v>
      </c>
      <c r="AF110" s="413" t="s">
        <v>2308</v>
      </c>
      <c r="AG110" s="413" t="s">
        <v>2309</v>
      </c>
    </row>
    <row r="111" spans="1:33">
      <c r="A111" s="2" t="s">
        <v>418</v>
      </c>
      <c r="B111" s="2" t="s">
        <v>508</v>
      </c>
      <c r="C111" s="26" t="s">
        <v>189</v>
      </c>
      <c r="D111" s="19"/>
      <c r="E111" s="419">
        <v>3</v>
      </c>
      <c r="F111" s="419">
        <v>3</v>
      </c>
      <c r="G111" s="419">
        <v>2</v>
      </c>
      <c r="H111" s="419">
        <v>2</v>
      </c>
      <c r="I111" s="419">
        <v>3</v>
      </c>
      <c r="J111" s="419">
        <v>3</v>
      </c>
      <c r="L111" s="411">
        <f t="shared" si="31"/>
        <v>0</v>
      </c>
      <c r="M111" s="411">
        <f t="shared" si="32"/>
        <v>0</v>
      </c>
      <c r="N111" s="411">
        <f t="shared" si="33"/>
        <v>0</v>
      </c>
      <c r="O111" s="411">
        <f t="shared" si="34"/>
        <v>0</v>
      </c>
      <c r="P111" s="413">
        <f t="shared" si="35"/>
        <v>0</v>
      </c>
      <c r="Q111" s="413">
        <f t="shared" si="36"/>
        <v>0</v>
      </c>
      <c r="S111" s="78">
        <f t="shared" si="30"/>
        <v>0</v>
      </c>
      <c r="T111" s="2"/>
      <c r="U111" s="411">
        <f>計分版!E$13</f>
        <v>1E-10</v>
      </c>
      <c r="V111" s="411">
        <f>計分版!F$13</f>
        <v>2.0000000000000001E-10</v>
      </c>
      <c r="W111" s="411">
        <f>計分版!G$13</f>
        <v>3E-10</v>
      </c>
      <c r="X111" s="411">
        <f>計分版!H$13</f>
        <v>4.0000000000000001E-10</v>
      </c>
      <c r="Y111" s="411">
        <f>計分版!I$13</f>
        <v>5.0000000000000003E-10</v>
      </c>
      <c r="Z111" s="411">
        <f>計分版!J$13</f>
        <v>6E-10</v>
      </c>
      <c r="AA111" s="411">
        <f>計分版!K$13</f>
        <v>6.9999999999999996E-10</v>
      </c>
      <c r="AB111" s="411">
        <f>計分版!L$13</f>
        <v>8.0000000000000003E-10</v>
      </c>
      <c r="AC111" s="411">
        <f>計分版!M$13</f>
        <v>8.9999999999999999E-10</v>
      </c>
      <c r="AD111" s="411">
        <f>計分版!N$13</f>
        <v>9.5000000000000003E-10</v>
      </c>
      <c r="AF111" s="413" t="s">
        <v>2308</v>
      </c>
      <c r="AG111" s="413" t="s">
        <v>2309</v>
      </c>
    </row>
    <row r="112" spans="1:33">
      <c r="A112" s="2" t="s">
        <v>419</v>
      </c>
      <c r="B112" s="2" t="s">
        <v>509</v>
      </c>
      <c r="C112" s="26" t="s">
        <v>189</v>
      </c>
      <c r="D112" s="19"/>
      <c r="E112" s="419">
        <v>3</v>
      </c>
      <c r="F112" s="419">
        <v>3</v>
      </c>
      <c r="G112" s="419">
        <v>2</v>
      </c>
      <c r="H112" s="419">
        <v>2</v>
      </c>
      <c r="I112" s="419">
        <v>3</v>
      </c>
      <c r="J112" s="419">
        <v>3</v>
      </c>
      <c r="L112" s="411">
        <f t="shared" si="31"/>
        <v>0</v>
      </c>
      <c r="M112" s="411">
        <f t="shared" si="32"/>
        <v>0</v>
      </c>
      <c r="N112" s="411">
        <f t="shared" si="33"/>
        <v>0</v>
      </c>
      <c r="O112" s="411">
        <f t="shared" si="34"/>
        <v>0</v>
      </c>
      <c r="P112" s="413">
        <f t="shared" si="35"/>
        <v>0</v>
      </c>
      <c r="Q112" s="413">
        <f t="shared" si="36"/>
        <v>0</v>
      </c>
      <c r="S112" s="78">
        <f t="shared" si="30"/>
        <v>0</v>
      </c>
      <c r="U112" s="411">
        <f>計分版!E$13</f>
        <v>1E-10</v>
      </c>
      <c r="V112" s="411">
        <f>計分版!F$13</f>
        <v>2.0000000000000001E-10</v>
      </c>
      <c r="W112" s="411">
        <f>計分版!G$13</f>
        <v>3E-10</v>
      </c>
      <c r="X112" s="411">
        <f>計分版!H$13</f>
        <v>4.0000000000000001E-10</v>
      </c>
      <c r="Y112" s="411">
        <f>計分版!I$13</f>
        <v>5.0000000000000003E-10</v>
      </c>
      <c r="Z112" s="411">
        <f>計分版!J$13</f>
        <v>6E-10</v>
      </c>
      <c r="AA112" s="411">
        <f>計分版!K$13</f>
        <v>6.9999999999999996E-10</v>
      </c>
      <c r="AB112" s="411">
        <f>計分版!L$13</f>
        <v>8.0000000000000003E-10</v>
      </c>
      <c r="AC112" s="411">
        <f>計分版!M$13</f>
        <v>8.9999999999999999E-10</v>
      </c>
      <c r="AD112" s="411">
        <f>計分版!N$13</f>
        <v>9.5000000000000003E-10</v>
      </c>
      <c r="AF112" s="413" t="s">
        <v>2308</v>
      </c>
      <c r="AG112" s="413" t="s">
        <v>2309</v>
      </c>
    </row>
    <row r="113" spans="1:33">
      <c r="A113" s="2" t="s">
        <v>420</v>
      </c>
      <c r="B113" s="2" t="s">
        <v>510</v>
      </c>
      <c r="C113" s="26" t="s">
        <v>189</v>
      </c>
      <c r="D113" s="19"/>
      <c r="E113" s="419">
        <v>3</v>
      </c>
      <c r="F113" s="419">
        <v>3</v>
      </c>
      <c r="G113" s="419">
        <v>2</v>
      </c>
      <c r="H113" s="419">
        <v>2</v>
      </c>
      <c r="I113" s="419">
        <v>3</v>
      </c>
      <c r="J113" s="419">
        <v>3</v>
      </c>
      <c r="L113" s="411">
        <f t="shared" si="31"/>
        <v>0</v>
      </c>
      <c r="M113" s="411">
        <f t="shared" si="32"/>
        <v>0</v>
      </c>
      <c r="N113" s="411">
        <f t="shared" si="33"/>
        <v>0</v>
      </c>
      <c r="O113" s="411">
        <f t="shared" si="34"/>
        <v>0</v>
      </c>
      <c r="P113" s="413">
        <f t="shared" si="35"/>
        <v>0</v>
      </c>
      <c r="Q113" s="413">
        <f t="shared" si="36"/>
        <v>0</v>
      </c>
      <c r="S113" s="78">
        <f t="shared" si="30"/>
        <v>0</v>
      </c>
      <c r="U113" s="411">
        <f>計分版!E$13</f>
        <v>1E-10</v>
      </c>
      <c r="V113" s="411">
        <f>計分版!F$13</f>
        <v>2.0000000000000001E-10</v>
      </c>
      <c r="W113" s="411">
        <f>計分版!G$13</f>
        <v>3E-10</v>
      </c>
      <c r="X113" s="411">
        <f>計分版!H$13</f>
        <v>4.0000000000000001E-10</v>
      </c>
      <c r="Y113" s="411">
        <f>計分版!I$13</f>
        <v>5.0000000000000003E-10</v>
      </c>
      <c r="Z113" s="411">
        <f>計分版!J$13</f>
        <v>6E-10</v>
      </c>
      <c r="AA113" s="411">
        <f>計分版!K$13</f>
        <v>6.9999999999999996E-10</v>
      </c>
      <c r="AB113" s="411">
        <f>計分版!L$13</f>
        <v>8.0000000000000003E-10</v>
      </c>
      <c r="AC113" s="411">
        <f>計分版!M$13</f>
        <v>8.9999999999999999E-10</v>
      </c>
      <c r="AD113" s="411">
        <f>計分版!N$13</f>
        <v>9.5000000000000003E-10</v>
      </c>
      <c r="AF113" s="413" t="s">
        <v>2308</v>
      </c>
      <c r="AG113" s="413" t="s">
        <v>2309</v>
      </c>
    </row>
    <row r="114" spans="1:33">
      <c r="A114" s="2" t="s">
        <v>421</v>
      </c>
      <c r="B114" s="2" t="s">
        <v>511</v>
      </c>
      <c r="C114" s="26" t="s">
        <v>189</v>
      </c>
      <c r="D114" s="19"/>
      <c r="E114" s="419">
        <v>3</v>
      </c>
      <c r="F114" s="419">
        <v>3</v>
      </c>
      <c r="G114" s="419">
        <v>2</v>
      </c>
      <c r="H114" s="419">
        <v>2</v>
      </c>
      <c r="I114" s="419">
        <v>3</v>
      </c>
      <c r="J114" s="419">
        <v>3</v>
      </c>
      <c r="L114" s="411">
        <f t="shared" si="31"/>
        <v>0</v>
      </c>
      <c r="M114" s="411">
        <f t="shared" si="32"/>
        <v>0</v>
      </c>
      <c r="N114" s="411">
        <f t="shared" si="33"/>
        <v>0</v>
      </c>
      <c r="O114" s="411">
        <f t="shared" si="34"/>
        <v>0</v>
      </c>
      <c r="P114" s="413">
        <f t="shared" si="35"/>
        <v>0</v>
      </c>
      <c r="Q114" s="413">
        <f t="shared" si="36"/>
        <v>0</v>
      </c>
      <c r="S114" s="78">
        <f t="shared" si="30"/>
        <v>0</v>
      </c>
      <c r="U114" s="411">
        <f>計分版!E$13</f>
        <v>1E-10</v>
      </c>
      <c r="V114" s="411">
        <f>計分版!F$13</f>
        <v>2.0000000000000001E-10</v>
      </c>
      <c r="W114" s="411">
        <f>計分版!G$13</f>
        <v>3E-10</v>
      </c>
      <c r="X114" s="411">
        <f>計分版!H$13</f>
        <v>4.0000000000000001E-10</v>
      </c>
      <c r="Y114" s="411">
        <f>計分版!I$13</f>
        <v>5.0000000000000003E-10</v>
      </c>
      <c r="Z114" s="411">
        <f>計分版!J$13</f>
        <v>6E-10</v>
      </c>
      <c r="AA114" s="411">
        <f>計分版!K$13</f>
        <v>6.9999999999999996E-10</v>
      </c>
      <c r="AB114" s="411">
        <f>計分版!L$13</f>
        <v>8.0000000000000003E-10</v>
      </c>
      <c r="AC114" s="411">
        <f>計分版!M$13</f>
        <v>8.9999999999999999E-10</v>
      </c>
      <c r="AD114" s="411">
        <f>計分版!N$13</f>
        <v>9.5000000000000003E-10</v>
      </c>
      <c r="AF114" s="413" t="s">
        <v>2308</v>
      </c>
      <c r="AG114" s="413" t="s">
        <v>2309</v>
      </c>
    </row>
    <row r="115" spans="1:33">
      <c r="A115" s="2" t="s">
        <v>422</v>
      </c>
      <c r="B115" s="2" t="s">
        <v>512</v>
      </c>
      <c r="C115" s="26" t="s">
        <v>189</v>
      </c>
      <c r="D115" s="19"/>
      <c r="E115" s="419">
        <v>3</v>
      </c>
      <c r="F115" s="419">
        <v>3</v>
      </c>
      <c r="G115" s="419">
        <v>2</v>
      </c>
      <c r="H115" s="419">
        <v>2</v>
      </c>
      <c r="I115" s="419">
        <v>3</v>
      </c>
      <c r="J115" s="419">
        <v>3</v>
      </c>
      <c r="L115" s="411">
        <f t="shared" si="31"/>
        <v>0</v>
      </c>
      <c r="M115" s="411">
        <f t="shared" si="32"/>
        <v>0</v>
      </c>
      <c r="N115" s="411">
        <f t="shared" si="33"/>
        <v>0</v>
      </c>
      <c r="O115" s="411">
        <f t="shared" si="34"/>
        <v>0</v>
      </c>
      <c r="P115" s="413">
        <f t="shared" si="35"/>
        <v>0</v>
      </c>
      <c r="Q115" s="413">
        <f t="shared" si="36"/>
        <v>0</v>
      </c>
      <c r="S115" s="78">
        <f t="shared" si="30"/>
        <v>0</v>
      </c>
      <c r="U115" s="411">
        <f>計分版!E$13</f>
        <v>1E-10</v>
      </c>
      <c r="V115" s="411">
        <f>計分版!F$13</f>
        <v>2.0000000000000001E-10</v>
      </c>
      <c r="W115" s="411">
        <f>計分版!G$13</f>
        <v>3E-10</v>
      </c>
      <c r="X115" s="411">
        <f>計分版!H$13</f>
        <v>4.0000000000000001E-10</v>
      </c>
      <c r="Y115" s="411">
        <f>計分版!I$13</f>
        <v>5.0000000000000003E-10</v>
      </c>
      <c r="Z115" s="411">
        <f>計分版!J$13</f>
        <v>6E-10</v>
      </c>
      <c r="AA115" s="411">
        <f>計分版!K$13</f>
        <v>6.9999999999999996E-10</v>
      </c>
      <c r="AB115" s="411">
        <f>計分版!L$13</f>
        <v>8.0000000000000003E-10</v>
      </c>
      <c r="AC115" s="411">
        <f>計分版!M$13</f>
        <v>8.9999999999999999E-10</v>
      </c>
      <c r="AD115" s="411">
        <f>計分版!N$13</f>
        <v>9.5000000000000003E-10</v>
      </c>
      <c r="AF115" s="413" t="s">
        <v>2308</v>
      </c>
      <c r="AG115" s="413" t="s">
        <v>2309</v>
      </c>
    </row>
    <row r="116" spans="1:33">
      <c r="A116" s="2" t="s">
        <v>423</v>
      </c>
      <c r="B116" s="2" t="s">
        <v>513</v>
      </c>
      <c r="C116" s="26" t="s">
        <v>189</v>
      </c>
      <c r="D116" s="19"/>
      <c r="E116" s="419">
        <v>3</v>
      </c>
      <c r="F116" s="419">
        <v>3</v>
      </c>
      <c r="G116" s="419">
        <v>2</v>
      </c>
      <c r="H116" s="419">
        <v>2</v>
      </c>
      <c r="I116" s="419">
        <v>3</v>
      </c>
      <c r="J116" s="419">
        <v>3</v>
      </c>
      <c r="L116" s="411">
        <f t="shared" si="31"/>
        <v>0</v>
      </c>
      <c r="M116" s="411">
        <f t="shared" si="32"/>
        <v>0</v>
      </c>
      <c r="N116" s="411">
        <f t="shared" si="33"/>
        <v>0</v>
      </c>
      <c r="O116" s="411">
        <f t="shared" si="34"/>
        <v>0</v>
      </c>
      <c r="P116" s="413">
        <f t="shared" si="35"/>
        <v>0</v>
      </c>
      <c r="Q116" s="413">
        <f t="shared" si="36"/>
        <v>0</v>
      </c>
      <c r="S116" s="78">
        <f t="shared" si="30"/>
        <v>0</v>
      </c>
      <c r="U116" s="411">
        <f>計分版!E$13</f>
        <v>1E-10</v>
      </c>
      <c r="V116" s="411">
        <f>計分版!F$13</f>
        <v>2.0000000000000001E-10</v>
      </c>
      <c r="W116" s="411">
        <f>計分版!G$13</f>
        <v>3E-10</v>
      </c>
      <c r="X116" s="411">
        <f>計分版!H$13</f>
        <v>4.0000000000000001E-10</v>
      </c>
      <c r="Y116" s="411">
        <f>計分版!I$13</f>
        <v>5.0000000000000003E-10</v>
      </c>
      <c r="Z116" s="411">
        <f>計分版!J$13</f>
        <v>6E-10</v>
      </c>
      <c r="AA116" s="411">
        <f>計分版!K$13</f>
        <v>6.9999999999999996E-10</v>
      </c>
      <c r="AB116" s="411">
        <f>計分版!L$13</f>
        <v>8.0000000000000003E-10</v>
      </c>
      <c r="AC116" s="411">
        <f>計分版!M$13</f>
        <v>8.9999999999999999E-10</v>
      </c>
      <c r="AD116" s="411">
        <f>計分版!N$13</f>
        <v>9.5000000000000003E-10</v>
      </c>
      <c r="AF116" s="413" t="s">
        <v>2308</v>
      </c>
      <c r="AG116" s="413" t="s">
        <v>2309</v>
      </c>
    </row>
    <row r="117" spans="1:33">
      <c r="A117" s="2" t="s">
        <v>424</v>
      </c>
      <c r="B117" s="2" t="s">
        <v>514</v>
      </c>
      <c r="C117" s="26" t="s">
        <v>190</v>
      </c>
      <c r="D117" s="19"/>
      <c r="E117" s="419">
        <v>3</v>
      </c>
      <c r="F117" s="419">
        <v>3</v>
      </c>
      <c r="G117" s="419">
        <v>2</v>
      </c>
      <c r="H117" s="419">
        <v>2</v>
      </c>
      <c r="I117" s="419">
        <v>3</v>
      </c>
      <c r="J117" s="419">
        <v>3</v>
      </c>
      <c r="L117" s="411">
        <f t="shared" si="31"/>
        <v>0</v>
      </c>
      <c r="M117" s="411">
        <f t="shared" si="32"/>
        <v>0</v>
      </c>
      <c r="N117" s="411">
        <f t="shared" si="33"/>
        <v>0</v>
      </c>
      <c r="O117" s="411">
        <f t="shared" si="34"/>
        <v>0</v>
      </c>
      <c r="P117" s="413">
        <f t="shared" si="35"/>
        <v>0</v>
      </c>
      <c r="Q117" s="413">
        <f t="shared" si="36"/>
        <v>0</v>
      </c>
      <c r="S117" s="78">
        <f t="shared" si="30"/>
        <v>0</v>
      </c>
      <c r="T117" s="123"/>
      <c r="U117" s="411">
        <f>計分版!E$13</f>
        <v>1E-10</v>
      </c>
      <c r="V117" s="411">
        <f>計分版!F$13</f>
        <v>2.0000000000000001E-10</v>
      </c>
      <c r="W117" s="411">
        <f>計分版!G$13</f>
        <v>3E-10</v>
      </c>
      <c r="X117" s="411">
        <f>計分版!H$13</f>
        <v>4.0000000000000001E-10</v>
      </c>
      <c r="Y117" s="411">
        <f>計分版!I$13</f>
        <v>5.0000000000000003E-10</v>
      </c>
      <c r="Z117" s="411">
        <f>計分版!J$13</f>
        <v>6E-10</v>
      </c>
      <c r="AA117" s="411">
        <f>計分版!K$13</f>
        <v>6.9999999999999996E-10</v>
      </c>
      <c r="AB117" s="411">
        <f>計分版!L$13</f>
        <v>8.0000000000000003E-10</v>
      </c>
      <c r="AC117" s="411">
        <f>計分版!M$13</f>
        <v>8.9999999999999999E-10</v>
      </c>
      <c r="AD117" s="411">
        <f>計分版!N$13</f>
        <v>9.5000000000000003E-10</v>
      </c>
      <c r="AF117" s="413" t="s">
        <v>2308</v>
      </c>
      <c r="AG117" s="413" t="s">
        <v>2309</v>
      </c>
    </row>
    <row r="118" spans="1:33">
      <c r="A118" s="2" t="s">
        <v>425</v>
      </c>
      <c r="B118" s="2" t="s">
        <v>515</v>
      </c>
      <c r="C118" s="26" t="s">
        <v>189</v>
      </c>
      <c r="D118" s="19"/>
      <c r="E118" s="419">
        <v>3</v>
      </c>
      <c r="F118" s="419">
        <v>3</v>
      </c>
      <c r="G118" s="419">
        <v>2</v>
      </c>
      <c r="H118" s="419">
        <v>2</v>
      </c>
      <c r="I118" s="419">
        <v>3</v>
      </c>
      <c r="J118" s="419">
        <v>3</v>
      </c>
      <c r="L118" s="411">
        <f t="shared" si="31"/>
        <v>0</v>
      </c>
      <c r="M118" s="411">
        <f t="shared" si="32"/>
        <v>0</v>
      </c>
      <c r="N118" s="411">
        <f t="shared" si="33"/>
        <v>0</v>
      </c>
      <c r="O118" s="411">
        <f t="shared" si="34"/>
        <v>0</v>
      </c>
      <c r="P118" s="413">
        <f t="shared" si="35"/>
        <v>0</v>
      </c>
      <c r="Q118" s="413">
        <f t="shared" si="36"/>
        <v>0</v>
      </c>
      <c r="S118" s="78">
        <f t="shared" si="30"/>
        <v>0</v>
      </c>
      <c r="U118" s="411">
        <f>計分版!E$13</f>
        <v>1E-10</v>
      </c>
      <c r="V118" s="411">
        <f>計分版!F$13</f>
        <v>2.0000000000000001E-10</v>
      </c>
      <c r="W118" s="411">
        <f>計分版!G$13</f>
        <v>3E-10</v>
      </c>
      <c r="X118" s="411">
        <f>計分版!H$13</f>
        <v>4.0000000000000001E-10</v>
      </c>
      <c r="Y118" s="411">
        <f>計分版!I$13</f>
        <v>5.0000000000000003E-10</v>
      </c>
      <c r="Z118" s="411">
        <f>計分版!J$13</f>
        <v>6E-10</v>
      </c>
      <c r="AA118" s="411">
        <f>計分版!K$13</f>
        <v>6.9999999999999996E-10</v>
      </c>
      <c r="AB118" s="411">
        <f>計分版!L$13</f>
        <v>8.0000000000000003E-10</v>
      </c>
      <c r="AC118" s="411">
        <f>計分版!M$13</f>
        <v>8.9999999999999999E-10</v>
      </c>
      <c r="AD118" s="411">
        <f>計分版!N$13</f>
        <v>9.5000000000000003E-10</v>
      </c>
      <c r="AF118" s="413" t="s">
        <v>2308</v>
      </c>
      <c r="AG118" s="413" t="s">
        <v>2309</v>
      </c>
    </row>
    <row r="119" spans="1:33">
      <c r="A119" s="2" t="s">
        <v>426</v>
      </c>
      <c r="B119" s="2" t="s">
        <v>516</v>
      </c>
      <c r="C119" s="26" t="s">
        <v>189</v>
      </c>
      <c r="D119" s="19"/>
      <c r="E119" s="419">
        <v>3</v>
      </c>
      <c r="F119" s="419">
        <v>3</v>
      </c>
      <c r="G119" s="419">
        <v>2</v>
      </c>
      <c r="H119" s="419">
        <v>2</v>
      </c>
      <c r="I119" s="419">
        <v>3</v>
      </c>
      <c r="J119" s="419">
        <v>3</v>
      </c>
      <c r="L119" s="411">
        <f t="shared" si="31"/>
        <v>0</v>
      </c>
      <c r="M119" s="411">
        <f t="shared" si="32"/>
        <v>0</v>
      </c>
      <c r="N119" s="411">
        <f t="shared" si="33"/>
        <v>0</v>
      </c>
      <c r="O119" s="411">
        <f t="shared" si="34"/>
        <v>0</v>
      </c>
      <c r="P119" s="413">
        <f t="shared" si="35"/>
        <v>0</v>
      </c>
      <c r="Q119" s="413">
        <f t="shared" si="36"/>
        <v>0</v>
      </c>
      <c r="S119" s="78">
        <f t="shared" si="30"/>
        <v>0</v>
      </c>
      <c r="U119" s="411">
        <f>計分版!E$13</f>
        <v>1E-10</v>
      </c>
      <c r="V119" s="411">
        <f>計分版!F$13</f>
        <v>2.0000000000000001E-10</v>
      </c>
      <c r="W119" s="411">
        <f>計分版!G$13</f>
        <v>3E-10</v>
      </c>
      <c r="X119" s="411">
        <f>計分版!H$13</f>
        <v>4.0000000000000001E-10</v>
      </c>
      <c r="Y119" s="411">
        <f>計分版!I$13</f>
        <v>5.0000000000000003E-10</v>
      </c>
      <c r="Z119" s="411">
        <f>計分版!J$13</f>
        <v>6E-10</v>
      </c>
      <c r="AA119" s="411">
        <f>計分版!K$13</f>
        <v>6.9999999999999996E-10</v>
      </c>
      <c r="AB119" s="411">
        <f>計分版!L$13</f>
        <v>8.0000000000000003E-10</v>
      </c>
      <c r="AC119" s="411">
        <f>計分版!M$13</f>
        <v>8.9999999999999999E-10</v>
      </c>
      <c r="AD119" s="411">
        <f>計分版!N$13</f>
        <v>9.5000000000000003E-10</v>
      </c>
      <c r="AF119" s="413" t="s">
        <v>2308</v>
      </c>
      <c r="AG119" s="413" t="s">
        <v>2309</v>
      </c>
    </row>
    <row r="120" spans="1:33">
      <c r="A120" s="2" t="s">
        <v>427</v>
      </c>
      <c r="B120" s="2" t="s">
        <v>517</v>
      </c>
      <c r="C120" s="26" t="s">
        <v>189</v>
      </c>
      <c r="D120" s="19"/>
      <c r="E120" s="419">
        <v>3</v>
      </c>
      <c r="F120" s="419">
        <v>3</v>
      </c>
      <c r="G120" s="419">
        <v>2</v>
      </c>
      <c r="H120" s="419">
        <v>2</v>
      </c>
      <c r="I120" s="419">
        <v>3</v>
      </c>
      <c r="J120" s="419">
        <v>3</v>
      </c>
      <c r="L120" s="411">
        <f t="shared" si="31"/>
        <v>0</v>
      </c>
      <c r="M120" s="411">
        <f t="shared" si="32"/>
        <v>0</v>
      </c>
      <c r="N120" s="411">
        <f t="shared" si="33"/>
        <v>0</v>
      </c>
      <c r="O120" s="411">
        <f t="shared" si="34"/>
        <v>0</v>
      </c>
      <c r="P120" s="413">
        <f t="shared" si="35"/>
        <v>0</v>
      </c>
      <c r="Q120" s="413">
        <f t="shared" si="36"/>
        <v>0</v>
      </c>
      <c r="S120" s="78">
        <f t="shared" si="30"/>
        <v>0</v>
      </c>
      <c r="T120" s="123"/>
      <c r="U120" s="411">
        <f>計分版!E$13</f>
        <v>1E-10</v>
      </c>
      <c r="V120" s="411">
        <f>計分版!F$13</f>
        <v>2.0000000000000001E-10</v>
      </c>
      <c r="W120" s="411">
        <f>計分版!G$13</f>
        <v>3E-10</v>
      </c>
      <c r="X120" s="411">
        <f>計分版!H$13</f>
        <v>4.0000000000000001E-10</v>
      </c>
      <c r="Y120" s="411">
        <f>計分版!I$13</f>
        <v>5.0000000000000003E-10</v>
      </c>
      <c r="Z120" s="411">
        <f>計分版!J$13</f>
        <v>6E-10</v>
      </c>
      <c r="AA120" s="411">
        <f>計分版!K$13</f>
        <v>6.9999999999999996E-10</v>
      </c>
      <c r="AB120" s="411">
        <f>計分版!L$13</f>
        <v>8.0000000000000003E-10</v>
      </c>
      <c r="AC120" s="411">
        <f>計分版!M$13</f>
        <v>8.9999999999999999E-10</v>
      </c>
      <c r="AD120" s="411">
        <f>計分版!N$13</f>
        <v>9.5000000000000003E-10</v>
      </c>
      <c r="AF120" s="413" t="s">
        <v>2308</v>
      </c>
      <c r="AG120" s="413" t="s">
        <v>2309</v>
      </c>
    </row>
    <row r="121" spans="1:33">
      <c r="A121" s="2" t="s">
        <v>428</v>
      </c>
      <c r="B121" s="2" t="s">
        <v>518</v>
      </c>
      <c r="C121" s="26" t="s">
        <v>189</v>
      </c>
      <c r="D121" s="19"/>
      <c r="E121" s="419">
        <v>3</v>
      </c>
      <c r="F121" s="419">
        <v>3</v>
      </c>
      <c r="G121" s="419">
        <v>2</v>
      </c>
      <c r="H121" s="419">
        <v>2</v>
      </c>
      <c r="I121" s="419">
        <v>3</v>
      </c>
      <c r="J121" s="419">
        <v>3</v>
      </c>
      <c r="L121" s="411">
        <f t="shared" si="31"/>
        <v>0</v>
      </c>
      <c r="M121" s="411">
        <f t="shared" si="32"/>
        <v>0</v>
      </c>
      <c r="N121" s="411">
        <f t="shared" si="33"/>
        <v>0</v>
      </c>
      <c r="O121" s="411">
        <f t="shared" si="34"/>
        <v>0</v>
      </c>
      <c r="P121" s="413">
        <f t="shared" si="35"/>
        <v>0</v>
      </c>
      <c r="Q121" s="413">
        <f t="shared" si="36"/>
        <v>0</v>
      </c>
      <c r="S121" s="78">
        <f t="shared" si="30"/>
        <v>0</v>
      </c>
      <c r="U121" s="411">
        <f>計分版!E$13</f>
        <v>1E-10</v>
      </c>
      <c r="V121" s="411">
        <f>計分版!F$13</f>
        <v>2.0000000000000001E-10</v>
      </c>
      <c r="W121" s="411">
        <f>計分版!G$13</f>
        <v>3E-10</v>
      </c>
      <c r="X121" s="411">
        <f>計分版!H$13</f>
        <v>4.0000000000000001E-10</v>
      </c>
      <c r="Y121" s="411">
        <f>計分版!I$13</f>
        <v>5.0000000000000003E-10</v>
      </c>
      <c r="Z121" s="411">
        <f>計分版!J$13</f>
        <v>6E-10</v>
      </c>
      <c r="AA121" s="411">
        <f>計分版!K$13</f>
        <v>6.9999999999999996E-10</v>
      </c>
      <c r="AB121" s="411">
        <f>計分版!L$13</f>
        <v>8.0000000000000003E-10</v>
      </c>
      <c r="AC121" s="411">
        <f>計分版!M$13</f>
        <v>8.9999999999999999E-10</v>
      </c>
      <c r="AD121" s="411">
        <f>計分版!N$13</f>
        <v>9.5000000000000003E-10</v>
      </c>
      <c r="AF121" s="413" t="s">
        <v>2308</v>
      </c>
      <c r="AG121" s="413" t="s">
        <v>2309</v>
      </c>
    </row>
    <row r="122" spans="1:33">
      <c r="A122" s="2" t="s">
        <v>429</v>
      </c>
      <c r="B122" s="2" t="s">
        <v>519</v>
      </c>
      <c r="C122" s="26" t="s">
        <v>549</v>
      </c>
      <c r="D122" s="19"/>
      <c r="E122" s="419">
        <v>3</v>
      </c>
      <c r="F122" s="419">
        <v>3</v>
      </c>
      <c r="G122" s="419">
        <v>2</v>
      </c>
      <c r="H122" s="419">
        <v>2</v>
      </c>
      <c r="I122" s="419">
        <v>3</v>
      </c>
      <c r="J122" s="419">
        <v>3</v>
      </c>
      <c r="L122" s="411">
        <f t="shared" si="31"/>
        <v>0</v>
      </c>
      <c r="M122" s="411">
        <f t="shared" si="32"/>
        <v>0</v>
      </c>
      <c r="N122" s="411">
        <f t="shared" si="33"/>
        <v>0</v>
      </c>
      <c r="O122" s="411">
        <f t="shared" si="34"/>
        <v>0</v>
      </c>
      <c r="P122" s="413">
        <f t="shared" si="35"/>
        <v>0</v>
      </c>
      <c r="Q122" s="413">
        <f t="shared" si="36"/>
        <v>0</v>
      </c>
      <c r="S122" s="78">
        <f t="shared" si="30"/>
        <v>0</v>
      </c>
      <c r="U122" s="411">
        <f>計分版!E$13</f>
        <v>1E-10</v>
      </c>
      <c r="V122" s="411">
        <f>計分版!F$13</f>
        <v>2.0000000000000001E-10</v>
      </c>
      <c r="W122" s="411">
        <f>計分版!G$13</f>
        <v>3E-10</v>
      </c>
      <c r="X122" s="411">
        <f>計分版!H$13</f>
        <v>4.0000000000000001E-10</v>
      </c>
      <c r="Y122" s="411">
        <f>計分版!I$13</f>
        <v>5.0000000000000003E-10</v>
      </c>
      <c r="Z122" s="411">
        <f>計分版!J$13</f>
        <v>6E-10</v>
      </c>
      <c r="AA122" s="411">
        <f>計分版!K$13</f>
        <v>6.9999999999999996E-10</v>
      </c>
      <c r="AB122" s="411">
        <f>計分版!L$13</f>
        <v>8.0000000000000003E-10</v>
      </c>
      <c r="AC122" s="411">
        <f>計分版!M$13</f>
        <v>8.9999999999999999E-10</v>
      </c>
      <c r="AD122" s="411">
        <f>計分版!N$13</f>
        <v>9.5000000000000003E-10</v>
      </c>
      <c r="AF122" s="413" t="s">
        <v>2308</v>
      </c>
      <c r="AG122" s="413" t="s">
        <v>2309</v>
      </c>
    </row>
    <row r="123" spans="1:33">
      <c r="A123" s="2" t="s">
        <v>430</v>
      </c>
      <c r="B123" s="2" t="s">
        <v>520</v>
      </c>
      <c r="C123" s="26" t="s">
        <v>189</v>
      </c>
      <c r="D123" s="19"/>
      <c r="E123" s="419">
        <v>3</v>
      </c>
      <c r="F123" s="419">
        <v>3</v>
      </c>
      <c r="G123" s="419">
        <v>2</v>
      </c>
      <c r="H123" s="419">
        <v>2</v>
      </c>
      <c r="I123" s="419">
        <v>3</v>
      </c>
      <c r="J123" s="419">
        <v>3</v>
      </c>
      <c r="L123" s="411">
        <f t="shared" si="31"/>
        <v>0</v>
      </c>
      <c r="M123" s="411">
        <f t="shared" si="32"/>
        <v>0</v>
      </c>
      <c r="N123" s="411">
        <f t="shared" si="33"/>
        <v>0</v>
      </c>
      <c r="O123" s="411">
        <f t="shared" si="34"/>
        <v>0</v>
      </c>
      <c r="P123" s="413">
        <f t="shared" si="35"/>
        <v>0</v>
      </c>
      <c r="Q123" s="413">
        <f t="shared" si="36"/>
        <v>0</v>
      </c>
      <c r="S123" s="78">
        <f t="shared" si="30"/>
        <v>0</v>
      </c>
      <c r="U123" s="411">
        <f>計分版!E$13</f>
        <v>1E-10</v>
      </c>
      <c r="V123" s="411">
        <f>計分版!F$13</f>
        <v>2.0000000000000001E-10</v>
      </c>
      <c r="W123" s="411">
        <f>計分版!G$13</f>
        <v>3E-10</v>
      </c>
      <c r="X123" s="411">
        <f>計分版!H$13</f>
        <v>4.0000000000000001E-10</v>
      </c>
      <c r="Y123" s="411">
        <f>計分版!I$13</f>
        <v>5.0000000000000003E-10</v>
      </c>
      <c r="Z123" s="411">
        <f>計分版!J$13</f>
        <v>6E-10</v>
      </c>
      <c r="AA123" s="411">
        <f>計分版!K$13</f>
        <v>6.9999999999999996E-10</v>
      </c>
      <c r="AB123" s="411">
        <f>計分版!L$13</f>
        <v>8.0000000000000003E-10</v>
      </c>
      <c r="AC123" s="411">
        <f>計分版!M$13</f>
        <v>8.9999999999999999E-10</v>
      </c>
      <c r="AD123" s="411">
        <f>計分版!N$13</f>
        <v>9.5000000000000003E-10</v>
      </c>
      <c r="AF123" s="413" t="s">
        <v>2308</v>
      </c>
      <c r="AG123" s="413" t="s">
        <v>2309</v>
      </c>
    </row>
    <row r="124" spans="1:33">
      <c r="A124" s="2" t="s">
        <v>431</v>
      </c>
      <c r="B124" s="2" t="s">
        <v>521</v>
      </c>
      <c r="C124" s="26" t="s">
        <v>549</v>
      </c>
      <c r="D124" s="19"/>
      <c r="E124" s="419">
        <v>3</v>
      </c>
      <c r="F124" s="419">
        <v>3</v>
      </c>
      <c r="G124" s="419">
        <v>2</v>
      </c>
      <c r="H124" s="419">
        <v>2</v>
      </c>
      <c r="I124" s="419">
        <v>3</v>
      </c>
      <c r="J124" s="419">
        <v>3</v>
      </c>
      <c r="L124" s="411">
        <f t="shared" si="31"/>
        <v>0</v>
      </c>
      <c r="M124" s="411">
        <f t="shared" si="32"/>
        <v>0</v>
      </c>
      <c r="N124" s="411">
        <f t="shared" si="33"/>
        <v>0</v>
      </c>
      <c r="O124" s="411">
        <f t="shared" si="34"/>
        <v>0</v>
      </c>
      <c r="P124" s="413">
        <f t="shared" si="35"/>
        <v>0</v>
      </c>
      <c r="Q124" s="413">
        <f t="shared" si="36"/>
        <v>0</v>
      </c>
      <c r="S124" s="78">
        <f t="shared" si="30"/>
        <v>0</v>
      </c>
      <c r="U124" s="411">
        <f>計分版!E$13</f>
        <v>1E-10</v>
      </c>
      <c r="V124" s="411">
        <f>計分版!F$13</f>
        <v>2.0000000000000001E-10</v>
      </c>
      <c r="W124" s="411">
        <f>計分版!G$13</f>
        <v>3E-10</v>
      </c>
      <c r="X124" s="411">
        <f>計分版!H$13</f>
        <v>4.0000000000000001E-10</v>
      </c>
      <c r="Y124" s="411">
        <f>計分版!I$13</f>
        <v>5.0000000000000003E-10</v>
      </c>
      <c r="Z124" s="411">
        <f>計分版!J$13</f>
        <v>6E-10</v>
      </c>
      <c r="AA124" s="411">
        <f>計分版!K$13</f>
        <v>6.9999999999999996E-10</v>
      </c>
      <c r="AB124" s="411">
        <f>計分版!L$13</f>
        <v>8.0000000000000003E-10</v>
      </c>
      <c r="AC124" s="411">
        <f>計分版!M$13</f>
        <v>8.9999999999999999E-10</v>
      </c>
      <c r="AD124" s="411">
        <f>計分版!N$13</f>
        <v>9.5000000000000003E-10</v>
      </c>
      <c r="AF124" s="413" t="s">
        <v>2308</v>
      </c>
      <c r="AG124" s="413" t="s">
        <v>2309</v>
      </c>
    </row>
    <row r="125" spans="1:33">
      <c r="A125" s="174" t="s">
        <v>1360</v>
      </c>
      <c r="B125" s="174" t="s">
        <v>1361</v>
      </c>
      <c r="C125" s="185"/>
      <c r="D125" s="182"/>
      <c r="E125" s="419">
        <v>3</v>
      </c>
      <c r="F125" s="419">
        <v>3</v>
      </c>
      <c r="G125" s="419">
        <v>2</v>
      </c>
      <c r="H125" s="419">
        <v>2</v>
      </c>
      <c r="I125" s="419">
        <v>3</v>
      </c>
      <c r="J125" s="419">
        <v>3</v>
      </c>
      <c r="K125" s="174"/>
      <c r="L125" s="411">
        <f t="shared" si="31"/>
        <v>0</v>
      </c>
      <c r="M125" s="411">
        <f t="shared" si="32"/>
        <v>0</v>
      </c>
      <c r="N125" s="411">
        <f t="shared" si="33"/>
        <v>0</v>
      </c>
      <c r="O125" s="411">
        <f t="shared" si="34"/>
        <v>0</v>
      </c>
      <c r="P125" s="413">
        <f t="shared" si="35"/>
        <v>0</v>
      </c>
      <c r="Q125" s="413">
        <f t="shared" si="36"/>
        <v>0</v>
      </c>
      <c r="R125" s="174"/>
      <c r="S125" s="191">
        <f t="shared" si="30"/>
        <v>0</v>
      </c>
      <c r="U125" s="411">
        <f>計分版!E$13</f>
        <v>1E-10</v>
      </c>
      <c r="V125" s="411">
        <f>計分版!F$13</f>
        <v>2.0000000000000001E-10</v>
      </c>
      <c r="W125" s="411">
        <f>計分版!G$13</f>
        <v>3E-10</v>
      </c>
      <c r="X125" s="411">
        <f>計分版!H$13</f>
        <v>4.0000000000000001E-10</v>
      </c>
      <c r="Y125" s="411">
        <f>計分版!I$13</f>
        <v>5.0000000000000003E-10</v>
      </c>
      <c r="Z125" s="411">
        <f>計分版!J$13</f>
        <v>6E-10</v>
      </c>
      <c r="AA125" s="411">
        <f>計分版!K$13</f>
        <v>6.9999999999999996E-10</v>
      </c>
      <c r="AB125" s="411">
        <f>計分版!L$13</f>
        <v>8.0000000000000003E-10</v>
      </c>
      <c r="AC125" s="411">
        <f>計分版!M$13</f>
        <v>8.9999999999999999E-10</v>
      </c>
      <c r="AD125" s="411">
        <f>計分版!N$13</f>
        <v>9.5000000000000003E-10</v>
      </c>
      <c r="AF125" s="413" t="s">
        <v>2308</v>
      </c>
      <c r="AG125" s="413" t="s">
        <v>2309</v>
      </c>
    </row>
    <row r="126" spans="1:33">
      <c r="A126" s="2" t="s">
        <v>432</v>
      </c>
      <c r="B126" s="2" t="s">
        <v>522</v>
      </c>
      <c r="C126" s="26" t="s">
        <v>189</v>
      </c>
      <c r="D126" s="19"/>
      <c r="E126" s="419">
        <v>3</v>
      </c>
      <c r="F126" s="419">
        <v>3</v>
      </c>
      <c r="G126" s="419">
        <v>2</v>
      </c>
      <c r="H126" s="419">
        <v>2</v>
      </c>
      <c r="I126" s="419">
        <v>3</v>
      </c>
      <c r="J126" s="419">
        <v>3</v>
      </c>
      <c r="L126" s="411">
        <f t="shared" si="31"/>
        <v>0</v>
      </c>
      <c r="M126" s="411">
        <f t="shared" si="32"/>
        <v>0</v>
      </c>
      <c r="N126" s="411">
        <f t="shared" si="33"/>
        <v>0</v>
      </c>
      <c r="O126" s="411">
        <f t="shared" si="34"/>
        <v>0</v>
      </c>
      <c r="P126" s="413">
        <f t="shared" si="35"/>
        <v>0</v>
      </c>
      <c r="Q126" s="413">
        <f t="shared" si="36"/>
        <v>0</v>
      </c>
      <c r="S126" s="78">
        <f t="shared" si="30"/>
        <v>0</v>
      </c>
      <c r="U126" s="411">
        <f>計分版!E$13</f>
        <v>1E-10</v>
      </c>
      <c r="V126" s="411">
        <f>計分版!F$13</f>
        <v>2.0000000000000001E-10</v>
      </c>
      <c r="W126" s="411">
        <f>計分版!G$13</f>
        <v>3E-10</v>
      </c>
      <c r="X126" s="411">
        <f>計分版!H$13</f>
        <v>4.0000000000000001E-10</v>
      </c>
      <c r="Y126" s="411">
        <f>計分版!I$13</f>
        <v>5.0000000000000003E-10</v>
      </c>
      <c r="Z126" s="411">
        <f>計分版!J$13</f>
        <v>6E-10</v>
      </c>
      <c r="AA126" s="411">
        <f>計分版!K$13</f>
        <v>6.9999999999999996E-10</v>
      </c>
      <c r="AB126" s="411">
        <f>計分版!L$13</f>
        <v>8.0000000000000003E-10</v>
      </c>
      <c r="AC126" s="411">
        <f>計分版!M$13</f>
        <v>8.9999999999999999E-10</v>
      </c>
      <c r="AD126" s="411">
        <f>計分版!N$13</f>
        <v>9.5000000000000003E-10</v>
      </c>
      <c r="AF126" s="413" t="s">
        <v>2308</v>
      </c>
      <c r="AG126" s="413" t="s">
        <v>2309</v>
      </c>
    </row>
    <row r="127" spans="1:33">
      <c r="A127" s="2" t="s">
        <v>433</v>
      </c>
      <c r="B127" s="2" t="s">
        <v>523</v>
      </c>
      <c r="C127" s="26" t="s">
        <v>189</v>
      </c>
      <c r="D127" s="19"/>
      <c r="E127" s="419">
        <v>3</v>
      </c>
      <c r="F127" s="419">
        <v>3</v>
      </c>
      <c r="G127" s="419">
        <v>2</v>
      </c>
      <c r="H127" s="419">
        <v>2</v>
      </c>
      <c r="I127" s="419">
        <v>3</v>
      </c>
      <c r="J127" s="419">
        <v>3</v>
      </c>
      <c r="L127" s="411">
        <f t="shared" si="31"/>
        <v>0</v>
      </c>
      <c r="M127" s="411">
        <f t="shared" si="32"/>
        <v>0</v>
      </c>
      <c r="N127" s="411">
        <f t="shared" si="33"/>
        <v>0</v>
      </c>
      <c r="O127" s="411">
        <f t="shared" si="34"/>
        <v>0</v>
      </c>
      <c r="P127" s="413">
        <f t="shared" si="35"/>
        <v>0</v>
      </c>
      <c r="Q127" s="413">
        <f t="shared" si="36"/>
        <v>0</v>
      </c>
      <c r="S127" s="78">
        <f t="shared" si="30"/>
        <v>0</v>
      </c>
      <c r="U127" s="411">
        <f>計分版!E$13</f>
        <v>1E-10</v>
      </c>
      <c r="V127" s="411">
        <f>計分版!F$13</f>
        <v>2.0000000000000001E-10</v>
      </c>
      <c r="W127" s="411">
        <f>計分版!G$13</f>
        <v>3E-10</v>
      </c>
      <c r="X127" s="411">
        <f>計分版!H$13</f>
        <v>4.0000000000000001E-10</v>
      </c>
      <c r="Y127" s="411">
        <f>計分版!I$13</f>
        <v>5.0000000000000003E-10</v>
      </c>
      <c r="Z127" s="411">
        <f>計分版!J$13</f>
        <v>6E-10</v>
      </c>
      <c r="AA127" s="411">
        <f>計分版!K$13</f>
        <v>6.9999999999999996E-10</v>
      </c>
      <c r="AB127" s="411">
        <f>計分版!L$13</f>
        <v>8.0000000000000003E-10</v>
      </c>
      <c r="AC127" s="411">
        <f>計分版!M$13</f>
        <v>8.9999999999999999E-10</v>
      </c>
      <c r="AD127" s="411">
        <f>計分版!N$13</f>
        <v>9.5000000000000003E-10</v>
      </c>
      <c r="AF127" s="413" t="s">
        <v>2308</v>
      </c>
      <c r="AG127" s="413" t="s">
        <v>2309</v>
      </c>
    </row>
    <row r="128" spans="1:33">
      <c r="A128" s="2" t="s">
        <v>434</v>
      </c>
      <c r="B128" s="2" t="s">
        <v>524</v>
      </c>
      <c r="C128" s="26" t="s">
        <v>189</v>
      </c>
      <c r="D128" s="19"/>
      <c r="E128" s="419">
        <v>3</v>
      </c>
      <c r="F128" s="419">
        <v>3</v>
      </c>
      <c r="G128" s="419">
        <v>2</v>
      </c>
      <c r="H128" s="419">
        <v>2</v>
      </c>
      <c r="I128" s="419">
        <v>3</v>
      </c>
      <c r="J128" s="419">
        <v>3</v>
      </c>
      <c r="L128" s="411">
        <f t="shared" si="31"/>
        <v>0</v>
      </c>
      <c r="M128" s="411">
        <f t="shared" si="32"/>
        <v>0</v>
      </c>
      <c r="N128" s="411">
        <f t="shared" si="33"/>
        <v>0</v>
      </c>
      <c r="O128" s="411">
        <f t="shared" si="34"/>
        <v>0</v>
      </c>
      <c r="P128" s="413">
        <f t="shared" si="35"/>
        <v>0</v>
      </c>
      <c r="Q128" s="413">
        <f t="shared" si="36"/>
        <v>0</v>
      </c>
      <c r="S128" s="78">
        <f t="shared" si="30"/>
        <v>0</v>
      </c>
      <c r="U128" s="411">
        <f>計分版!E$13</f>
        <v>1E-10</v>
      </c>
      <c r="V128" s="411">
        <f>計分版!F$13</f>
        <v>2.0000000000000001E-10</v>
      </c>
      <c r="W128" s="411">
        <f>計分版!G$13</f>
        <v>3E-10</v>
      </c>
      <c r="X128" s="411">
        <f>計分版!H$13</f>
        <v>4.0000000000000001E-10</v>
      </c>
      <c r="Y128" s="411">
        <f>計分版!I$13</f>
        <v>5.0000000000000003E-10</v>
      </c>
      <c r="Z128" s="411">
        <f>計分版!J$13</f>
        <v>6E-10</v>
      </c>
      <c r="AA128" s="411">
        <f>計分版!K$13</f>
        <v>6.9999999999999996E-10</v>
      </c>
      <c r="AB128" s="411">
        <f>計分版!L$13</f>
        <v>8.0000000000000003E-10</v>
      </c>
      <c r="AC128" s="411">
        <f>計分版!M$13</f>
        <v>8.9999999999999999E-10</v>
      </c>
      <c r="AD128" s="411">
        <f>計分版!N$13</f>
        <v>9.5000000000000003E-10</v>
      </c>
      <c r="AF128" s="413" t="s">
        <v>2308</v>
      </c>
      <c r="AG128" s="413" t="s">
        <v>2309</v>
      </c>
    </row>
    <row r="129" spans="1:33">
      <c r="A129" s="2" t="s">
        <v>435</v>
      </c>
      <c r="B129" s="2" t="s">
        <v>525</v>
      </c>
      <c r="C129" s="26" t="s">
        <v>189</v>
      </c>
      <c r="D129" s="19"/>
      <c r="E129" s="419">
        <v>3</v>
      </c>
      <c r="F129" s="419">
        <v>3</v>
      </c>
      <c r="G129" s="419">
        <v>2</v>
      </c>
      <c r="H129" s="419">
        <v>2</v>
      </c>
      <c r="I129" s="419">
        <v>3</v>
      </c>
      <c r="J129" s="419">
        <v>3</v>
      </c>
      <c r="L129" s="411">
        <f t="shared" si="31"/>
        <v>0</v>
      </c>
      <c r="M129" s="411">
        <f t="shared" si="32"/>
        <v>0</v>
      </c>
      <c r="N129" s="411">
        <f t="shared" si="33"/>
        <v>0</v>
      </c>
      <c r="O129" s="411">
        <f t="shared" si="34"/>
        <v>0</v>
      </c>
      <c r="P129" s="413">
        <f t="shared" si="35"/>
        <v>0</v>
      </c>
      <c r="Q129" s="413">
        <f t="shared" si="36"/>
        <v>0</v>
      </c>
      <c r="S129" s="78">
        <f t="shared" si="30"/>
        <v>0</v>
      </c>
      <c r="U129" s="411">
        <f>計分版!E$13</f>
        <v>1E-10</v>
      </c>
      <c r="V129" s="411">
        <f>計分版!F$13</f>
        <v>2.0000000000000001E-10</v>
      </c>
      <c r="W129" s="411">
        <f>計分版!G$13</f>
        <v>3E-10</v>
      </c>
      <c r="X129" s="411">
        <f>計分版!H$13</f>
        <v>4.0000000000000001E-10</v>
      </c>
      <c r="Y129" s="411">
        <f>計分版!I$13</f>
        <v>5.0000000000000003E-10</v>
      </c>
      <c r="Z129" s="411">
        <f>計分版!J$13</f>
        <v>6E-10</v>
      </c>
      <c r="AA129" s="411">
        <f>計分版!K$13</f>
        <v>6.9999999999999996E-10</v>
      </c>
      <c r="AB129" s="411">
        <f>計分版!L$13</f>
        <v>8.0000000000000003E-10</v>
      </c>
      <c r="AC129" s="411">
        <f>計分版!M$13</f>
        <v>8.9999999999999999E-10</v>
      </c>
      <c r="AD129" s="411">
        <f>計分版!N$13</f>
        <v>9.5000000000000003E-10</v>
      </c>
      <c r="AF129" s="413" t="s">
        <v>2308</v>
      </c>
      <c r="AG129" s="413" t="s">
        <v>2309</v>
      </c>
    </row>
    <row r="130" spans="1:33">
      <c r="A130" s="2" t="s">
        <v>436</v>
      </c>
      <c r="B130" s="2" t="s">
        <v>526</v>
      </c>
      <c r="C130" s="26" t="s">
        <v>189</v>
      </c>
      <c r="D130" s="78"/>
      <c r="E130" s="419">
        <v>3</v>
      </c>
      <c r="F130" s="419">
        <v>3</v>
      </c>
      <c r="G130" s="419">
        <v>2</v>
      </c>
      <c r="H130" s="419">
        <v>2</v>
      </c>
      <c r="I130" s="419">
        <v>3</v>
      </c>
      <c r="J130" s="419">
        <v>3</v>
      </c>
      <c r="L130" s="411">
        <f t="shared" si="31"/>
        <v>0</v>
      </c>
      <c r="M130" s="411">
        <f t="shared" si="32"/>
        <v>0</v>
      </c>
      <c r="N130" s="411">
        <f t="shared" si="33"/>
        <v>0</v>
      </c>
      <c r="O130" s="411">
        <f t="shared" si="34"/>
        <v>0</v>
      </c>
      <c r="P130" s="413">
        <f t="shared" si="35"/>
        <v>0</v>
      </c>
      <c r="Q130" s="413">
        <f t="shared" si="36"/>
        <v>0</v>
      </c>
      <c r="S130" s="78">
        <f t="shared" si="30"/>
        <v>0</v>
      </c>
      <c r="U130" s="411">
        <f>計分版!E$13</f>
        <v>1E-10</v>
      </c>
      <c r="V130" s="411">
        <f>計分版!F$13</f>
        <v>2.0000000000000001E-10</v>
      </c>
      <c r="W130" s="411">
        <f>計分版!G$13</f>
        <v>3E-10</v>
      </c>
      <c r="X130" s="411">
        <f>計分版!H$13</f>
        <v>4.0000000000000001E-10</v>
      </c>
      <c r="Y130" s="411">
        <f>計分版!I$13</f>
        <v>5.0000000000000003E-10</v>
      </c>
      <c r="Z130" s="411">
        <f>計分版!J$13</f>
        <v>6E-10</v>
      </c>
      <c r="AA130" s="411">
        <f>計分版!K$13</f>
        <v>6.9999999999999996E-10</v>
      </c>
      <c r="AB130" s="411">
        <f>計分版!L$13</f>
        <v>8.0000000000000003E-10</v>
      </c>
      <c r="AC130" s="411">
        <f>計分版!M$13</f>
        <v>8.9999999999999999E-10</v>
      </c>
      <c r="AD130" s="411">
        <f>計分版!N$13</f>
        <v>9.5000000000000003E-10</v>
      </c>
      <c r="AF130" s="413" t="s">
        <v>2308</v>
      </c>
      <c r="AG130" s="413" t="s">
        <v>2309</v>
      </c>
    </row>
    <row r="131" spans="1:33">
      <c r="A131" s="2" t="s">
        <v>437</v>
      </c>
      <c r="B131" s="2" t="s">
        <v>527</v>
      </c>
      <c r="C131" s="26" t="s">
        <v>189</v>
      </c>
      <c r="D131" s="78"/>
      <c r="E131" s="419">
        <v>3</v>
      </c>
      <c r="F131" s="419">
        <v>3</v>
      </c>
      <c r="G131" s="419">
        <v>2</v>
      </c>
      <c r="H131" s="419">
        <v>2</v>
      </c>
      <c r="I131" s="419">
        <v>3</v>
      </c>
      <c r="J131" s="419">
        <v>3</v>
      </c>
      <c r="L131" s="411">
        <f t="shared" si="31"/>
        <v>0</v>
      </c>
      <c r="M131" s="411">
        <f t="shared" si="32"/>
        <v>0</v>
      </c>
      <c r="N131" s="411">
        <f t="shared" si="33"/>
        <v>0</v>
      </c>
      <c r="O131" s="411">
        <f t="shared" si="34"/>
        <v>0</v>
      </c>
      <c r="P131" s="413">
        <f t="shared" si="35"/>
        <v>0</v>
      </c>
      <c r="Q131" s="413">
        <f t="shared" si="36"/>
        <v>0</v>
      </c>
      <c r="S131" s="78">
        <f t="shared" si="30"/>
        <v>0</v>
      </c>
      <c r="U131" s="411">
        <f>計分版!E$13</f>
        <v>1E-10</v>
      </c>
      <c r="V131" s="411">
        <f>計分版!F$13</f>
        <v>2.0000000000000001E-10</v>
      </c>
      <c r="W131" s="411">
        <f>計分版!G$13</f>
        <v>3E-10</v>
      </c>
      <c r="X131" s="411">
        <f>計分版!H$13</f>
        <v>4.0000000000000001E-10</v>
      </c>
      <c r="Y131" s="411">
        <f>計分版!I$13</f>
        <v>5.0000000000000003E-10</v>
      </c>
      <c r="Z131" s="411">
        <f>計分版!J$13</f>
        <v>6E-10</v>
      </c>
      <c r="AA131" s="411">
        <f>計分版!K$13</f>
        <v>6.9999999999999996E-10</v>
      </c>
      <c r="AB131" s="411">
        <f>計分版!L$13</f>
        <v>8.0000000000000003E-10</v>
      </c>
      <c r="AC131" s="411">
        <f>計分版!M$13</f>
        <v>8.9999999999999999E-10</v>
      </c>
      <c r="AD131" s="411">
        <f>計分版!N$13</f>
        <v>9.5000000000000003E-10</v>
      </c>
      <c r="AF131" s="413" t="s">
        <v>2308</v>
      </c>
      <c r="AG131" s="413" t="s">
        <v>2309</v>
      </c>
    </row>
    <row r="132" spans="1:33">
      <c r="A132" s="2" t="s">
        <v>438</v>
      </c>
      <c r="B132" s="2" t="s">
        <v>528</v>
      </c>
      <c r="C132" s="26" t="s">
        <v>189</v>
      </c>
      <c r="D132" s="78"/>
      <c r="E132" s="419">
        <v>3</v>
      </c>
      <c r="F132" s="419">
        <v>3</v>
      </c>
      <c r="G132" s="419">
        <v>2</v>
      </c>
      <c r="H132" s="419">
        <v>2</v>
      </c>
      <c r="I132" s="419">
        <v>3</v>
      </c>
      <c r="J132" s="419">
        <v>3</v>
      </c>
      <c r="L132" s="411">
        <f t="shared" si="31"/>
        <v>0</v>
      </c>
      <c r="M132" s="411">
        <f t="shared" si="32"/>
        <v>0</v>
      </c>
      <c r="N132" s="411">
        <f t="shared" si="33"/>
        <v>0</v>
      </c>
      <c r="O132" s="411">
        <f t="shared" si="34"/>
        <v>0</v>
      </c>
      <c r="P132" s="413">
        <f t="shared" si="35"/>
        <v>0</v>
      </c>
      <c r="Q132" s="413">
        <f t="shared" si="36"/>
        <v>0</v>
      </c>
      <c r="S132" s="78">
        <f t="shared" si="30"/>
        <v>0</v>
      </c>
      <c r="U132" s="411">
        <f>計分版!E$13</f>
        <v>1E-10</v>
      </c>
      <c r="V132" s="411">
        <f>計分版!F$13</f>
        <v>2.0000000000000001E-10</v>
      </c>
      <c r="W132" s="411">
        <f>計分版!G$13</f>
        <v>3E-10</v>
      </c>
      <c r="X132" s="411">
        <f>計分版!H$13</f>
        <v>4.0000000000000001E-10</v>
      </c>
      <c r="Y132" s="411">
        <f>計分版!I$13</f>
        <v>5.0000000000000003E-10</v>
      </c>
      <c r="Z132" s="411">
        <f>計分版!J$13</f>
        <v>6E-10</v>
      </c>
      <c r="AA132" s="411">
        <f>計分版!K$13</f>
        <v>6.9999999999999996E-10</v>
      </c>
      <c r="AB132" s="411">
        <f>計分版!L$13</f>
        <v>8.0000000000000003E-10</v>
      </c>
      <c r="AC132" s="411">
        <f>計分版!M$13</f>
        <v>8.9999999999999999E-10</v>
      </c>
      <c r="AD132" s="411">
        <f>計分版!N$13</f>
        <v>9.5000000000000003E-10</v>
      </c>
      <c r="AF132" s="413" t="s">
        <v>2308</v>
      </c>
      <c r="AG132" s="413" t="s">
        <v>2309</v>
      </c>
    </row>
    <row r="133" spans="1:33">
      <c r="E133" s="423"/>
      <c r="F133" s="419"/>
      <c r="G133" s="419"/>
      <c r="H133" s="419"/>
      <c r="I133" s="419"/>
      <c r="J133" s="419"/>
      <c r="Q133" s="78"/>
      <c r="R133" s="78"/>
    </row>
    <row r="134" spans="1:33">
      <c r="A134" s="2" t="s">
        <v>439</v>
      </c>
      <c r="B134" s="2" t="s">
        <v>538</v>
      </c>
      <c r="C134" s="26" t="s">
        <v>549</v>
      </c>
      <c r="D134" s="78"/>
      <c r="E134" s="419">
        <v>2</v>
      </c>
      <c r="F134" s="419">
        <v>2</v>
      </c>
      <c r="G134" s="419">
        <v>2</v>
      </c>
      <c r="H134" s="419">
        <v>2</v>
      </c>
      <c r="I134" s="419">
        <v>2</v>
      </c>
      <c r="J134" s="419"/>
      <c r="L134" s="411">
        <f t="shared" si="31"/>
        <v>0</v>
      </c>
      <c r="M134" s="411">
        <f t="shared" ref="M134" si="37">IF(F134&gt;V134,0,1)</f>
        <v>0</v>
      </c>
      <c r="N134" s="411">
        <f t="shared" ref="N134" si="38">IF(G134&gt;W134,0,1)</f>
        <v>0</v>
      </c>
      <c r="O134" s="411">
        <f t="shared" ref="O134" si="39">IF(H134&gt;X134,0,1)</f>
        <v>0</v>
      </c>
      <c r="P134" s="78">
        <f>IF(I134&gt;LARGE(W134:AD134,3),0,1)</f>
        <v>0</v>
      </c>
      <c r="S134" s="78">
        <f>L134*M134*N134*O134*P134</f>
        <v>0</v>
      </c>
      <c r="U134" s="411">
        <f>計分版!E$13</f>
        <v>1E-10</v>
      </c>
      <c r="V134" s="411">
        <f>計分版!F$13</f>
        <v>2.0000000000000001E-10</v>
      </c>
      <c r="W134" s="411">
        <f>計分版!G$13</f>
        <v>3E-10</v>
      </c>
      <c r="X134" s="411">
        <f>計分版!H$13</f>
        <v>4.0000000000000001E-10</v>
      </c>
      <c r="Y134" s="411">
        <f>計分版!I$13</f>
        <v>5.0000000000000003E-10</v>
      </c>
      <c r="Z134" s="411">
        <f>計分版!J$13</f>
        <v>6E-10</v>
      </c>
      <c r="AA134" s="411">
        <f>計分版!K$13</f>
        <v>6.9999999999999996E-10</v>
      </c>
      <c r="AB134" s="411">
        <f>計分版!L$13</f>
        <v>8.0000000000000003E-10</v>
      </c>
      <c r="AC134" s="411">
        <f>計分版!M$13</f>
        <v>8.9999999999999999E-10</v>
      </c>
      <c r="AD134" s="411">
        <f>計分版!N$13</f>
        <v>9.5000000000000003E-10</v>
      </c>
      <c r="AF134" s="413" t="s">
        <v>2308</v>
      </c>
      <c r="AG134" s="413" t="s">
        <v>2309</v>
      </c>
    </row>
    <row r="135" spans="1:33">
      <c r="A135" s="2" t="s">
        <v>440</v>
      </c>
      <c r="B135" s="2" t="s">
        <v>539</v>
      </c>
      <c r="C135" s="26" t="s">
        <v>549</v>
      </c>
      <c r="D135" s="78"/>
      <c r="E135" s="419">
        <v>2</v>
      </c>
      <c r="F135" s="419">
        <v>2</v>
      </c>
      <c r="G135" s="419">
        <v>2</v>
      </c>
      <c r="H135" s="419">
        <v>2</v>
      </c>
      <c r="I135" s="419">
        <v>2</v>
      </c>
      <c r="J135" s="419"/>
      <c r="L135" s="411">
        <f t="shared" ref="L135:L143" si="40">IF(E135&gt;U135,0,1)</f>
        <v>0</v>
      </c>
      <c r="M135" s="411">
        <f t="shared" ref="M135:M143" si="41">IF(F135&gt;V135,0,1)</f>
        <v>0</v>
      </c>
      <c r="N135" s="411">
        <f t="shared" ref="N135:N143" si="42">IF(G135&gt;W135,0,1)</f>
        <v>0</v>
      </c>
      <c r="O135" s="411">
        <f t="shared" ref="O135:O143" si="43">IF(H135&gt;X135,0,1)</f>
        <v>0</v>
      </c>
      <c r="P135" s="413">
        <f t="shared" ref="P135:P143" si="44">IF(I135&gt;LARGE(W135:AD135,3),0,1)</f>
        <v>0</v>
      </c>
      <c r="S135" s="78">
        <f t="shared" ref="S135:S143" si="45">L135*M135*N135*O135*P135</f>
        <v>0</v>
      </c>
      <c r="U135" s="411">
        <f>計分版!E$13</f>
        <v>1E-10</v>
      </c>
      <c r="V135" s="411">
        <f>計分版!F$13</f>
        <v>2.0000000000000001E-10</v>
      </c>
      <c r="W135" s="411">
        <f>計分版!G$13</f>
        <v>3E-10</v>
      </c>
      <c r="X135" s="411">
        <f>計分版!H$13</f>
        <v>4.0000000000000001E-10</v>
      </c>
      <c r="Y135" s="411">
        <f>計分版!I$13</f>
        <v>5.0000000000000003E-10</v>
      </c>
      <c r="Z135" s="411">
        <f>計分版!J$13</f>
        <v>6E-10</v>
      </c>
      <c r="AA135" s="411">
        <f>計分版!K$13</f>
        <v>6.9999999999999996E-10</v>
      </c>
      <c r="AB135" s="411">
        <f>計分版!L$13</f>
        <v>8.0000000000000003E-10</v>
      </c>
      <c r="AC135" s="411">
        <f>計分版!M$13</f>
        <v>8.9999999999999999E-10</v>
      </c>
      <c r="AD135" s="411">
        <f>計分版!N$13</f>
        <v>9.5000000000000003E-10</v>
      </c>
      <c r="AF135" s="413" t="s">
        <v>2308</v>
      </c>
      <c r="AG135" s="413" t="s">
        <v>2309</v>
      </c>
    </row>
    <row r="136" spans="1:33">
      <c r="A136" s="2" t="s">
        <v>441</v>
      </c>
      <c r="B136" s="2" t="s">
        <v>540</v>
      </c>
      <c r="C136" s="26" t="s">
        <v>549</v>
      </c>
      <c r="D136" s="78"/>
      <c r="E136" s="419">
        <v>2</v>
      </c>
      <c r="F136" s="419">
        <v>2</v>
      </c>
      <c r="G136" s="419">
        <v>2</v>
      </c>
      <c r="H136" s="419">
        <v>2</v>
      </c>
      <c r="I136" s="419">
        <v>2</v>
      </c>
      <c r="J136" s="419"/>
      <c r="L136" s="411">
        <f t="shared" si="40"/>
        <v>0</v>
      </c>
      <c r="M136" s="411">
        <f t="shared" si="41"/>
        <v>0</v>
      </c>
      <c r="N136" s="411">
        <f t="shared" si="42"/>
        <v>0</v>
      </c>
      <c r="O136" s="411">
        <f t="shared" si="43"/>
        <v>0</v>
      </c>
      <c r="P136" s="413">
        <f t="shared" si="44"/>
        <v>0</v>
      </c>
      <c r="S136" s="78">
        <f t="shared" si="45"/>
        <v>0</v>
      </c>
      <c r="U136" s="411">
        <f>計分版!E$13</f>
        <v>1E-10</v>
      </c>
      <c r="V136" s="411">
        <f>計分版!F$13</f>
        <v>2.0000000000000001E-10</v>
      </c>
      <c r="W136" s="411">
        <f>計分版!G$13</f>
        <v>3E-10</v>
      </c>
      <c r="X136" s="411">
        <f>計分版!H$13</f>
        <v>4.0000000000000001E-10</v>
      </c>
      <c r="Y136" s="411">
        <f>計分版!I$13</f>
        <v>5.0000000000000003E-10</v>
      </c>
      <c r="Z136" s="411">
        <f>計分版!J$13</f>
        <v>6E-10</v>
      </c>
      <c r="AA136" s="411">
        <f>計分版!K$13</f>
        <v>6.9999999999999996E-10</v>
      </c>
      <c r="AB136" s="411">
        <f>計分版!L$13</f>
        <v>8.0000000000000003E-10</v>
      </c>
      <c r="AC136" s="411">
        <f>計分版!M$13</f>
        <v>8.9999999999999999E-10</v>
      </c>
      <c r="AD136" s="411">
        <f>計分版!N$13</f>
        <v>9.5000000000000003E-10</v>
      </c>
      <c r="AF136" s="413" t="s">
        <v>2308</v>
      </c>
      <c r="AG136" s="413" t="s">
        <v>2309</v>
      </c>
    </row>
    <row r="137" spans="1:33">
      <c r="A137" s="2" t="s">
        <v>442</v>
      </c>
      <c r="B137" s="2" t="s">
        <v>541</v>
      </c>
      <c r="C137" s="26" t="s">
        <v>549</v>
      </c>
      <c r="D137" s="78"/>
      <c r="E137" s="419">
        <v>2</v>
      </c>
      <c r="F137" s="419">
        <v>2</v>
      </c>
      <c r="G137" s="419">
        <v>2</v>
      </c>
      <c r="H137" s="419">
        <v>2</v>
      </c>
      <c r="I137" s="419">
        <v>2</v>
      </c>
      <c r="J137" s="419"/>
      <c r="L137" s="411">
        <f t="shared" si="40"/>
        <v>0</v>
      </c>
      <c r="M137" s="411">
        <f t="shared" si="41"/>
        <v>0</v>
      </c>
      <c r="N137" s="411">
        <f t="shared" si="42"/>
        <v>0</v>
      </c>
      <c r="O137" s="411">
        <f t="shared" si="43"/>
        <v>0</v>
      </c>
      <c r="P137" s="413">
        <f t="shared" si="44"/>
        <v>0</v>
      </c>
      <c r="S137" s="78">
        <f t="shared" si="45"/>
        <v>0</v>
      </c>
      <c r="U137" s="411">
        <f>計分版!E$13</f>
        <v>1E-10</v>
      </c>
      <c r="V137" s="411">
        <f>計分版!F$13</f>
        <v>2.0000000000000001E-10</v>
      </c>
      <c r="W137" s="411">
        <f>計分版!G$13</f>
        <v>3E-10</v>
      </c>
      <c r="X137" s="411">
        <f>計分版!H$13</f>
        <v>4.0000000000000001E-10</v>
      </c>
      <c r="Y137" s="411">
        <f>計分版!I$13</f>
        <v>5.0000000000000003E-10</v>
      </c>
      <c r="Z137" s="411">
        <f>計分版!J$13</f>
        <v>6E-10</v>
      </c>
      <c r="AA137" s="411">
        <f>計分版!K$13</f>
        <v>6.9999999999999996E-10</v>
      </c>
      <c r="AB137" s="411">
        <f>計分版!L$13</f>
        <v>8.0000000000000003E-10</v>
      </c>
      <c r="AC137" s="411">
        <f>計分版!M$13</f>
        <v>8.9999999999999999E-10</v>
      </c>
      <c r="AD137" s="411">
        <f>計分版!N$13</f>
        <v>9.5000000000000003E-10</v>
      </c>
      <c r="AF137" s="413" t="s">
        <v>2308</v>
      </c>
      <c r="AG137" s="413" t="s">
        <v>2309</v>
      </c>
    </row>
    <row r="138" spans="1:33">
      <c r="A138" s="2" t="s">
        <v>443</v>
      </c>
      <c r="B138" s="2" t="s">
        <v>542</v>
      </c>
      <c r="C138" s="26" t="s">
        <v>549</v>
      </c>
      <c r="D138" s="78"/>
      <c r="E138" s="419">
        <v>2</v>
      </c>
      <c r="F138" s="419">
        <v>2</v>
      </c>
      <c r="G138" s="419">
        <v>2</v>
      </c>
      <c r="H138" s="419">
        <v>2</v>
      </c>
      <c r="I138" s="419">
        <v>2</v>
      </c>
      <c r="J138" s="419"/>
      <c r="L138" s="411">
        <f t="shared" si="40"/>
        <v>0</v>
      </c>
      <c r="M138" s="411">
        <f t="shared" si="41"/>
        <v>0</v>
      </c>
      <c r="N138" s="411">
        <f t="shared" si="42"/>
        <v>0</v>
      </c>
      <c r="O138" s="411">
        <f t="shared" si="43"/>
        <v>0</v>
      </c>
      <c r="P138" s="413">
        <f t="shared" si="44"/>
        <v>0</v>
      </c>
      <c r="S138" s="78">
        <f t="shared" si="45"/>
        <v>0</v>
      </c>
      <c r="U138" s="411">
        <f>計分版!E$13</f>
        <v>1E-10</v>
      </c>
      <c r="V138" s="411">
        <f>計分版!F$13</f>
        <v>2.0000000000000001E-10</v>
      </c>
      <c r="W138" s="411">
        <f>計分版!G$13</f>
        <v>3E-10</v>
      </c>
      <c r="X138" s="411">
        <f>計分版!H$13</f>
        <v>4.0000000000000001E-10</v>
      </c>
      <c r="Y138" s="411">
        <f>計分版!I$13</f>
        <v>5.0000000000000003E-10</v>
      </c>
      <c r="Z138" s="411">
        <f>計分版!J$13</f>
        <v>6E-10</v>
      </c>
      <c r="AA138" s="411">
        <f>計分版!K$13</f>
        <v>6.9999999999999996E-10</v>
      </c>
      <c r="AB138" s="411">
        <f>計分版!L$13</f>
        <v>8.0000000000000003E-10</v>
      </c>
      <c r="AC138" s="411">
        <f>計分版!M$13</f>
        <v>8.9999999999999999E-10</v>
      </c>
      <c r="AD138" s="411">
        <f>計分版!N$13</f>
        <v>9.5000000000000003E-10</v>
      </c>
      <c r="AF138" s="413" t="s">
        <v>2308</v>
      </c>
      <c r="AG138" s="413" t="s">
        <v>2309</v>
      </c>
    </row>
    <row r="139" spans="1:33">
      <c r="A139" s="2" t="s">
        <v>444</v>
      </c>
      <c r="B139" s="2" t="s">
        <v>543</v>
      </c>
      <c r="C139" s="26" t="s">
        <v>549</v>
      </c>
      <c r="D139" s="78"/>
      <c r="E139" s="419">
        <v>2</v>
      </c>
      <c r="F139" s="419">
        <v>2</v>
      </c>
      <c r="G139" s="419">
        <v>2</v>
      </c>
      <c r="H139" s="419">
        <v>2</v>
      </c>
      <c r="I139" s="419">
        <v>2</v>
      </c>
      <c r="J139" s="419"/>
      <c r="L139" s="411">
        <f t="shared" si="40"/>
        <v>0</v>
      </c>
      <c r="M139" s="411">
        <f t="shared" si="41"/>
        <v>0</v>
      </c>
      <c r="N139" s="411">
        <f t="shared" si="42"/>
        <v>0</v>
      </c>
      <c r="O139" s="411">
        <f t="shared" si="43"/>
        <v>0</v>
      </c>
      <c r="P139" s="413">
        <f t="shared" si="44"/>
        <v>0</v>
      </c>
      <c r="S139" s="78">
        <f t="shared" si="45"/>
        <v>0</v>
      </c>
      <c r="U139" s="411">
        <f>計分版!E$13</f>
        <v>1E-10</v>
      </c>
      <c r="V139" s="411">
        <f>計分版!F$13</f>
        <v>2.0000000000000001E-10</v>
      </c>
      <c r="W139" s="411">
        <f>計分版!G$13</f>
        <v>3E-10</v>
      </c>
      <c r="X139" s="411">
        <f>計分版!H$13</f>
        <v>4.0000000000000001E-10</v>
      </c>
      <c r="Y139" s="411">
        <f>計分版!I$13</f>
        <v>5.0000000000000003E-10</v>
      </c>
      <c r="Z139" s="411">
        <f>計分版!J$13</f>
        <v>6E-10</v>
      </c>
      <c r="AA139" s="411">
        <f>計分版!K$13</f>
        <v>6.9999999999999996E-10</v>
      </c>
      <c r="AB139" s="411">
        <f>計分版!L$13</f>
        <v>8.0000000000000003E-10</v>
      </c>
      <c r="AC139" s="411">
        <f>計分版!M$13</f>
        <v>8.9999999999999999E-10</v>
      </c>
      <c r="AD139" s="411">
        <f>計分版!N$13</f>
        <v>9.5000000000000003E-10</v>
      </c>
      <c r="AF139" s="413" t="s">
        <v>2308</v>
      </c>
      <c r="AG139" s="413" t="s">
        <v>2309</v>
      </c>
    </row>
    <row r="140" spans="1:33">
      <c r="A140" s="2" t="s">
        <v>445</v>
      </c>
      <c r="B140" s="2" t="s">
        <v>544</v>
      </c>
      <c r="C140" s="26" t="s">
        <v>549</v>
      </c>
      <c r="D140" s="78"/>
      <c r="E140" s="419">
        <v>2</v>
      </c>
      <c r="F140" s="419">
        <v>2</v>
      </c>
      <c r="G140" s="419">
        <v>2</v>
      </c>
      <c r="H140" s="419">
        <v>2</v>
      </c>
      <c r="I140" s="419">
        <v>2</v>
      </c>
      <c r="J140" s="419"/>
      <c r="L140" s="411">
        <f t="shared" si="40"/>
        <v>0</v>
      </c>
      <c r="M140" s="411">
        <f t="shared" si="41"/>
        <v>0</v>
      </c>
      <c r="N140" s="411">
        <f t="shared" si="42"/>
        <v>0</v>
      </c>
      <c r="O140" s="411">
        <f t="shared" si="43"/>
        <v>0</v>
      </c>
      <c r="P140" s="413">
        <f t="shared" si="44"/>
        <v>0</v>
      </c>
      <c r="S140" s="78">
        <f t="shared" si="45"/>
        <v>0</v>
      </c>
      <c r="U140" s="411">
        <f>計分版!E$13</f>
        <v>1E-10</v>
      </c>
      <c r="V140" s="411">
        <f>計分版!F$13</f>
        <v>2.0000000000000001E-10</v>
      </c>
      <c r="W140" s="411">
        <f>計分版!G$13</f>
        <v>3E-10</v>
      </c>
      <c r="X140" s="411">
        <f>計分版!H$13</f>
        <v>4.0000000000000001E-10</v>
      </c>
      <c r="Y140" s="411">
        <f>計分版!I$13</f>
        <v>5.0000000000000003E-10</v>
      </c>
      <c r="Z140" s="411">
        <f>計分版!J$13</f>
        <v>6E-10</v>
      </c>
      <c r="AA140" s="411">
        <f>計分版!K$13</f>
        <v>6.9999999999999996E-10</v>
      </c>
      <c r="AB140" s="411">
        <f>計分版!L$13</f>
        <v>8.0000000000000003E-10</v>
      </c>
      <c r="AC140" s="411">
        <f>計分版!M$13</f>
        <v>8.9999999999999999E-10</v>
      </c>
      <c r="AD140" s="411">
        <f>計分版!N$13</f>
        <v>9.5000000000000003E-10</v>
      </c>
      <c r="AF140" s="413" t="s">
        <v>2308</v>
      </c>
      <c r="AG140" s="413" t="s">
        <v>2309</v>
      </c>
    </row>
    <row r="141" spans="1:33">
      <c r="A141" s="2" t="s">
        <v>446</v>
      </c>
      <c r="B141" s="2" t="s">
        <v>545</v>
      </c>
      <c r="C141" s="26" t="s">
        <v>549</v>
      </c>
      <c r="D141" s="78"/>
      <c r="E141" s="419">
        <v>2</v>
      </c>
      <c r="F141" s="419">
        <v>2</v>
      </c>
      <c r="G141" s="419">
        <v>2</v>
      </c>
      <c r="H141" s="419">
        <v>2</v>
      </c>
      <c r="I141" s="419">
        <v>2</v>
      </c>
      <c r="J141" s="419"/>
      <c r="L141" s="411">
        <f t="shared" si="40"/>
        <v>0</v>
      </c>
      <c r="M141" s="411">
        <f t="shared" si="41"/>
        <v>0</v>
      </c>
      <c r="N141" s="411">
        <f t="shared" si="42"/>
        <v>0</v>
      </c>
      <c r="O141" s="411">
        <f t="shared" si="43"/>
        <v>0</v>
      </c>
      <c r="P141" s="413">
        <f t="shared" si="44"/>
        <v>0</v>
      </c>
      <c r="S141" s="78">
        <f t="shared" si="45"/>
        <v>0</v>
      </c>
      <c r="T141" s="2"/>
      <c r="U141" s="411">
        <f>計分版!E$13</f>
        <v>1E-10</v>
      </c>
      <c r="V141" s="411">
        <f>計分版!F$13</f>
        <v>2.0000000000000001E-10</v>
      </c>
      <c r="W141" s="411">
        <f>計分版!G$13</f>
        <v>3E-10</v>
      </c>
      <c r="X141" s="411">
        <f>計分版!H$13</f>
        <v>4.0000000000000001E-10</v>
      </c>
      <c r="Y141" s="411">
        <f>計分版!I$13</f>
        <v>5.0000000000000003E-10</v>
      </c>
      <c r="Z141" s="411">
        <f>計分版!J$13</f>
        <v>6E-10</v>
      </c>
      <c r="AA141" s="411">
        <f>計分版!K$13</f>
        <v>6.9999999999999996E-10</v>
      </c>
      <c r="AB141" s="411">
        <f>計分版!L$13</f>
        <v>8.0000000000000003E-10</v>
      </c>
      <c r="AC141" s="411">
        <f>計分版!M$13</f>
        <v>8.9999999999999999E-10</v>
      </c>
      <c r="AD141" s="411">
        <f>計分版!N$13</f>
        <v>9.5000000000000003E-10</v>
      </c>
      <c r="AF141" s="413" t="s">
        <v>2308</v>
      </c>
      <c r="AG141" s="413" t="s">
        <v>2309</v>
      </c>
    </row>
    <row r="142" spans="1:33">
      <c r="A142" s="2" t="s">
        <v>447</v>
      </c>
      <c r="B142" s="2" t="s">
        <v>546</v>
      </c>
      <c r="C142" s="26" t="s">
        <v>549</v>
      </c>
      <c r="D142" s="78"/>
      <c r="E142" s="419">
        <v>2</v>
      </c>
      <c r="F142" s="419">
        <v>2</v>
      </c>
      <c r="G142" s="419">
        <v>2</v>
      </c>
      <c r="H142" s="419">
        <v>2</v>
      </c>
      <c r="I142" s="419">
        <v>2</v>
      </c>
      <c r="J142" s="419"/>
      <c r="L142" s="411">
        <f t="shared" si="40"/>
        <v>0</v>
      </c>
      <c r="M142" s="411">
        <f t="shared" si="41"/>
        <v>0</v>
      </c>
      <c r="N142" s="411">
        <f t="shared" si="42"/>
        <v>0</v>
      </c>
      <c r="O142" s="411">
        <f t="shared" si="43"/>
        <v>0</v>
      </c>
      <c r="P142" s="413">
        <f t="shared" si="44"/>
        <v>0</v>
      </c>
      <c r="S142" s="78">
        <f t="shared" si="45"/>
        <v>0</v>
      </c>
      <c r="U142" s="411">
        <f>計分版!E$13</f>
        <v>1E-10</v>
      </c>
      <c r="V142" s="411">
        <f>計分版!F$13</f>
        <v>2.0000000000000001E-10</v>
      </c>
      <c r="W142" s="411">
        <f>計分版!G$13</f>
        <v>3E-10</v>
      </c>
      <c r="X142" s="411">
        <f>計分版!H$13</f>
        <v>4.0000000000000001E-10</v>
      </c>
      <c r="Y142" s="411">
        <f>計分版!I$13</f>
        <v>5.0000000000000003E-10</v>
      </c>
      <c r="Z142" s="411">
        <f>計分版!J$13</f>
        <v>6E-10</v>
      </c>
      <c r="AA142" s="411">
        <f>計分版!K$13</f>
        <v>6.9999999999999996E-10</v>
      </c>
      <c r="AB142" s="411">
        <f>計分版!L$13</f>
        <v>8.0000000000000003E-10</v>
      </c>
      <c r="AC142" s="411">
        <f>計分版!M$13</f>
        <v>8.9999999999999999E-10</v>
      </c>
      <c r="AD142" s="411">
        <f>計分版!N$13</f>
        <v>9.5000000000000003E-10</v>
      </c>
      <c r="AF142" s="413" t="s">
        <v>2308</v>
      </c>
      <c r="AG142" s="413" t="s">
        <v>2309</v>
      </c>
    </row>
    <row r="143" spans="1:33">
      <c r="A143" s="2" t="s">
        <v>448</v>
      </c>
      <c r="B143" s="2" t="s">
        <v>547</v>
      </c>
      <c r="C143" s="26" t="s">
        <v>549</v>
      </c>
      <c r="D143" s="78"/>
      <c r="E143" s="419">
        <v>2</v>
      </c>
      <c r="F143" s="419">
        <v>2</v>
      </c>
      <c r="G143" s="419">
        <v>2</v>
      </c>
      <c r="H143" s="419">
        <v>2</v>
      </c>
      <c r="I143" s="419">
        <v>2</v>
      </c>
      <c r="J143" s="419"/>
      <c r="L143" s="411">
        <f t="shared" si="40"/>
        <v>0</v>
      </c>
      <c r="M143" s="411">
        <f t="shared" si="41"/>
        <v>0</v>
      </c>
      <c r="N143" s="411">
        <f t="shared" si="42"/>
        <v>0</v>
      </c>
      <c r="O143" s="411">
        <f t="shared" si="43"/>
        <v>0</v>
      </c>
      <c r="P143" s="413">
        <f t="shared" si="44"/>
        <v>0</v>
      </c>
      <c r="S143" s="78">
        <f t="shared" si="45"/>
        <v>0</v>
      </c>
      <c r="U143" s="411">
        <f>計分版!E$13</f>
        <v>1E-10</v>
      </c>
      <c r="V143" s="411">
        <f>計分版!F$13</f>
        <v>2.0000000000000001E-10</v>
      </c>
      <c r="W143" s="411">
        <f>計分版!G$13</f>
        <v>3E-10</v>
      </c>
      <c r="X143" s="411">
        <f>計分版!H$13</f>
        <v>4.0000000000000001E-10</v>
      </c>
      <c r="Y143" s="411">
        <f>計分版!I$13</f>
        <v>5.0000000000000003E-10</v>
      </c>
      <c r="Z143" s="411">
        <f>計分版!J$13</f>
        <v>6E-10</v>
      </c>
      <c r="AA143" s="411">
        <f>計分版!K$13</f>
        <v>6.9999999999999996E-10</v>
      </c>
      <c r="AB143" s="411">
        <f>計分版!L$13</f>
        <v>8.0000000000000003E-10</v>
      </c>
      <c r="AC143" s="411">
        <f>計分版!M$13</f>
        <v>8.9999999999999999E-10</v>
      </c>
      <c r="AD143" s="411">
        <f>計分版!N$13</f>
        <v>9.5000000000000003E-10</v>
      </c>
      <c r="AF143" s="413" t="s">
        <v>2308</v>
      </c>
      <c r="AG143" s="413" t="s">
        <v>2309</v>
      </c>
    </row>
    <row r="144" spans="1:33">
      <c r="E144" s="419"/>
      <c r="F144" s="419"/>
      <c r="G144" s="419"/>
      <c r="H144" s="419"/>
      <c r="I144" s="419"/>
      <c r="J144" s="419"/>
    </row>
    <row r="145" spans="1:34">
      <c r="A145" s="15" t="s">
        <v>193</v>
      </c>
      <c r="E145" s="419"/>
      <c r="F145" s="419"/>
      <c r="G145" s="419"/>
      <c r="H145" s="419"/>
      <c r="I145" s="419"/>
      <c r="J145" s="419"/>
    </row>
    <row r="146" spans="1:34">
      <c r="A146" s="15" t="s">
        <v>203</v>
      </c>
      <c r="B146" s="15" t="s">
        <v>367</v>
      </c>
      <c r="C146" s="15" t="s">
        <v>204</v>
      </c>
      <c r="D146" s="24" t="s">
        <v>361</v>
      </c>
      <c r="E146" s="422" t="s">
        <v>369</v>
      </c>
      <c r="F146" s="422" t="s">
        <v>370</v>
      </c>
      <c r="G146" s="422" t="s">
        <v>371</v>
      </c>
      <c r="H146" s="422" t="s">
        <v>372</v>
      </c>
      <c r="I146" s="422" t="s">
        <v>373</v>
      </c>
      <c r="J146" s="422" t="s">
        <v>374</v>
      </c>
      <c r="K146" s="15"/>
      <c r="L146" s="24" t="s">
        <v>369</v>
      </c>
      <c r="M146" s="24" t="s">
        <v>370</v>
      </c>
      <c r="N146" s="24" t="s">
        <v>371</v>
      </c>
      <c r="O146" s="24" t="s">
        <v>372</v>
      </c>
      <c r="P146" s="24" t="s">
        <v>373</v>
      </c>
      <c r="Q146" s="24" t="s">
        <v>374</v>
      </c>
      <c r="R146" s="78"/>
      <c r="U146" s="415" t="s">
        <v>2</v>
      </c>
      <c r="V146" s="415" t="s">
        <v>1</v>
      </c>
      <c r="W146" s="415" t="s">
        <v>3</v>
      </c>
      <c r="X146" s="415" t="s">
        <v>4</v>
      </c>
      <c r="Y146" s="415" t="s">
        <v>63</v>
      </c>
      <c r="Z146" s="415" t="str">
        <f>主頁!$B$15</f>
        <v>請選擇第一選修科</v>
      </c>
      <c r="AA146" s="415" t="str">
        <f>主頁!$B$16</f>
        <v>請選擇第二選修科</v>
      </c>
      <c r="AB146" s="415" t="str">
        <f>主頁!$B$17</f>
        <v>請選擇第三選修科</v>
      </c>
      <c r="AC146" s="415" t="str">
        <f>主頁!$B$18</f>
        <v>請選擇第四選修科</v>
      </c>
      <c r="AD146" s="416" t="str">
        <f>主頁!$B$19</f>
        <v>請選擇語言科目</v>
      </c>
      <c r="AE146" s="417" t="s">
        <v>360</v>
      </c>
      <c r="AF146" s="413" t="s">
        <v>2305</v>
      </c>
      <c r="AG146" s="413" t="s">
        <v>2306</v>
      </c>
      <c r="AH146" s="413" t="s">
        <v>2307</v>
      </c>
    </row>
    <row r="147" spans="1:34">
      <c r="A147" s="2" t="s">
        <v>71</v>
      </c>
      <c r="B147" s="2" t="s">
        <v>72</v>
      </c>
      <c r="C147" s="13" t="s">
        <v>189</v>
      </c>
      <c r="D147" s="78">
        <v>20</v>
      </c>
      <c r="E147" s="419">
        <v>3</v>
      </c>
      <c r="F147" s="419">
        <v>3</v>
      </c>
      <c r="G147" s="419">
        <v>2</v>
      </c>
      <c r="H147" s="419">
        <v>2</v>
      </c>
      <c r="I147" s="419">
        <v>3</v>
      </c>
      <c r="J147" s="419">
        <v>3</v>
      </c>
      <c r="L147" s="411">
        <f t="shared" ref="L147" si="46">IF(E147&gt;U147,0,1)</f>
        <v>0</v>
      </c>
      <c r="M147" s="411">
        <f t="shared" ref="M147" si="47">IF(F147&gt;V147,0,1)</f>
        <v>0</v>
      </c>
      <c r="N147" s="411">
        <f t="shared" ref="N147" si="48">IF(G147&gt;W147,0,1)</f>
        <v>0</v>
      </c>
      <c r="O147" s="411">
        <f t="shared" ref="O147" si="49">IF(H147&gt;X147,0,1)</f>
        <v>0</v>
      </c>
      <c r="P147" s="78">
        <f>IF(I147&gt;LARGE(計分版!$I$13:$N$13,1),0,1)</f>
        <v>0</v>
      </c>
      <c r="Q147" s="78">
        <f>IF(J147&gt;LARGE(計分版!$I$13:$N$13,2),0,1)</f>
        <v>0</v>
      </c>
      <c r="R147" s="78"/>
      <c r="S147" s="78">
        <f t="shared" ref="S147:S195" si="50">L147*M147*N147*O147*P147*Q147</f>
        <v>0</v>
      </c>
      <c r="U147" s="411">
        <f>計分版!E$13</f>
        <v>1E-10</v>
      </c>
      <c r="V147" s="411">
        <f>計分版!F$13</f>
        <v>2.0000000000000001E-10</v>
      </c>
      <c r="W147" s="411">
        <f>計分版!G$13</f>
        <v>3E-10</v>
      </c>
      <c r="X147" s="411">
        <f>計分版!H$13</f>
        <v>4.0000000000000001E-10</v>
      </c>
      <c r="Y147" s="411">
        <f>計分版!I$13</f>
        <v>5.0000000000000003E-10</v>
      </c>
      <c r="Z147" s="411">
        <f>計分版!J$13</f>
        <v>6E-10</v>
      </c>
      <c r="AA147" s="411">
        <f>計分版!K$13</f>
        <v>6.9999999999999996E-10</v>
      </c>
      <c r="AB147" s="411">
        <f>計分版!L$13</f>
        <v>8.0000000000000003E-10</v>
      </c>
      <c r="AC147" s="411">
        <f>計分版!M$13</f>
        <v>8.9999999999999999E-10</v>
      </c>
      <c r="AD147" s="411">
        <f>計分版!N$13</f>
        <v>9.5000000000000003E-10</v>
      </c>
      <c r="AF147" s="413" t="s">
        <v>2308</v>
      </c>
      <c r="AG147" s="413" t="s">
        <v>2309</v>
      </c>
      <c r="AH147" s="413" t="s">
        <v>2308</v>
      </c>
    </row>
    <row r="148" spans="1:34">
      <c r="A148" s="2" t="s">
        <v>73</v>
      </c>
      <c r="B148" s="2" t="s">
        <v>74</v>
      </c>
      <c r="C148" s="13" t="s">
        <v>189</v>
      </c>
      <c r="D148" s="78">
        <v>80</v>
      </c>
      <c r="E148" s="419">
        <v>3</v>
      </c>
      <c r="F148" s="419">
        <v>3</v>
      </c>
      <c r="G148" s="419">
        <v>2</v>
      </c>
      <c r="H148" s="419">
        <v>2</v>
      </c>
      <c r="I148" s="419">
        <v>3</v>
      </c>
      <c r="J148" s="419">
        <v>3</v>
      </c>
      <c r="L148" s="411">
        <f t="shared" ref="L148:L162" si="51">IF(E148&gt;U148,0,1)</f>
        <v>0</v>
      </c>
      <c r="M148" s="411">
        <f t="shared" ref="M148:M160" si="52">IF(F148&gt;V148,0,1)</f>
        <v>0</v>
      </c>
      <c r="N148" s="411">
        <f t="shared" ref="N148:N162" si="53">IF(G148&gt;W148,0,1)</f>
        <v>0</v>
      </c>
      <c r="O148" s="411">
        <f t="shared" ref="O148:O162" si="54">IF(H148&gt;X148,0,1)</f>
        <v>0</v>
      </c>
      <c r="P148" s="78">
        <f>IF(I148&gt;LARGE(計分版!$I$13:$N$13,1),0,1)</f>
        <v>0</v>
      </c>
      <c r="Q148" s="78">
        <f>IF(J148&gt;LARGE(計分版!$I$13:$N$13,2),0,1)</f>
        <v>0</v>
      </c>
      <c r="R148" s="78"/>
      <c r="S148" s="78">
        <f t="shared" si="50"/>
        <v>0</v>
      </c>
      <c r="U148" s="411">
        <f>計分版!E$13</f>
        <v>1E-10</v>
      </c>
      <c r="V148" s="411">
        <f>計分版!F$13</f>
        <v>2.0000000000000001E-10</v>
      </c>
      <c r="W148" s="411">
        <f>計分版!G$13</f>
        <v>3E-10</v>
      </c>
      <c r="X148" s="411">
        <f>計分版!H$13</f>
        <v>4.0000000000000001E-10</v>
      </c>
      <c r="Y148" s="411">
        <f>計分版!I$13</f>
        <v>5.0000000000000003E-10</v>
      </c>
      <c r="Z148" s="411">
        <f>計分版!J$13</f>
        <v>6E-10</v>
      </c>
      <c r="AA148" s="411">
        <f>計分版!K$13</f>
        <v>6.9999999999999996E-10</v>
      </c>
      <c r="AB148" s="411">
        <f>計分版!L$13</f>
        <v>8.0000000000000003E-10</v>
      </c>
      <c r="AC148" s="411">
        <f>計分版!M$13</f>
        <v>8.9999999999999999E-10</v>
      </c>
      <c r="AD148" s="411">
        <f>計分版!N$13</f>
        <v>9.5000000000000003E-10</v>
      </c>
      <c r="AF148" s="413" t="s">
        <v>2308</v>
      </c>
      <c r="AG148" s="413" t="s">
        <v>2309</v>
      </c>
    </row>
    <row r="149" spans="1:34">
      <c r="A149" s="2" t="s">
        <v>75</v>
      </c>
      <c r="B149" s="2" t="s">
        <v>76</v>
      </c>
      <c r="C149" s="13" t="s">
        <v>189</v>
      </c>
      <c r="D149" s="78">
        <v>17</v>
      </c>
      <c r="E149" s="419">
        <v>3</v>
      </c>
      <c r="F149" s="419">
        <v>3</v>
      </c>
      <c r="G149" s="419">
        <v>2</v>
      </c>
      <c r="H149" s="419">
        <v>2</v>
      </c>
      <c r="I149" s="419">
        <v>3</v>
      </c>
      <c r="J149" s="419">
        <v>3</v>
      </c>
      <c r="L149" s="411">
        <f t="shared" si="51"/>
        <v>0</v>
      </c>
      <c r="M149" s="411">
        <f t="shared" si="52"/>
        <v>0</v>
      </c>
      <c r="N149" s="411">
        <f t="shared" si="53"/>
        <v>0</v>
      </c>
      <c r="O149" s="411">
        <f t="shared" si="54"/>
        <v>0</v>
      </c>
      <c r="P149" s="78">
        <f>IF(I149&gt;LARGE(計分版!$I$13:$N$13,1),0,1)</f>
        <v>0</v>
      </c>
      <c r="Q149" s="78">
        <f>IF(J149&gt;LARGE(計分版!$I$13:$N$13,2),0,1)</f>
        <v>0</v>
      </c>
      <c r="R149" s="78"/>
      <c r="S149" s="78">
        <f t="shared" si="50"/>
        <v>0</v>
      </c>
      <c r="U149" s="411">
        <f>計分版!E$13</f>
        <v>1E-10</v>
      </c>
      <c r="V149" s="411">
        <f>計分版!F$13</f>
        <v>2.0000000000000001E-10</v>
      </c>
      <c r="W149" s="411">
        <f>計分版!G$13</f>
        <v>3E-10</v>
      </c>
      <c r="X149" s="411">
        <f>計分版!H$13</f>
        <v>4.0000000000000001E-10</v>
      </c>
      <c r="Y149" s="411">
        <f>計分版!I$13</f>
        <v>5.0000000000000003E-10</v>
      </c>
      <c r="Z149" s="411">
        <f>計分版!J$13</f>
        <v>6E-10</v>
      </c>
      <c r="AA149" s="411">
        <f>計分版!K$13</f>
        <v>6.9999999999999996E-10</v>
      </c>
      <c r="AB149" s="411">
        <f>計分版!L$13</f>
        <v>8.0000000000000003E-10</v>
      </c>
      <c r="AC149" s="411">
        <f>計分版!M$13</f>
        <v>8.9999999999999999E-10</v>
      </c>
      <c r="AD149" s="411">
        <f>計分版!N$13</f>
        <v>9.5000000000000003E-10</v>
      </c>
      <c r="AF149" s="413" t="s">
        <v>2308</v>
      </c>
      <c r="AG149" s="413" t="s">
        <v>2309</v>
      </c>
    </row>
    <row r="150" spans="1:34">
      <c r="A150" s="2" t="s">
        <v>77</v>
      </c>
      <c r="B150" s="2" t="s">
        <v>78</v>
      </c>
      <c r="C150" s="13" t="s">
        <v>189</v>
      </c>
      <c r="D150" s="78">
        <v>21</v>
      </c>
      <c r="E150" s="419">
        <v>3</v>
      </c>
      <c r="F150" s="419">
        <v>3</v>
      </c>
      <c r="G150" s="419">
        <v>2</v>
      </c>
      <c r="H150" s="419">
        <v>2</v>
      </c>
      <c r="I150" s="419">
        <v>3</v>
      </c>
      <c r="J150" s="419">
        <v>3</v>
      </c>
      <c r="L150" s="411">
        <f t="shared" si="51"/>
        <v>0</v>
      </c>
      <c r="M150" s="411">
        <f t="shared" si="52"/>
        <v>0</v>
      </c>
      <c r="N150" s="411">
        <f t="shared" si="53"/>
        <v>0</v>
      </c>
      <c r="O150" s="411">
        <f t="shared" si="54"/>
        <v>0</v>
      </c>
      <c r="P150" s="78">
        <f>IF(I150&gt;LARGE(計分版!$I$13:$N$13,1),0,1)</f>
        <v>0</v>
      </c>
      <c r="Q150" s="78">
        <f>IF(J150&gt;LARGE(計分版!$I$13:$N$13,2),0,1)</f>
        <v>0</v>
      </c>
      <c r="R150" s="78"/>
      <c r="S150" s="78">
        <f t="shared" si="50"/>
        <v>0</v>
      </c>
      <c r="U150" s="411">
        <f>計分版!E$13</f>
        <v>1E-10</v>
      </c>
      <c r="V150" s="411">
        <f>計分版!F$13</f>
        <v>2.0000000000000001E-10</v>
      </c>
      <c r="W150" s="411">
        <f>計分版!G$13</f>
        <v>3E-10</v>
      </c>
      <c r="X150" s="411">
        <f>計分版!H$13</f>
        <v>4.0000000000000001E-10</v>
      </c>
      <c r="Y150" s="411">
        <f>計分版!I$13</f>
        <v>5.0000000000000003E-10</v>
      </c>
      <c r="Z150" s="411">
        <f>計分版!J$13</f>
        <v>6E-10</v>
      </c>
      <c r="AA150" s="411">
        <f>計分版!K$13</f>
        <v>6.9999999999999996E-10</v>
      </c>
      <c r="AB150" s="411">
        <f>計分版!L$13</f>
        <v>8.0000000000000003E-10</v>
      </c>
      <c r="AC150" s="411">
        <f>計分版!M$13</f>
        <v>8.9999999999999999E-10</v>
      </c>
      <c r="AD150" s="411">
        <f>計分版!N$13</f>
        <v>9.5000000000000003E-10</v>
      </c>
      <c r="AF150" s="413" t="s">
        <v>2308</v>
      </c>
      <c r="AG150" s="413" t="s">
        <v>2309</v>
      </c>
    </row>
    <row r="151" spans="1:34">
      <c r="A151" s="2" t="s">
        <v>79</v>
      </c>
      <c r="B151" s="2" t="s">
        <v>145</v>
      </c>
      <c r="C151" s="132" t="s">
        <v>195</v>
      </c>
      <c r="D151" s="78">
        <v>55</v>
      </c>
      <c r="E151" s="419">
        <v>3</v>
      </c>
      <c r="F151" s="419">
        <v>3</v>
      </c>
      <c r="G151" s="419">
        <v>2</v>
      </c>
      <c r="H151" s="419">
        <v>2</v>
      </c>
      <c r="I151" s="419">
        <v>3</v>
      </c>
      <c r="J151" s="419">
        <v>3</v>
      </c>
      <c r="L151" s="411">
        <f t="shared" si="51"/>
        <v>0</v>
      </c>
      <c r="M151" s="411">
        <f t="shared" si="52"/>
        <v>0</v>
      </c>
      <c r="N151" s="411">
        <f t="shared" si="53"/>
        <v>0</v>
      </c>
      <c r="O151" s="411">
        <f t="shared" si="54"/>
        <v>0</v>
      </c>
      <c r="P151" s="191">
        <f>IF(I151&gt;LARGE(計分版!$I$13:$N$13,1),0,1)</f>
        <v>0</v>
      </c>
      <c r="Q151" s="78">
        <f>IF(J151&gt;LARGE(計分版!$I$13:$N$13,2),0,1)</f>
        <v>0</v>
      </c>
      <c r="R151" s="78"/>
      <c r="S151" s="78">
        <f t="shared" si="50"/>
        <v>0</v>
      </c>
      <c r="U151" s="411">
        <f>計分版!E$13</f>
        <v>1E-10</v>
      </c>
      <c r="V151" s="411">
        <f>計分版!F$13</f>
        <v>2.0000000000000001E-10</v>
      </c>
      <c r="W151" s="411">
        <f>計分版!G$13</f>
        <v>3E-10</v>
      </c>
      <c r="X151" s="411">
        <f>計分版!H$13</f>
        <v>4.0000000000000001E-10</v>
      </c>
      <c r="Y151" s="411">
        <f>計分版!I$13</f>
        <v>5.0000000000000003E-10</v>
      </c>
      <c r="Z151" s="411">
        <f>計分版!J$13</f>
        <v>6E-10</v>
      </c>
      <c r="AA151" s="411">
        <f>計分版!K$13</f>
        <v>6.9999999999999996E-10</v>
      </c>
      <c r="AB151" s="411">
        <f>計分版!L$13</f>
        <v>8.0000000000000003E-10</v>
      </c>
      <c r="AC151" s="411">
        <f>計分版!M$13</f>
        <v>8.9999999999999999E-10</v>
      </c>
      <c r="AD151" s="411">
        <f>計分版!N$13</f>
        <v>9.5000000000000003E-10</v>
      </c>
      <c r="AF151" s="413" t="s">
        <v>2308</v>
      </c>
      <c r="AG151" s="413" t="s">
        <v>2309</v>
      </c>
      <c r="AH151" s="413" t="s">
        <v>2308</v>
      </c>
    </row>
    <row r="152" spans="1:34">
      <c r="A152" s="2" t="s">
        <v>80</v>
      </c>
      <c r="B152" s="2" t="s">
        <v>81</v>
      </c>
      <c r="C152" s="13" t="s">
        <v>189</v>
      </c>
      <c r="D152" s="78">
        <v>20</v>
      </c>
      <c r="E152" s="419">
        <v>3</v>
      </c>
      <c r="F152" s="419">
        <v>3</v>
      </c>
      <c r="G152" s="419">
        <v>2</v>
      </c>
      <c r="H152" s="419">
        <v>2</v>
      </c>
      <c r="I152" s="419">
        <v>3</v>
      </c>
      <c r="J152" s="419">
        <v>3</v>
      </c>
      <c r="L152" s="411">
        <f t="shared" si="51"/>
        <v>0</v>
      </c>
      <c r="M152" s="411">
        <f t="shared" si="52"/>
        <v>0</v>
      </c>
      <c r="N152" s="411">
        <f t="shared" si="53"/>
        <v>0</v>
      </c>
      <c r="O152" s="411">
        <f t="shared" si="54"/>
        <v>0</v>
      </c>
      <c r="P152" s="191">
        <f>IF(I152&gt;LARGE(計分版!$I$13:$N$13,1),0,1)</f>
        <v>0</v>
      </c>
      <c r="Q152" s="78">
        <f>IF(J152&gt;LARGE(計分版!$I$13:$N$13,2),0,1)</f>
        <v>0</v>
      </c>
      <c r="R152" s="78"/>
      <c r="S152" s="78">
        <f t="shared" si="50"/>
        <v>0</v>
      </c>
      <c r="U152" s="411">
        <f>計分版!E$13</f>
        <v>1E-10</v>
      </c>
      <c r="V152" s="411">
        <f>計分版!F$13</f>
        <v>2.0000000000000001E-10</v>
      </c>
      <c r="W152" s="411">
        <f>計分版!G$13</f>
        <v>3E-10</v>
      </c>
      <c r="X152" s="411">
        <f>計分版!H$13</f>
        <v>4.0000000000000001E-10</v>
      </c>
      <c r="Y152" s="411">
        <f>計分版!I$13</f>
        <v>5.0000000000000003E-10</v>
      </c>
      <c r="Z152" s="411">
        <f>計分版!J$13</f>
        <v>6E-10</v>
      </c>
      <c r="AA152" s="411">
        <f>計分版!K$13</f>
        <v>6.9999999999999996E-10</v>
      </c>
      <c r="AB152" s="411">
        <f>計分版!L$13</f>
        <v>8.0000000000000003E-10</v>
      </c>
      <c r="AC152" s="411">
        <f>計分版!M$13</f>
        <v>8.9999999999999999E-10</v>
      </c>
      <c r="AD152" s="411">
        <f>計分版!N$13</f>
        <v>9.5000000000000003E-10</v>
      </c>
      <c r="AF152" s="413" t="s">
        <v>2308</v>
      </c>
      <c r="AG152" s="413" t="s">
        <v>2309</v>
      </c>
      <c r="AH152" s="413" t="s">
        <v>2308</v>
      </c>
    </row>
    <row r="153" spans="1:34">
      <c r="A153" s="2" t="s">
        <v>82</v>
      </c>
      <c r="B153" s="2" t="s">
        <v>22</v>
      </c>
      <c r="C153" s="13" t="s">
        <v>189</v>
      </c>
      <c r="D153" s="78">
        <v>47</v>
      </c>
      <c r="E153" s="419">
        <v>3</v>
      </c>
      <c r="F153" s="419">
        <v>3</v>
      </c>
      <c r="G153" s="419">
        <v>2</v>
      </c>
      <c r="H153" s="419">
        <v>2</v>
      </c>
      <c r="I153" s="419">
        <v>3</v>
      </c>
      <c r="J153" s="419">
        <v>3</v>
      </c>
      <c r="L153" s="411">
        <f t="shared" si="51"/>
        <v>0</v>
      </c>
      <c r="M153" s="411">
        <f t="shared" si="52"/>
        <v>0</v>
      </c>
      <c r="N153" s="411">
        <f t="shared" si="53"/>
        <v>0</v>
      </c>
      <c r="O153" s="411">
        <f t="shared" si="54"/>
        <v>0</v>
      </c>
      <c r="P153" s="78">
        <f>IF(I153&gt;LARGE(計分版!$I$13:$N$13,1),0,1)</f>
        <v>0</v>
      </c>
      <c r="Q153" s="78">
        <f>IF(J153&gt;LARGE(計分版!$I$13:$N$13,2),0,1)</f>
        <v>0</v>
      </c>
      <c r="R153" s="78"/>
      <c r="S153" s="78">
        <f t="shared" si="50"/>
        <v>0</v>
      </c>
      <c r="U153" s="411">
        <f>計分版!E$13</f>
        <v>1E-10</v>
      </c>
      <c r="V153" s="411">
        <f>計分版!F$13</f>
        <v>2.0000000000000001E-10</v>
      </c>
      <c r="W153" s="411">
        <f>計分版!G$13</f>
        <v>3E-10</v>
      </c>
      <c r="X153" s="411">
        <f>計分版!H$13</f>
        <v>4.0000000000000001E-10</v>
      </c>
      <c r="Y153" s="411">
        <f>計分版!I$13</f>
        <v>5.0000000000000003E-10</v>
      </c>
      <c r="Z153" s="411">
        <f>計分版!J$13</f>
        <v>6E-10</v>
      </c>
      <c r="AA153" s="411">
        <f>計分版!K$13</f>
        <v>6.9999999999999996E-10</v>
      </c>
      <c r="AB153" s="411">
        <f>計分版!L$13</f>
        <v>8.0000000000000003E-10</v>
      </c>
      <c r="AC153" s="411">
        <f>計分版!M$13</f>
        <v>8.9999999999999999E-10</v>
      </c>
      <c r="AD153" s="411">
        <f>計分版!N$13</f>
        <v>9.5000000000000003E-10</v>
      </c>
      <c r="AF153" s="413" t="s">
        <v>2308</v>
      </c>
      <c r="AG153" s="413" t="s">
        <v>2309</v>
      </c>
    </row>
    <row r="154" spans="1:34">
      <c r="A154" s="2" t="s">
        <v>83</v>
      </c>
      <c r="B154" s="2" t="s">
        <v>84</v>
      </c>
      <c r="C154" s="13" t="s">
        <v>189</v>
      </c>
      <c r="D154" s="78">
        <v>22</v>
      </c>
      <c r="E154" s="419">
        <v>3</v>
      </c>
      <c r="F154" s="419">
        <v>3</v>
      </c>
      <c r="G154" s="419">
        <v>2</v>
      </c>
      <c r="H154" s="419">
        <v>2</v>
      </c>
      <c r="I154" s="419">
        <v>3</v>
      </c>
      <c r="J154" s="419">
        <v>3</v>
      </c>
      <c r="L154" s="411">
        <f t="shared" si="51"/>
        <v>0</v>
      </c>
      <c r="M154" s="411">
        <f t="shared" si="52"/>
        <v>0</v>
      </c>
      <c r="N154" s="411">
        <f t="shared" si="53"/>
        <v>0</v>
      </c>
      <c r="O154" s="411">
        <f t="shared" si="54"/>
        <v>0</v>
      </c>
      <c r="P154" s="78">
        <f>IF(I154&gt;LARGE(計分版!$I$13:$N$13,1),0,1)</f>
        <v>0</v>
      </c>
      <c r="Q154" s="78">
        <f>IF(J154&gt;LARGE(計分版!$I$13:$N$13,2),0,1)</f>
        <v>0</v>
      </c>
      <c r="R154" s="78"/>
      <c r="S154" s="78">
        <f t="shared" si="50"/>
        <v>0</v>
      </c>
      <c r="U154" s="411">
        <f>計分版!E$13</f>
        <v>1E-10</v>
      </c>
      <c r="V154" s="411">
        <f>計分版!F$13</f>
        <v>2.0000000000000001E-10</v>
      </c>
      <c r="W154" s="411">
        <f>計分版!G$13</f>
        <v>3E-10</v>
      </c>
      <c r="X154" s="411">
        <f>計分版!H$13</f>
        <v>4.0000000000000001E-10</v>
      </c>
      <c r="Y154" s="411">
        <f>計分版!I$13</f>
        <v>5.0000000000000003E-10</v>
      </c>
      <c r="Z154" s="411">
        <f>計分版!J$13</f>
        <v>6E-10</v>
      </c>
      <c r="AA154" s="411">
        <f>計分版!K$13</f>
        <v>6.9999999999999996E-10</v>
      </c>
      <c r="AB154" s="411">
        <f>計分版!L$13</f>
        <v>8.0000000000000003E-10</v>
      </c>
      <c r="AC154" s="411">
        <f>計分版!M$13</f>
        <v>8.9999999999999999E-10</v>
      </c>
      <c r="AD154" s="411">
        <f>計分版!N$13</f>
        <v>9.5000000000000003E-10</v>
      </c>
      <c r="AF154" s="413" t="s">
        <v>2308</v>
      </c>
      <c r="AG154" s="413" t="s">
        <v>2309</v>
      </c>
      <c r="AH154" s="413" t="s">
        <v>2308</v>
      </c>
    </row>
    <row r="155" spans="1:34">
      <c r="A155" s="2" t="s">
        <v>85</v>
      </c>
      <c r="B155" s="2" t="s">
        <v>146</v>
      </c>
      <c r="C155" s="13" t="s">
        <v>189</v>
      </c>
      <c r="D155" s="78">
        <v>20</v>
      </c>
      <c r="E155" s="419">
        <v>3</v>
      </c>
      <c r="F155" s="419">
        <v>3</v>
      </c>
      <c r="G155" s="419">
        <v>2</v>
      </c>
      <c r="H155" s="419">
        <v>2</v>
      </c>
      <c r="I155" s="419">
        <v>3</v>
      </c>
      <c r="J155" s="419">
        <v>3</v>
      </c>
      <c r="L155" s="411">
        <f t="shared" si="51"/>
        <v>0</v>
      </c>
      <c r="M155" s="411">
        <f t="shared" si="52"/>
        <v>0</v>
      </c>
      <c r="N155" s="411">
        <f t="shared" si="53"/>
        <v>0</v>
      </c>
      <c r="O155" s="411">
        <f t="shared" si="54"/>
        <v>0</v>
      </c>
      <c r="P155" s="78">
        <f>IF(I155&gt;LARGE(計分版!$I$13:$N$13,1),0,1)</f>
        <v>0</v>
      </c>
      <c r="Q155" s="78">
        <f>IF(J155&gt;LARGE(計分版!$I$13:$N$13,2),0,1)</f>
        <v>0</v>
      </c>
      <c r="R155" s="78"/>
      <c r="S155" s="78">
        <f t="shared" si="50"/>
        <v>0</v>
      </c>
      <c r="U155" s="411">
        <f>計分版!E$13</f>
        <v>1E-10</v>
      </c>
      <c r="V155" s="411">
        <f>計分版!F$13</f>
        <v>2.0000000000000001E-10</v>
      </c>
      <c r="W155" s="411">
        <f>計分版!G$13</f>
        <v>3E-10</v>
      </c>
      <c r="X155" s="411">
        <f>計分版!H$13</f>
        <v>4.0000000000000001E-10</v>
      </c>
      <c r="Y155" s="411">
        <f>計分版!I$13</f>
        <v>5.0000000000000003E-10</v>
      </c>
      <c r="Z155" s="411">
        <f>計分版!J$13</f>
        <v>6E-10</v>
      </c>
      <c r="AA155" s="411">
        <f>計分版!K$13</f>
        <v>6.9999999999999996E-10</v>
      </c>
      <c r="AB155" s="411">
        <f>計分版!L$13</f>
        <v>8.0000000000000003E-10</v>
      </c>
      <c r="AC155" s="411">
        <f>計分版!M$13</f>
        <v>8.9999999999999999E-10</v>
      </c>
      <c r="AD155" s="411">
        <f>計分版!N$13</f>
        <v>9.5000000000000003E-10</v>
      </c>
      <c r="AF155" s="413" t="s">
        <v>2308</v>
      </c>
      <c r="AG155" s="413" t="s">
        <v>2309</v>
      </c>
    </row>
    <row r="156" spans="1:34">
      <c r="A156" s="2" t="s">
        <v>86</v>
      </c>
      <c r="B156" s="2" t="s">
        <v>21</v>
      </c>
      <c r="C156" s="13" t="s">
        <v>59</v>
      </c>
      <c r="D156" s="78">
        <v>28</v>
      </c>
      <c r="E156" s="419">
        <v>3</v>
      </c>
      <c r="F156" s="419">
        <v>3</v>
      </c>
      <c r="G156" s="419">
        <v>2</v>
      </c>
      <c r="H156" s="419">
        <v>2</v>
      </c>
      <c r="I156" s="419">
        <v>3</v>
      </c>
      <c r="J156" s="419">
        <v>3</v>
      </c>
      <c r="L156" s="411">
        <f t="shared" si="51"/>
        <v>0</v>
      </c>
      <c r="M156" s="411">
        <f t="shared" si="52"/>
        <v>0</v>
      </c>
      <c r="N156" s="411">
        <f t="shared" si="53"/>
        <v>0</v>
      </c>
      <c r="O156" s="411">
        <f t="shared" si="54"/>
        <v>0</v>
      </c>
      <c r="P156" s="78">
        <f>IF(AND(計分版!V175=1,LARGE((計分版!Q175:T175),1)&gt;3),1,IF(I156&gt;LARGE(計分版!$I$13:$N$13,1),0,2))</f>
        <v>0</v>
      </c>
      <c r="Q156" s="78">
        <f>IF(J156&gt;LARGE(計分版!$I$13:$N$13,2),0,1)</f>
        <v>0</v>
      </c>
      <c r="R156" s="78"/>
      <c r="S156" s="401">
        <f>IF(L156*M156*N156*O156*P156*Q156=0,0,2)</f>
        <v>0</v>
      </c>
      <c r="U156" s="411">
        <f>計分版!E$13</f>
        <v>1E-10</v>
      </c>
      <c r="V156" s="411">
        <f>計分版!F$13</f>
        <v>2.0000000000000001E-10</v>
      </c>
      <c r="W156" s="411">
        <f>計分版!G$13</f>
        <v>3E-10</v>
      </c>
      <c r="X156" s="411">
        <f>計分版!H$13</f>
        <v>4.0000000000000001E-10</v>
      </c>
      <c r="Y156" s="411">
        <f>計分版!I$13</f>
        <v>5.0000000000000003E-10</v>
      </c>
      <c r="Z156" s="411">
        <f>計分版!J$13</f>
        <v>6E-10</v>
      </c>
      <c r="AA156" s="411">
        <f>計分版!K$13</f>
        <v>6.9999999999999996E-10</v>
      </c>
      <c r="AB156" s="411">
        <f>計分版!L$13</f>
        <v>8.0000000000000003E-10</v>
      </c>
      <c r="AC156" s="411">
        <f>計分版!M$13</f>
        <v>8.9999999999999999E-10</v>
      </c>
      <c r="AD156" s="411">
        <f>計分版!N$13</f>
        <v>9.5000000000000003E-10</v>
      </c>
      <c r="AF156" s="413" t="s">
        <v>2308</v>
      </c>
      <c r="AG156" s="413" t="s">
        <v>2309</v>
      </c>
    </row>
    <row r="157" spans="1:34">
      <c r="A157" s="2" t="s">
        <v>87</v>
      </c>
      <c r="B157" s="2" t="s">
        <v>147</v>
      </c>
      <c r="C157" s="13" t="s">
        <v>189</v>
      </c>
      <c r="D157" s="78">
        <v>21</v>
      </c>
      <c r="E157" s="419">
        <v>3</v>
      </c>
      <c r="F157" s="419">
        <v>3</v>
      </c>
      <c r="G157" s="419">
        <v>2</v>
      </c>
      <c r="H157" s="419">
        <v>2</v>
      </c>
      <c r="I157" s="419">
        <v>3</v>
      </c>
      <c r="J157" s="419">
        <v>3</v>
      </c>
      <c r="L157" s="411">
        <f t="shared" si="51"/>
        <v>0</v>
      </c>
      <c r="M157" s="411">
        <f t="shared" si="52"/>
        <v>0</v>
      </c>
      <c r="N157" s="411">
        <f t="shared" si="53"/>
        <v>0</v>
      </c>
      <c r="O157" s="411">
        <f t="shared" si="54"/>
        <v>0</v>
      </c>
      <c r="P157" s="78">
        <f>IF(I157&gt;LARGE(計分版!$I$13:$N$13,1),0,1)</f>
        <v>0</v>
      </c>
      <c r="Q157" s="78">
        <f>IF(J157&gt;LARGE(計分版!$I$13:$N$13,2),0,1)</f>
        <v>0</v>
      </c>
      <c r="R157" s="78"/>
      <c r="S157" s="78">
        <f t="shared" si="50"/>
        <v>0</v>
      </c>
      <c r="U157" s="411">
        <f>計分版!E$13</f>
        <v>1E-10</v>
      </c>
      <c r="V157" s="411">
        <f>計分版!F$13</f>
        <v>2.0000000000000001E-10</v>
      </c>
      <c r="W157" s="411">
        <f>計分版!G$13</f>
        <v>3E-10</v>
      </c>
      <c r="X157" s="411">
        <f>計分版!H$13</f>
        <v>4.0000000000000001E-10</v>
      </c>
      <c r="Y157" s="411">
        <f>計分版!I$13</f>
        <v>5.0000000000000003E-10</v>
      </c>
      <c r="Z157" s="411">
        <f>計分版!J$13</f>
        <v>6E-10</v>
      </c>
      <c r="AA157" s="411">
        <f>計分版!K$13</f>
        <v>6.9999999999999996E-10</v>
      </c>
      <c r="AB157" s="411">
        <f>計分版!L$13</f>
        <v>8.0000000000000003E-10</v>
      </c>
      <c r="AC157" s="411">
        <f>計分版!M$13</f>
        <v>8.9999999999999999E-10</v>
      </c>
      <c r="AD157" s="411">
        <f>計分版!N$13</f>
        <v>9.5000000000000003E-10</v>
      </c>
      <c r="AF157" s="413" t="s">
        <v>2308</v>
      </c>
      <c r="AG157" s="413" t="s">
        <v>2309</v>
      </c>
    </row>
    <row r="158" spans="1:34">
      <c r="A158" s="2" t="s">
        <v>88</v>
      </c>
      <c r="B158" s="2" t="s">
        <v>148</v>
      </c>
      <c r="C158" s="13" t="s">
        <v>189</v>
      </c>
      <c r="D158" s="496">
        <v>19</v>
      </c>
      <c r="E158" s="419">
        <v>3</v>
      </c>
      <c r="F158" s="419">
        <v>3</v>
      </c>
      <c r="G158" s="419">
        <v>2</v>
      </c>
      <c r="H158" s="419">
        <v>2</v>
      </c>
      <c r="I158" s="419">
        <v>3</v>
      </c>
      <c r="J158" s="419">
        <v>3</v>
      </c>
      <c r="L158" s="411">
        <f t="shared" si="51"/>
        <v>0</v>
      </c>
      <c r="M158" s="411">
        <f t="shared" si="52"/>
        <v>0</v>
      </c>
      <c r="N158" s="411">
        <f t="shared" si="53"/>
        <v>0</v>
      </c>
      <c r="O158" s="411">
        <f t="shared" si="54"/>
        <v>0</v>
      </c>
      <c r="P158" s="78">
        <f>IF(I158&gt;LARGE(計分版!$I$13:$N$13,1),0,1)</f>
        <v>0</v>
      </c>
      <c r="Q158" s="78">
        <f>IF(J158&gt;LARGE(計分版!$I$13:$N$13,2),0,1)</f>
        <v>0</v>
      </c>
      <c r="R158" s="78"/>
      <c r="S158" s="78">
        <f t="shared" si="50"/>
        <v>0</v>
      </c>
      <c r="U158" s="411">
        <f>計分版!E$13</f>
        <v>1E-10</v>
      </c>
      <c r="V158" s="411">
        <f>計分版!F$13</f>
        <v>2.0000000000000001E-10</v>
      </c>
      <c r="W158" s="411">
        <f>計分版!G$13</f>
        <v>3E-10</v>
      </c>
      <c r="X158" s="411">
        <f>計分版!H$13</f>
        <v>4.0000000000000001E-10</v>
      </c>
      <c r="Y158" s="411">
        <f>計分版!I$13</f>
        <v>5.0000000000000003E-10</v>
      </c>
      <c r="Z158" s="411">
        <f>計分版!J$13</f>
        <v>6E-10</v>
      </c>
      <c r="AA158" s="411">
        <f>計分版!K$13</f>
        <v>6.9999999999999996E-10</v>
      </c>
      <c r="AB158" s="411">
        <f>計分版!L$13</f>
        <v>8.0000000000000003E-10</v>
      </c>
      <c r="AC158" s="411">
        <f>計分版!M$13</f>
        <v>8.9999999999999999E-10</v>
      </c>
      <c r="AD158" s="411">
        <f>計分版!N$13</f>
        <v>9.5000000000000003E-10</v>
      </c>
      <c r="AF158" s="413" t="s">
        <v>2308</v>
      </c>
      <c r="AG158" s="413" t="s">
        <v>2309</v>
      </c>
    </row>
    <row r="159" spans="1:34">
      <c r="A159" s="2" t="s">
        <v>89</v>
      </c>
      <c r="B159" s="2" t="s">
        <v>149</v>
      </c>
      <c r="C159" s="13" t="s">
        <v>189</v>
      </c>
      <c r="D159" s="496"/>
      <c r="E159" s="419">
        <v>3</v>
      </c>
      <c r="F159" s="419">
        <v>3</v>
      </c>
      <c r="G159" s="419">
        <v>2</v>
      </c>
      <c r="H159" s="419">
        <v>2</v>
      </c>
      <c r="I159" s="419">
        <v>3</v>
      </c>
      <c r="J159" s="419">
        <v>3</v>
      </c>
      <c r="L159" s="411">
        <f t="shared" si="51"/>
        <v>0</v>
      </c>
      <c r="M159" s="411">
        <f t="shared" si="52"/>
        <v>0</v>
      </c>
      <c r="N159" s="411">
        <f t="shared" si="53"/>
        <v>0</v>
      </c>
      <c r="O159" s="411">
        <f t="shared" si="54"/>
        <v>0</v>
      </c>
      <c r="P159" s="78">
        <f>IF(I159&gt;LARGE(計分版!$I$13:$N$13,1),0,1)</f>
        <v>0</v>
      </c>
      <c r="Q159" s="78">
        <f>IF(J159&gt;LARGE(計分版!$I$13:$N$13,2),0,1)</f>
        <v>0</v>
      </c>
      <c r="R159" s="78"/>
      <c r="S159" s="78">
        <f t="shared" si="50"/>
        <v>0</v>
      </c>
      <c r="U159" s="411">
        <f>計分版!E$13</f>
        <v>1E-10</v>
      </c>
      <c r="V159" s="411">
        <f>計分版!F$13</f>
        <v>2.0000000000000001E-10</v>
      </c>
      <c r="W159" s="411">
        <f>計分版!G$13</f>
        <v>3E-10</v>
      </c>
      <c r="X159" s="411">
        <f>計分版!H$13</f>
        <v>4.0000000000000001E-10</v>
      </c>
      <c r="Y159" s="411">
        <f>計分版!I$13</f>
        <v>5.0000000000000003E-10</v>
      </c>
      <c r="Z159" s="411">
        <f>計分版!J$13</f>
        <v>6E-10</v>
      </c>
      <c r="AA159" s="411">
        <f>計分版!K$13</f>
        <v>6.9999999999999996E-10</v>
      </c>
      <c r="AB159" s="411">
        <f>計分版!L$13</f>
        <v>8.0000000000000003E-10</v>
      </c>
      <c r="AC159" s="411">
        <f>計分版!M$13</f>
        <v>8.9999999999999999E-10</v>
      </c>
      <c r="AD159" s="411">
        <f>計分版!N$13</f>
        <v>9.5000000000000003E-10</v>
      </c>
      <c r="AF159" s="413" t="s">
        <v>2308</v>
      </c>
      <c r="AG159" s="413" t="s">
        <v>2309</v>
      </c>
      <c r="AH159" s="413" t="s">
        <v>2308</v>
      </c>
    </row>
    <row r="160" spans="1:34">
      <c r="A160" s="2" t="s">
        <v>90</v>
      </c>
      <c r="B160" s="2" t="s">
        <v>91</v>
      </c>
      <c r="C160" s="13" t="s">
        <v>189</v>
      </c>
      <c r="D160" s="78">
        <v>32</v>
      </c>
      <c r="E160" s="419">
        <v>3</v>
      </c>
      <c r="F160" s="419">
        <v>3</v>
      </c>
      <c r="G160" s="419">
        <v>3</v>
      </c>
      <c r="H160" s="419">
        <v>3</v>
      </c>
      <c r="I160" s="419">
        <v>3</v>
      </c>
      <c r="J160" s="419">
        <v>3</v>
      </c>
      <c r="L160" s="411">
        <f t="shared" si="51"/>
        <v>0</v>
      </c>
      <c r="M160" s="411">
        <f t="shared" si="52"/>
        <v>0</v>
      </c>
      <c r="N160" s="411">
        <f t="shared" si="53"/>
        <v>0</v>
      </c>
      <c r="O160" s="411">
        <f t="shared" si="54"/>
        <v>0</v>
      </c>
      <c r="P160" s="78">
        <f>IF(I160&gt;LARGE(計分版!$I$13:$N$13,1),0,1)</f>
        <v>0</v>
      </c>
      <c r="Q160" s="78">
        <f>IF(J160&gt;LARGE(計分版!$I$13:$N$13,2),0,1)</f>
        <v>0</v>
      </c>
      <c r="R160" s="78"/>
      <c r="S160" s="78">
        <f t="shared" si="50"/>
        <v>0</v>
      </c>
      <c r="U160" s="411">
        <f>計分版!E$13</f>
        <v>1E-10</v>
      </c>
      <c r="V160" s="411">
        <f>計分版!F$13</f>
        <v>2.0000000000000001E-10</v>
      </c>
      <c r="W160" s="411">
        <f>計分版!G$13</f>
        <v>3E-10</v>
      </c>
      <c r="X160" s="411">
        <f>計分版!H$13</f>
        <v>4.0000000000000001E-10</v>
      </c>
      <c r="Y160" s="411">
        <f>計分版!I$13</f>
        <v>5.0000000000000003E-10</v>
      </c>
      <c r="Z160" s="411">
        <f>計分版!J$13</f>
        <v>6E-10</v>
      </c>
      <c r="AA160" s="411">
        <f>計分版!K$13</f>
        <v>6.9999999999999996E-10</v>
      </c>
      <c r="AB160" s="411">
        <f>計分版!L$13</f>
        <v>8.0000000000000003E-10</v>
      </c>
      <c r="AC160" s="411">
        <f>計分版!M$13</f>
        <v>8.9999999999999999E-10</v>
      </c>
      <c r="AD160" s="411">
        <f>計分版!N$13</f>
        <v>9.5000000000000003E-10</v>
      </c>
      <c r="AF160" s="413" t="s">
        <v>2308</v>
      </c>
      <c r="AG160" s="413" t="s">
        <v>2309</v>
      </c>
    </row>
    <row r="161" spans="1:34">
      <c r="A161" s="2" t="s">
        <v>183</v>
      </c>
      <c r="B161" s="3" t="s">
        <v>184</v>
      </c>
      <c r="C161" s="13" t="s">
        <v>189</v>
      </c>
      <c r="D161" s="78">
        <v>15</v>
      </c>
      <c r="E161" s="419">
        <v>3</v>
      </c>
      <c r="F161" s="419">
        <v>3</v>
      </c>
      <c r="G161" s="419">
        <v>2</v>
      </c>
      <c r="H161" s="419">
        <v>2</v>
      </c>
      <c r="I161" s="419">
        <v>3</v>
      </c>
      <c r="J161" s="419">
        <v>3</v>
      </c>
      <c r="L161" s="411">
        <f t="shared" si="51"/>
        <v>0</v>
      </c>
      <c r="M161" s="78">
        <f>IF(V161&gt;4,1,IF(V161&gt;3,2,0))</f>
        <v>0</v>
      </c>
      <c r="N161" s="411">
        <f t="shared" si="53"/>
        <v>0</v>
      </c>
      <c r="O161" s="411">
        <f t="shared" si="54"/>
        <v>0</v>
      </c>
      <c r="P161" s="78">
        <f>IF(I161&gt;LARGE(計分版!$I$13:$N$13,1),0,1)</f>
        <v>0</v>
      </c>
      <c r="Q161" s="78">
        <f>IF(J161&gt;LARGE(計分版!$I$13:$N$13,2),0,1)</f>
        <v>0</v>
      </c>
      <c r="R161" s="78"/>
      <c r="S161" s="78">
        <f t="shared" si="50"/>
        <v>0</v>
      </c>
      <c r="U161" s="411">
        <f>計分版!E$13</f>
        <v>1E-10</v>
      </c>
      <c r="V161" s="411">
        <f>計分版!F$13</f>
        <v>2.0000000000000001E-10</v>
      </c>
      <c r="W161" s="411">
        <f>計分版!G$13</f>
        <v>3E-10</v>
      </c>
      <c r="X161" s="411">
        <f>計分版!H$13</f>
        <v>4.0000000000000001E-10</v>
      </c>
      <c r="Y161" s="411">
        <f>計分版!I$13</f>
        <v>5.0000000000000003E-10</v>
      </c>
      <c r="Z161" s="411">
        <f>計分版!J$13</f>
        <v>6E-10</v>
      </c>
      <c r="AA161" s="411">
        <f>計分版!K$13</f>
        <v>6.9999999999999996E-10</v>
      </c>
      <c r="AB161" s="411">
        <f>計分版!L$13</f>
        <v>8.0000000000000003E-10</v>
      </c>
      <c r="AC161" s="411">
        <f>計分版!M$13</f>
        <v>8.9999999999999999E-10</v>
      </c>
      <c r="AD161" s="411">
        <f>計分版!N$13</f>
        <v>9.5000000000000003E-10</v>
      </c>
      <c r="AF161" s="413" t="s">
        <v>2308</v>
      </c>
      <c r="AG161" s="413" t="s">
        <v>2309</v>
      </c>
    </row>
    <row r="162" spans="1:34">
      <c r="A162" s="2" t="s">
        <v>92</v>
      </c>
      <c r="B162" s="2" t="s">
        <v>93</v>
      </c>
      <c r="C162" s="13" t="s">
        <v>189</v>
      </c>
      <c r="D162" s="78">
        <v>233</v>
      </c>
      <c r="E162" s="419">
        <v>3</v>
      </c>
      <c r="F162" s="419">
        <v>3</v>
      </c>
      <c r="G162" s="419">
        <v>2</v>
      </c>
      <c r="H162" s="419">
        <v>2</v>
      </c>
      <c r="I162" s="419">
        <v>3</v>
      </c>
      <c r="J162" s="419">
        <v>3</v>
      </c>
      <c r="L162" s="411">
        <f t="shared" si="51"/>
        <v>0</v>
      </c>
      <c r="M162" s="411">
        <f t="shared" ref="M162" si="55">IF(F162&gt;V162,0,1)</f>
        <v>0</v>
      </c>
      <c r="N162" s="411">
        <f t="shared" si="53"/>
        <v>0</v>
      </c>
      <c r="O162" s="411">
        <f t="shared" si="54"/>
        <v>0</v>
      </c>
      <c r="P162" s="78">
        <f>IF(I162&gt;LARGE(計分版!$I$13:$N$13,1),0,1)</f>
        <v>0</v>
      </c>
      <c r="Q162" s="78">
        <f>IF(J162&gt;LARGE(計分版!$I$13:$N$13,2),0,1)</f>
        <v>0</v>
      </c>
      <c r="R162" s="78"/>
      <c r="S162" s="78">
        <f t="shared" si="50"/>
        <v>0</v>
      </c>
      <c r="U162" s="411">
        <f>計分版!E$13</f>
        <v>1E-10</v>
      </c>
      <c r="V162" s="411">
        <f>計分版!F$13</f>
        <v>2.0000000000000001E-10</v>
      </c>
      <c r="W162" s="411">
        <f>計分版!G$13</f>
        <v>3E-10</v>
      </c>
      <c r="X162" s="411">
        <f>計分版!H$13</f>
        <v>4.0000000000000001E-10</v>
      </c>
      <c r="Y162" s="411">
        <f>計分版!I$13</f>
        <v>5.0000000000000003E-10</v>
      </c>
      <c r="Z162" s="411">
        <f>計分版!J$13</f>
        <v>6E-10</v>
      </c>
      <c r="AA162" s="411">
        <f>計分版!K$13</f>
        <v>6.9999999999999996E-10</v>
      </c>
      <c r="AB162" s="411">
        <f>計分版!L$13</f>
        <v>8.0000000000000003E-10</v>
      </c>
      <c r="AC162" s="411">
        <f>計分版!M$13</f>
        <v>8.9999999999999999E-10</v>
      </c>
      <c r="AD162" s="411">
        <f>計分版!N$13</f>
        <v>9.5000000000000003E-10</v>
      </c>
      <c r="AF162" s="413" t="s">
        <v>2308</v>
      </c>
      <c r="AG162" s="413" t="s">
        <v>2309</v>
      </c>
    </row>
    <row r="163" spans="1:34">
      <c r="A163" s="2" t="s">
        <v>94</v>
      </c>
      <c r="B163" s="2" t="s">
        <v>95</v>
      </c>
      <c r="C163" s="13" t="s">
        <v>190</v>
      </c>
      <c r="D163" s="78">
        <v>15</v>
      </c>
      <c r="E163" s="419">
        <v>4</v>
      </c>
      <c r="F163" s="419">
        <v>5</v>
      </c>
      <c r="G163" s="419">
        <v>3</v>
      </c>
      <c r="H163" s="419">
        <v>3</v>
      </c>
      <c r="I163" s="419">
        <v>3</v>
      </c>
      <c r="J163" s="419">
        <v>3</v>
      </c>
      <c r="L163" s="411">
        <f t="shared" ref="L163:L164" si="56">IF(E163&gt;U163,0,1)</f>
        <v>0</v>
      </c>
      <c r="M163" s="411">
        <f t="shared" ref="M163:M164" si="57">IF(F163&gt;V163,0,1)</f>
        <v>0</v>
      </c>
      <c r="N163" s="411">
        <f t="shared" ref="N163:N164" si="58">IF(G163&gt;W163,0,1)</f>
        <v>0</v>
      </c>
      <c r="O163" s="411">
        <f t="shared" ref="O163:O166" si="59">IF(H163&gt;X163,0,1)</f>
        <v>0</v>
      </c>
      <c r="P163" s="78">
        <f>IF(I163&gt;LARGE(計分版!$I$13:$N$13,1),0,1)</f>
        <v>0</v>
      </c>
      <c r="Q163" s="78">
        <f>IF(J163&gt;LARGE(計分版!$I$13:$N$13,2),0,1)</f>
        <v>0</v>
      </c>
      <c r="R163" s="78"/>
      <c r="S163" s="78">
        <f t="shared" si="50"/>
        <v>0</v>
      </c>
      <c r="U163" s="411">
        <f>計分版!E$13</f>
        <v>1E-10</v>
      </c>
      <c r="V163" s="411">
        <f>計分版!F$13</f>
        <v>2.0000000000000001E-10</v>
      </c>
      <c r="W163" s="411">
        <f>計分版!G$13</f>
        <v>3E-10</v>
      </c>
      <c r="X163" s="411">
        <f>計分版!H$13</f>
        <v>4.0000000000000001E-10</v>
      </c>
      <c r="Y163" s="411">
        <f>計分版!I$13</f>
        <v>5.0000000000000003E-10</v>
      </c>
      <c r="Z163" s="411">
        <f>計分版!J$13</f>
        <v>6E-10</v>
      </c>
      <c r="AA163" s="411">
        <f>計分版!K$13</f>
        <v>6.9999999999999996E-10</v>
      </c>
      <c r="AB163" s="411">
        <f>計分版!L$13</f>
        <v>8.0000000000000003E-10</v>
      </c>
      <c r="AC163" s="411">
        <f>計分版!M$13</f>
        <v>8.9999999999999999E-10</v>
      </c>
      <c r="AD163" s="411">
        <f>計分版!N$13</f>
        <v>9.5000000000000003E-10</v>
      </c>
      <c r="AF163" s="413" t="s">
        <v>2308</v>
      </c>
      <c r="AG163" s="413" t="s">
        <v>2309</v>
      </c>
    </row>
    <row r="164" spans="1:34">
      <c r="A164" s="2" t="s">
        <v>96</v>
      </c>
      <c r="B164" s="2" t="s">
        <v>150</v>
      </c>
      <c r="C164" s="133" t="s">
        <v>189</v>
      </c>
      <c r="D164" s="78">
        <v>66</v>
      </c>
      <c r="E164" s="419">
        <v>3</v>
      </c>
      <c r="F164" s="419">
        <v>3</v>
      </c>
      <c r="G164" s="419">
        <v>2</v>
      </c>
      <c r="H164" s="419">
        <v>2</v>
      </c>
      <c r="I164" s="419">
        <v>3</v>
      </c>
      <c r="J164" s="419">
        <v>3</v>
      </c>
      <c r="L164" s="411">
        <f t="shared" si="56"/>
        <v>0</v>
      </c>
      <c r="M164" s="411">
        <f t="shared" si="57"/>
        <v>0</v>
      </c>
      <c r="N164" s="411">
        <f t="shared" si="58"/>
        <v>0</v>
      </c>
      <c r="O164" s="411">
        <f t="shared" si="59"/>
        <v>0</v>
      </c>
      <c r="P164" s="78">
        <f>IF(I164&gt;LARGE(計分版!$I$13:$N$13,1),0,1)</f>
        <v>0</v>
      </c>
      <c r="Q164" s="78">
        <f>IF(J164&gt;LARGE(計分版!$I$13:$N$13,2),0,1)</f>
        <v>0</v>
      </c>
      <c r="R164" s="78"/>
      <c r="S164" s="78">
        <f t="shared" si="50"/>
        <v>0</v>
      </c>
      <c r="U164" s="411">
        <f>計分版!E$13</f>
        <v>1E-10</v>
      </c>
      <c r="V164" s="411">
        <f>計分版!F$13</f>
        <v>2.0000000000000001E-10</v>
      </c>
      <c r="W164" s="411">
        <f>計分版!G$13</f>
        <v>3E-10</v>
      </c>
      <c r="X164" s="411">
        <f>計分版!H$13</f>
        <v>4.0000000000000001E-10</v>
      </c>
      <c r="Y164" s="411">
        <f>計分版!I$13</f>
        <v>5.0000000000000003E-10</v>
      </c>
      <c r="Z164" s="411">
        <f>計分版!J$13</f>
        <v>6E-10</v>
      </c>
      <c r="AA164" s="411">
        <f>計分版!K$13</f>
        <v>6.9999999999999996E-10</v>
      </c>
      <c r="AB164" s="411">
        <f>計分版!L$13</f>
        <v>8.0000000000000003E-10</v>
      </c>
      <c r="AC164" s="411">
        <f>計分版!M$13</f>
        <v>8.9999999999999999E-10</v>
      </c>
      <c r="AD164" s="411">
        <f>計分版!N$13</f>
        <v>9.5000000000000003E-10</v>
      </c>
      <c r="AF164" s="413" t="s">
        <v>2308</v>
      </c>
      <c r="AG164" s="413" t="s">
        <v>2309</v>
      </c>
    </row>
    <row r="165" spans="1:34">
      <c r="A165" s="2" t="s">
        <v>151</v>
      </c>
      <c r="B165" s="2" t="s">
        <v>152</v>
      </c>
      <c r="C165" s="13" t="s">
        <v>189</v>
      </c>
      <c r="D165" s="78">
        <v>36</v>
      </c>
      <c r="E165" s="419">
        <v>3</v>
      </c>
      <c r="F165" s="419">
        <v>3</v>
      </c>
      <c r="G165" s="419">
        <v>5</v>
      </c>
      <c r="H165" s="419">
        <v>2</v>
      </c>
      <c r="I165" s="419">
        <v>3</v>
      </c>
      <c r="J165" s="419">
        <v>3</v>
      </c>
      <c r="L165" s="411">
        <f t="shared" ref="L165" si="60">IF(E165&gt;U165,0,1)</f>
        <v>0</v>
      </c>
      <c r="M165" s="411">
        <f t="shared" ref="M165" si="61">IF(F165&gt;V165,0,1)</f>
        <v>0</v>
      </c>
      <c r="N165" s="78">
        <f>IF(W165&gt;G165,1,IF(Y165&gt;5,1,0))</f>
        <v>0</v>
      </c>
      <c r="O165" s="411">
        <f t="shared" si="59"/>
        <v>0</v>
      </c>
      <c r="P165" s="78">
        <f>IF(I165&gt;LARGE(計分版!$I$13:$N$13,1),0,1)</f>
        <v>0</v>
      </c>
      <c r="Q165" s="78">
        <f>IF(AND(計分版!$G$13&lt;5,計分版!$I$13&lt;5),0,IF(I165&gt;LARGE(計分版!$I$13:$N$13,2),0,1))</f>
        <v>0</v>
      </c>
      <c r="R165" s="78"/>
      <c r="S165" s="78">
        <f t="shared" si="50"/>
        <v>0</v>
      </c>
      <c r="U165" s="411">
        <f>計分版!E$13</f>
        <v>1E-10</v>
      </c>
      <c r="V165" s="411">
        <f>計分版!F$13</f>
        <v>2.0000000000000001E-10</v>
      </c>
      <c r="W165" s="411">
        <f>計分版!G$13</f>
        <v>3E-10</v>
      </c>
      <c r="X165" s="411">
        <f>計分版!H$13</f>
        <v>4.0000000000000001E-10</v>
      </c>
      <c r="Y165" s="411">
        <f>計分版!I$13</f>
        <v>5.0000000000000003E-10</v>
      </c>
      <c r="Z165" s="411">
        <f>計分版!J$13</f>
        <v>6E-10</v>
      </c>
      <c r="AA165" s="411">
        <f>計分版!K$13</f>
        <v>6.9999999999999996E-10</v>
      </c>
      <c r="AB165" s="411">
        <f>計分版!L$13</f>
        <v>8.0000000000000003E-10</v>
      </c>
      <c r="AC165" s="411">
        <f>計分版!M$13</f>
        <v>8.9999999999999999E-10</v>
      </c>
      <c r="AD165" s="411">
        <f>計分版!N$13</f>
        <v>9.5000000000000003E-10</v>
      </c>
      <c r="AF165" s="413" t="s">
        <v>2308</v>
      </c>
      <c r="AG165" s="413" t="s">
        <v>2309</v>
      </c>
      <c r="AH165" s="413" t="s">
        <v>2308</v>
      </c>
    </row>
    <row r="166" spans="1:34">
      <c r="A166" s="2" t="s">
        <v>97</v>
      </c>
      <c r="B166" s="2" t="s">
        <v>153</v>
      </c>
      <c r="C166" s="13" t="s">
        <v>189</v>
      </c>
      <c r="D166" s="78">
        <v>126</v>
      </c>
      <c r="E166" s="419">
        <v>3</v>
      </c>
      <c r="F166" s="419">
        <v>3</v>
      </c>
      <c r="G166" s="419">
        <v>3</v>
      </c>
      <c r="H166" s="419">
        <v>2</v>
      </c>
      <c r="I166" s="419">
        <v>3</v>
      </c>
      <c r="J166" s="419">
        <v>3</v>
      </c>
      <c r="L166" s="411">
        <f t="shared" ref="L166" si="62">IF(E166&gt;U166,0,1)</f>
        <v>0</v>
      </c>
      <c r="M166" s="411">
        <f t="shared" ref="M166:N166" si="63">IF(F166&gt;V166,0,1)</f>
        <v>0</v>
      </c>
      <c r="N166" s="411">
        <f t="shared" si="63"/>
        <v>0</v>
      </c>
      <c r="O166" s="411">
        <f t="shared" si="59"/>
        <v>0</v>
      </c>
      <c r="P166" s="78">
        <f>IF(I166&gt;LARGE(計分版!$I$13:$N$13,1),0,1)</f>
        <v>0</v>
      </c>
      <c r="Q166" s="78">
        <f>IF(J166&gt;LARGE(計分版!$I$13:$N$13,2),0,1)</f>
        <v>0</v>
      </c>
      <c r="R166" s="78"/>
      <c r="S166" s="78">
        <f t="shared" si="50"/>
        <v>0</v>
      </c>
      <c r="U166" s="411">
        <f>計分版!E$13</f>
        <v>1E-10</v>
      </c>
      <c r="V166" s="411">
        <f>計分版!F$13</f>
        <v>2.0000000000000001E-10</v>
      </c>
      <c r="W166" s="411">
        <f>計分版!G$13</f>
        <v>3E-10</v>
      </c>
      <c r="X166" s="411">
        <f>計分版!H$13</f>
        <v>4.0000000000000001E-10</v>
      </c>
      <c r="Y166" s="411">
        <f>計分版!I$13</f>
        <v>5.0000000000000003E-10</v>
      </c>
      <c r="Z166" s="411">
        <f>計分版!J$13</f>
        <v>6E-10</v>
      </c>
      <c r="AA166" s="411">
        <f>計分版!K$13</f>
        <v>6.9999999999999996E-10</v>
      </c>
      <c r="AB166" s="411">
        <f>計分版!L$13</f>
        <v>8.0000000000000003E-10</v>
      </c>
      <c r="AC166" s="411">
        <f>計分版!M$13</f>
        <v>8.9999999999999999E-10</v>
      </c>
      <c r="AD166" s="411">
        <f>計分版!N$13</f>
        <v>9.5000000000000003E-10</v>
      </c>
      <c r="AF166" s="413" t="s">
        <v>2308</v>
      </c>
      <c r="AG166" s="413" t="s">
        <v>2309</v>
      </c>
      <c r="AH166" s="413" t="s">
        <v>2308</v>
      </c>
    </row>
    <row r="167" spans="1:34">
      <c r="A167" s="2" t="s">
        <v>154</v>
      </c>
      <c r="B167" s="2" t="s">
        <v>155</v>
      </c>
      <c r="C167" s="13" t="s">
        <v>189</v>
      </c>
      <c r="D167" s="78">
        <v>37</v>
      </c>
      <c r="E167" s="419">
        <v>3</v>
      </c>
      <c r="F167" s="419">
        <v>3</v>
      </c>
      <c r="G167" s="419">
        <v>3</v>
      </c>
      <c r="H167" s="419">
        <v>2</v>
      </c>
      <c r="I167" s="419">
        <v>3</v>
      </c>
      <c r="J167" s="419">
        <v>3</v>
      </c>
      <c r="L167" s="411">
        <f t="shared" ref="L167:L169" si="64">IF(E167&gt;U167,0,1)</f>
        <v>0</v>
      </c>
      <c r="M167" s="411">
        <f t="shared" ref="M167:M169" si="65">IF(F167&gt;V167,0,1)</f>
        <v>0</v>
      </c>
      <c r="N167" s="411">
        <f t="shared" ref="N167" si="66">IF(G167&gt;W167,0,1)</f>
        <v>0</v>
      </c>
      <c r="O167" s="411">
        <f t="shared" ref="O167:O168" si="67">IF(H167&gt;X167,0,1)</f>
        <v>0</v>
      </c>
      <c r="P167" s="78">
        <f>IF(I167&gt;LARGE(計分版!$I$13:$N$13,1),0,1)</f>
        <v>0</v>
      </c>
      <c r="Q167" s="78">
        <f>IF(J167&gt;LARGE(計分版!$I$13:$N$13,2),0,1)</f>
        <v>0</v>
      </c>
      <c r="R167" s="78"/>
      <c r="S167" s="78">
        <f t="shared" si="50"/>
        <v>0</v>
      </c>
      <c r="U167" s="411">
        <f>計分版!E$13</f>
        <v>1E-10</v>
      </c>
      <c r="V167" s="411">
        <f>計分版!F$13</f>
        <v>2.0000000000000001E-10</v>
      </c>
      <c r="W167" s="411">
        <f>計分版!G$13</f>
        <v>3E-10</v>
      </c>
      <c r="X167" s="411">
        <f>計分版!H$13</f>
        <v>4.0000000000000001E-10</v>
      </c>
      <c r="Y167" s="411">
        <f>計分版!I$13</f>
        <v>5.0000000000000003E-10</v>
      </c>
      <c r="Z167" s="411">
        <f>計分版!J$13</f>
        <v>6E-10</v>
      </c>
      <c r="AA167" s="411">
        <f>計分版!K$13</f>
        <v>6.9999999999999996E-10</v>
      </c>
      <c r="AB167" s="411">
        <f>計分版!L$13</f>
        <v>8.0000000000000003E-10</v>
      </c>
      <c r="AC167" s="411">
        <f>計分版!M$13</f>
        <v>8.9999999999999999E-10</v>
      </c>
      <c r="AD167" s="411">
        <f>計分版!N$13</f>
        <v>9.5000000000000003E-10</v>
      </c>
      <c r="AF167" s="413" t="s">
        <v>2308</v>
      </c>
      <c r="AG167" s="413" t="s">
        <v>2309</v>
      </c>
      <c r="AH167" s="413" t="s">
        <v>2308</v>
      </c>
    </row>
    <row r="168" spans="1:34">
      <c r="A168" s="2" t="s">
        <v>98</v>
      </c>
      <c r="B168" s="2" t="s">
        <v>99</v>
      </c>
      <c r="C168" s="132" t="s">
        <v>190</v>
      </c>
      <c r="D168" s="78">
        <v>24</v>
      </c>
      <c r="E168" s="419">
        <v>4</v>
      </c>
      <c r="F168" s="419">
        <v>5</v>
      </c>
      <c r="G168" s="419">
        <v>3</v>
      </c>
      <c r="H168" s="419">
        <v>2</v>
      </c>
      <c r="I168" s="419">
        <v>3</v>
      </c>
      <c r="J168" s="419">
        <v>3</v>
      </c>
      <c r="L168" s="411">
        <f t="shared" si="64"/>
        <v>0</v>
      </c>
      <c r="M168" s="411">
        <f t="shared" si="65"/>
        <v>0</v>
      </c>
      <c r="N168" s="78">
        <f>IF(W168&gt;4,1,IF(W168&gt;3,2,0))</f>
        <v>0</v>
      </c>
      <c r="O168" s="411">
        <f t="shared" si="67"/>
        <v>0</v>
      </c>
      <c r="P168" s="78">
        <f>IF(I168&gt;LARGE(計分版!$I$13:$N$13,1),0,1)</f>
        <v>0</v>
      </c>
      <c r="Q168" s="78">
        <f>IF(J168&gt;LARGE(計分版!$I$13:$N$13,2),0,1)</f>
        <v>0</v>
      </c>
      <c r="R168" s="78"/>
      <c r="S168" s="78">
        <f t="shared" si="50"/>
        <v>0</v>
      </c>
      <c r="U168" s="411">
        <f>計分版!E$13</f>
        <v>1E-10</v>
      </c>
      <c r="V168" s="411">
        <f>計分版!F$13</f>
        <v>2.0000000000000001E-10</v>
      </c>
      <c r="W168" s="411">
        <f>計分版!G$13</f>
        <v>3E-10</v>
      </c>
      <c r="X168" s="411">
        <f>計分版!H$13</f>
        <v>4.0000000000000001E-10</v>
      </c>
      <c r="Y168" s="411">
        <f>計分版!I$13</f>
        <v>5.0000000000000003E-10</v>
      </c>
      <c r="Z168" s="411">
        <f>計分版!J$13</f>
        <v>6E-10</v>
      </c>
      <c r="AA168" s="411">
        <f>計分版!K$13</f>
        <v>6.9999999999999996E-10</v>
      </c>
      <c r="AB168" s="411">
        <f>計分版!L$13</f>
        <v>8.0000000000000003E-10</v>
      </c>
      <c r="AC168" s="411">
        <f>計分版!M$13</f>
        <v>8.9999999999999999E-10</v>
      </c>
      <c r="AD168" s="411">
        <f>計分版!N$13</f>
        <v>9.5000000000000003E-10</v>
      </c>
      <c r="AF168" s="413" t="s">
        <v>2308</v>
      </c>
      <c r="AG168" s="413" t="s">
        <v>2309</v>
      </c>
    </row>
    <row r="169" spans="1:34">
      <c r="A169" s="2" t="s">
        <v>156</v>
      </c>
      <c r="B169" s="2" t="s">
        <v>157</v>
      </c>
      <c r="C169" s="13" t="s">
        <v>190</v>
      </c>
      <c r="D169" s="78">
        <v>25</v>
      </c>
      <c r="E169" s="419">
        <v>4</v>
      </c>
      <c r="F169" s="419">
        <v>5</v>
      </c>
      <c r="G169" s="419">
        <v>3</v>
      </c>
      <c r="H169" s="419">
        <v>2</v>
      </c>
      <c r="I169" s="419">
        <v>3</v>
      </c>
      <c r="J169" s="419">
        <v>3</v>
      </c>
      <c r="L169" s="411">
        <f t="shared" si="64"/>
        <v>0</v>
      </c>
      <c r="M169" s="411">
        <f t="shared" si="65"/>
        <v>0</v>
      </c>
      <c r="N169" s="78">
        <f>IF(G169&gt;W169,0,1)</f>
        <v>0</v>
      </c>
      <c r="O169" s="411">
        <f>IF(H169&gt;X169,0,1)</f>
        <v>0</v>
      </c>
      <c r="P169" s="78">
        <f>IF(I169&gt;LARGE(計分版!$I$13:$N$13,1),0,1)</f>
        <v>0</v>
      </c>
      <c r="Q169" s="78">
        <f>IF(J169&gt;LARGE(計分版!$I$13:$N$13,2),0,1)</f>
        <v>0</v>
      </c>
      <c r="R169" s="78"/>
      <c r="S169" s="78">
        <f t="shared" si="50"/>
        <v>0</v>
      </c>
      <c r="U169" s="411">
        <f>計分版!E$13</f>
        <v>1E-10</v>
      </c>
      <c r="V169" s="411">
        <f>計分版!F$13</f>
        <v>2.0000000000000001E-10</v>
      </c>
      <c r="W169" s="411">
        <f>計分版!G$13</f>
        <v>3E-10</v>
      </c>
      <c r="X169" s="411">
        <f>計分版!H$13</f>
        <v>4.0000000000000001E-10</v>
      </c>
      <c r="Y169" s="411">
        <f>計分版!I$13</f>
        <v>5.0000000000000003E-10</v>
      </c>
      <c r="Z169" s="411">
        <f>計分版!J$13</f>
        <v>6E-10</v>
      </c>
      <c r="AA169" s="411">
        <f>計分版!K$13</f>
        <v>6.9999999999999996E-10</v>
      </c>
      <c r="AB169" s="411">
        <f>計分版!L$13</f>
        <v>8.0000000000000003E-10</v>
      </c>
      <c r="AC169" s="411">
        <f>計分版!M$13</f>
        <v>8.9999999999999999E-10</v>
      </c>
      <c r="AD169" s="411">
        <f>計分版!N$13</f>
        <v>9.5000000000000003E-10</v>
      </c>
      <c r="AF169" s="413" t="s">
        <v>2308</v>
      </c>
      <c r="AG169" s="413" t="s">
        <v>2309</v>
      </c>
    </row>
    <row r="170" spans="1:34">
      <c r="A170" s="2" t="s">
        <v>100</v>
      </c>
      <c r="B170" s="2" t="s">
        <v>158</v>
      </c>
      <c r="C170" s="133" t="s">
        <v>189</v>
      </c>
      <c r="D170" s="78">
        <v>20</v>
      </c>
      <c r="E170" s="419">
        <v>3</v>
      </c>
      <c r="F170" s="419">
        <v>3</v>
      </c>
      <c r="G170" s="419">
        <v>3</v>
      </c>
      <c r="H170" s="419">
        <v>2</v>
      </c>
      <c r="I170" s="419">
        <v>3</v>
      </c>
      <c r="J170" s="419">
        <v>3</v>
      </c>
      <c r="L170" s="411">
        <f t="shared" ref="L170:L174" si="68">IF(E170&gt;U170,0,1)</f>
        <v>0</v>
      </c>
      <c r="M170" s="411">
        <f t="shared" ref="M170:M174" si="69">IF(F170&gt;V170,0,1)</f>
        <v>0</v>
      </c>
      <c r="N170" s="411">
        <f t="shared" ref="N170:N174" si="70">IF(G170&gt;W170,0,1)</f>
        <v>0</v>
      </c>
      <c r="O170" s="411">
        <f t="shared" ref="O170:O174" si="71">IF(H170&gt;X170,0,1)</f>
        <v>0</v>
      </c>
      <c r="P170" s="78">
        <f>IF(I170&gt;LARGE(計分版!$I$13:$N$13,1),0,1)</f>
        <v>0</v>
      </c>
      <c r="Q170" s="78">
        <f>IF(J170&gt;LARGE(計分版!$I$13:$N$13,2),0,1)</f>
        <v>0</v>
      </c>
      <c r="R170" s="78"/>
      <c r="S170" s="78">
        <f t="shared" si="50"/>
        <v>0</v>
      </c>
      <c r="U170" s="411">
        <f>計分版!E$13</f>
        <v>1E-10</v>
      </c>
      <c r="V170" s="411">
        <f>計分版!F$13</f>
        <v>2.0000000000000001E-10</v>
      </c>
      <c r="W170" s="411">
        <f>計分版!G$13</f>
        <v>3E-10</v>
      </c>
      <c r="X170" s="411">
        <f>計分版!H$13</f>
        <v>4.0000000000000001E-10</v>
      </c>
      <c r="Y170" s="411">
        <f>計分版!I$13</f>
        <v>5.0000000000000003E-10</v>
      </c>
      <c r="Z170" s="411">
        <f>計分版!J$13</f>
        <v>6E-10</v>
      </c>
      <c r="AA170" s="411">
        <f>計分版!K$13</f>
        <v>6.9999999999999996E-10</v>
      </c>
      <c r="AB170" s="411">
        <f>計分版!L$13</f>
        <v>8.0000000000000003E-10</v>
      </c>
      <c r="AC170" s="411">
        <f>計分版!M$13</f>
        <v>8.9999999999999999E-10</v>
      </c>
      <c r="AD170" s="411">
        <f>計分版!N$13</f>
        <v>9.5000000000000003E-10</v>
      </c>
      <c r="AF170" s="413" t="s">
        <v>2308</v>
      </c>
      <c r="AG170" s="413" t="s">
        <v>2309</v>
      </c>
      <c r="AH170" s="413" t="s">
        <v>2308</v>
      </c>
    </row>
    <row r="171" spans="1:34">
      <c r="A171" s="2" t="s">
        <v>101</v>
      </c>
      <c r="B171" s="2" t="s">
        <v>185</v>
      </c>
      <c r="C171" s="13" t="s">
        <v>189</v>
      </c>
      <c r="D171" s="78">
        <v>24</v>
      </c>
      <c r="E171" s="419">
        <v>3</v>
      </c>
      <c r="F171" s="419">
        <v>3</v>
      </c>
      <c r="G171" s="419">
        <v>2</v>
      </c>
      <c r="H171" s="419">
        <v>2</v>
      </c>
      <c r="I171" s="419">
        <v>3</v>
      </c>
      <c r="J171" s="419">
        <v>3</v>
      </c>
      <c r="L171" s="411">
        <f t="shared" si="68"/>
        <v>0</v>
      </c>
      <c r="M171" s="411">
        <f t="shared" si="69"/>
        <v>0</v>
      </c>
      <c r="N171" s="411">
        <f t="shared" si="70"/>
        <v>0</v>
      </c>
      <c r="O171" s="411">
        <f t="shared" si="71"/>
        <v>0</v>
      </c>
      <c r="P171" s="78">
        <f>IF(I171&gt;LARGE(計分版!$I$13:$N$13,1),0,1)</f>
        <v>0</v>
      </c>
      <c r="Q171" s="78">
        <f>IF(J171&gt;LARGE(計分版!$I$13:$N$13,2),0,1)</f>
        <v>0</v>
      </c>
      <c r="R171" s="78"/>
      <c r="S171" s="78">
        <f t="shared" si="50"/>
        <v>0</v>
      </c>
      <c r="U171" s="411">
        <f>計分版!E$13</f>
        <v>1E-10</v>
      </c>
      <c r="V171" s="411">
        <f>計分版!F$13</f>
        <v>2.0000000000000001E-10</v>
      </c>
      <c r="W171" s="411">
        <f>計分版!G$13</f>
        <v>3E-10</v>
      </c>
      <c r="X171" s="411">
        <f>計分版!H$13</f>
        <v>4.0000000000000001E-10</v>
      </c>
      <c r="Y171" s="411">
        <f>計分版!I$13</f>
        <v>5.0000000000000003E-10</v>
      </c>
      <c r="Z171" s="411">
        <f>計分版!J$13</f>
        <v>6E-10</v>
      </c>
      <c r="AA171" s="411">
        <f>計分版!K$13</f>
        <v>6.9999999999999996E-10</v>
      </c>
      <c r="AB171" s="411">
        <f>計分版!L$13</f>
        <v>8.0000000000000003E-10</v>
      </c>
      <c r="AC171" s="411">
        <f>計分版!M$13</f>
        <v>8.9999999999999999E-10</v>
      </c>
      <c r="AD171" s="411">
        <f>計分版!N$13</f>
        <v>9.5000000000000003E-10</v>
      </c>
      <c r="AF171" s="413" t="s">
        <v>2308</v>
      </c>
      <c r="AG171" s="413" t="s">
        <v>2309</v>
      </c>
    </row>
    <row r="172" spans="1:34">
      <c r="A172" s="2" t="s">
        <v>102</v>
      </c>
      <c r="B172" s="2" t="s">
        <v>103</v>
      </c>
      <c r="C172" s="13" t="s">
        <v>189</v>
      </c>
      <c r="D172" s="78">
        <v>20</v>
      </c>
      <c r="E172" s="419">
        <v>4</v>
      </c>
      <c r="F172" s="419">
        <v>3</v>
      </c>
      <c r="G172" s="419">
        <v>2</v>
      </c>
      <c r="H172" s="419">
        <v>2</v>
      </c>
      <c r="I172" s="419">
        <v>3</v>
      </c>
      <c r="J172" s="419">
        <v>3</v>
      </c>
      <c r="L172" s="411">
        <f t="shared" si="68"/>
        <v>0</v>
      </c>
      <c r="M172" s="411">
        <f t="shared" si="69"/>
        <v>0</v>
      </c>
      <c r="N172" s="411">
        <f t="shared" si="70"/>
        <v>0</v>
      </c>
      <c r="O172" s="411">
        <f t="shared" si="71"/>
        <v>0</v>
      </c>
      <c r="P172" s="78">
        <f>IF(I172&gt;LARGE(計分版!$I$13:$N$13,1),0,1)</f>
        <v>0</v>
      </c>
      <c r="Q172" s="78">
        <f>IF(J172&gt;LARGE(計分版!$I$13:$N$13,2),0,1)</f>
        <v>0</v>
      </c>
      <c r="R172" s="78"/>
      <c r="S172" s="78">
        <f t="shared" si="50"/>
        <v>0</v>
      </c>
      <c r="U172" s="411">
        <f>計分版!E$13</f>
        <v>1E-10</v>
      </c>
      <c r="V172" s="411">
        <f>計分版!F$13</f>
        <v>2.0000000000000001E-10</v>
      </c>
      <c r="W172" s="411">
        <f>計分版!G$13</f>
        <v>3E-10</v>
      </c>
      <c r="X172" s="411">
        <f>計分版!H$13</f>
        <v>4.0000000000000001E-10</v>
      </c>
      <c r="Y172" s="411">
        <f>計分版!I$13</f>
        <v>5.0000000000000003E-10</v>
      </c>
      <c r="Z172" s="411">
        <f>計分版!J$13</f>
        <v>6E-10</v>
      </c>
      <c r="AA172" s="411">
        <f>計分版!K$13</f>
        <v>6.9999999999999996E-10</v>
      </c>
      <c r="AB172" s="411">
        <f>計分版!L$13</f>
        <v>8.0000000000000003E-10</v>
      </c>
      <c r="AC172" s="411">
        <f>計分版!M$13</f>
        <v>8.9999999999999999E-10</v>
      </c>
      <c r="AD172" s="411">
        <f>計分版!N$13</f>
        <v>9.5000000000000003E-10</v>
      </c>
      <c r="AF172" s="413" t="s">
        <v>2308</v>
      </c>
      <c r="AG172" s="413" t="s">
        <v>2309</v>
      </c>
    </row>
    <row r="173" spans="1:34">
      <c r="A173" s="2" t="s">
        <v>104</v>
      </c>
      <c r="B173" s="2" t="s">
        <v>105</v>
      </c>
      <c r="C173" s="13" t="s">
        <v>189</v>
      </c>
      <c r="D173" s="78">
        <v>14</v>
      </c>
      <c r="E173" s="419">
        <v>3</v>
      </c>
      <c r="F173" s="419">
        <v>4</v>
      </c>
      <c r="G173" s="419">
        <v>2</v>
      </c>
      <c r="H173" s="419">
        <v>2</v>
      </c>
      <c r="I173" s="419">
        <v>3</v>
      </c>
      <c r="J173" s="419">
        <v>3</v>
      </c>
      <c r="L173" s="411">
        <f t="shared" si="68"/>
        <v>0</v>
      </c>
      <c r="M173" s="411">
        <f t="shared" si="69"/>
        <v>0</v>
      </c>
      <c r="N173" s="411">
        <f t="shared" si="70"/>
        <v>0</v>
      </c>
      <c r="O173" s="411">
        <f t="shared" si="71"/>
        <v>0</v>
      </c>
      <c r="P173" s="78">
        <f>IF(I173&gt;LARGE(計分版!$I$13:$N$13,1),0,1)</f>
        <v>0</v>
      </c>
      <c r="Q173" s="78">
        <f>IF(J173&gt;LARGE(計分版!$I$13:$N$13,2),0,1)</f>
        <v>0</v>
      </c>
      <c r="R173" s="78"/>
      <c r="S173" s="78">
        <f t="shared" si="50"/>
        <v>0</v>
      </c>
      <c r="U173" s="411">
        <f>計分版!E$13</f>
        <v>1E-10</v>
      </c>
      <c r="V173" s="411">
        <f>計分版!F$13</f>
        <v>2.0000000000000001E-10</v>
      </c>
      <c r="W173" s="411">
        <f>計分版!G$13</f>
        <v>3E-10</v>
      </c>
      <c r="X173" s="411">
        <f>計分版!H$13</f>
        <v>4.0000000000000001E-10</v>
      </c>
      <c r="Y173" s="411">
        <f>計分版!I$13</f>
        <v>5.0000000000000003E-10</v>
      </c>
      <c r="Z173" s="411">
        <f>計分版!J$13</f>
        <v>6E-10</v>
      </c>
      <c r="AA173" s="411">
        <f>計分版!K$13</f>
        <v>6.9999999999999996E-10</v>
      </c>
      <c r="AB173" s="411">
        <f>計分版!L$13</f>
        <v>8.0000000000000003E-10</v>
      </c>
      <c r="AC173" s="411">
        <f>計分版!M$13</f>
        <v>8.9999999999999999E-10</v>
      </c>
      <c r="AD173" s="411">
        <f>計分版!N$13</f>
        <v>9.5000000000000003E-10</v>
      </c>
      <c r="AF173" s="413" t="s">
        <v>2308</v>
      </c>
      <c r="AG173" s="413" t="s">
        <v>2309</v>
      </c>
      <c r="AH173" s="413" t="s">
        <v>2308</v>
      </c>
    </row>
    <row r="174" spans="1:34">
      <c r="A174" s="2" t="s">
        <v>106</v>
      </c>
      <c r="B174" s="2" t="s">
        <v>107</v>
      </c>
      <c r="C174" s="13" t="s">
        <v>189</v>
      </c>
      <c r="D174" s="78">
        <v>18</v>
      </c>
      <c r="E174" s="419">
        <v>3</v>
      </c>
      <c r="F174" s="419">
        <v>3</v>
      </c>
      <c r="G174" s="419">
        <v>4</v>
      </c>
      <c r="H174" s="419">
        <v>2</v>
      </c>
      <c r="I174" s="419">
        <v>3</v>
      </c>
      <c r="J174" s="419">
        <v>3</v>
      </c>
      <c r="L174" s="411">
        <f t="shared" si="68"/>
        <v>0</v>
      </c>
      <c r="M174" s="411">
        <f t="shared" si="69"/>
        <v>0</v>
      </c>
      <c r="N174" s="411">
        <f t="shared" si="70"/>
        <v>0</v>
      </c>
      <c r="O174" s="411">
        <f t="shared" si="71"/>
        <v>0</v>
      </c>
      <c r="P174" s="78">
        <f>IF(I174&lt;LARGE(計分版!$J$13:$N$13,1),1,0)</f>
        <v>0</v>
      </c>
      <c r="Q174" s="78">
        <f>IF(計分版!$I$13&gt;3,1,0)</f>
        <v>0</v>
      </c>
      <c r="R174" s="78"/>
      <c r="S174" s="78">
        <f t="shared" si="50"/>
        <v>0</v>
      </c>
      <c r="U174" s="411">
        <f>計分版!E$13</f>
        <v>1E-10</v>
      </c>
      <c r="V174" s="411">
        <f>計分版!F$13</f>
        <v>2.0000000000000001E-10</v>
      </c>
      <c r="W174" s="411">
        <f>計分版!G$13</f>
        <v>3E-10</v>
      </c>
      <c r="X174" s="411">
        <f>計分版!H$13</f>
        <v>4.0000000000000001E-10</v>
      </c>
      <c r="Y174" s="411">
        <f>計分版!I$13</f>
        <v>5.0000000000000003E-10</v>
      </c>
      <c r="Z174" s="411">
        <f>計分版!J$13</f>
        <v>6E-10</v>
      </c>
      <c r="AA174" s="411">
        <f>計分版!K$13</f>
        <v>6.9999999999999996E-10</v>
      </c>
      <c r="AB174" s="411">
        <f>計分版!L$13</f>
        <v>8.0000000000000003E-10</v>
      </c>
      <c r="AC174" s="411">
        <f>計分版!M$13</f>
        <v>8.9999999999999999E-10</v>
      </c>
      <c r="AD174" s="411">
        <f>計分版!N$13</f>
        <v>9.5000000000000003E-10</v>
      </c>
      <c r="AF174" s="413" t="s">
        <v>2308</v>
      </c>
      <c r="AG174" s="413" t="s">
        <v>2309</v>
      </c>
    </row>
    <row r="175" spans="1:34">
      <c r="A175" s="2" t="s">
        <v>186</v>
      </c>
      <c r="B175" s="2" t="s">
        <v>181</v>
      </c>
      <c r="C175" s="13" t="s">
        <v>189</v>
      </c>
      <c r="D175" s="78">
        <v>21</v>
      </c>
      <c r="E175" s="419">
        <v>3</v>
      </c>
      <c r="F175" s="419">
        <v>3</v>
      </c>
      <c r="G175" s="419">
        <v>2</v>
      </c>
      <c r="H175" s="419">
        <v>2</v>
      </c>
      <c r="I175" s="419">
        <v>3</v>
      </c>
      <c r="J175" s="419">
        <v>3</v>
      </c>
      <c r="L175" s="411">
        <f t="shared" ref="L175:M181" si="72">IF(E175&gt;U175,0,1)</f>
        <v>0</v>
      </c>
      <c r="M175" s="411">
        <f t="shared" ref="M175:M180" si="73">IF(F175&gt;V175,0,1)</f>
        <v>0</v>
      </c>
      <c r="N175" s="411">
        <f t="shared" ref="N175:N180" si="74">IF(G175&gt;W175,0,1)</f>
        <v>0</v>
      </c>
      <c r="O175" s="411">
        <f t="shared" ref="O175:O182" si="75">IF(H175&gt;X175,0,1)</f>
        <v>0</v>
      </c>
      <c r="P175" s="78">
        <f>IF(I175&gt;LARGE(計分版!$I$13:$N$13,1),0,1)</f>
        <v>0</v>
      </c>
      <c r="Q175" s="78">
        <f>IF(J175&gt;LARGE(計分版!$I$13:$N$13,2),0,1)</f>
        <v>0</v>
      </c>
      <c r="R175" s="78"/>
      <c r="S175" s="78">
        <f t="shared" si="50"/>
        <v>0</v>
      </c>
      <c r="U175" s="411">
        <f>計分版!E$13</f>
        <v>1E-10</v>
      </c>
      <c r="V175" s="411">
        <f>計分版!F$13</f>
        <v>2.0000000000000001E-10</v>
      </c>
      <c r="W175" s="411">
        <f>計分版!G$13</f>
        <v>3E-10</v>
      </c>
      <c r="X175" s="411">
        <f>計分版!H$13</f>
        <v>4.0000000000000001E-10</v>
      </c>
      <c r="Y175" s="411">
        <f>計分版!I$13</f>
        <v>5.0000000000000003E-10</v>
      </c>
      <c r="Z175" s="411">
        <f>計分版!J$13</f>
        <v>6E-10</v>
      </c>
      <c r="AA175" s="411">
        <f>計分版!K$13</f>
        <v>6.9999999999999996E-10</v>
      </c>
      <c r="AB175" s="411">
        <f>計分版!L$13</f>
        <v>8.0000000000000003E-10</v>
      </c>
      <c r="AC175" s="411">
        <f>計分版!M$13</f>
        <v>8.9999999999999999E-10</v>
      </c>
      <c r="AD175" s="411">
        <f>計分版!N$13</f>
        <v>9.5000000000000003E-10</v>
      </c>
      <c r="AF175" s="413" t="s">
        <v>2308</v>
      </c>
      <c r="AG175" s="413" t="s">
        <v>2309</v>
      </c>
      <c r="AH175" s="413" t="s">
        <v>2308</v>
      </c>
    </row>
    <row r="176" spans="1:34">
      <c r="A176" s="2" t="s">
        <v>108</v>
      </c>
      <c r="B176" s="2" t="s">
        <v>191</v>
      </c>
      <c r="C176" s="13" t="s">
        <v>189</v>
      </c>
      <c r="D176" s="78">
        <v>304</v>
      </c>
      <c r="E176" s="419">
        <v>3</v>
      </c>
      <c r="F176" s="419">
        <v>3</v>
      </c>
      <c r="G176" s="419">
        <v>3</v>
      </c>
      <c r="H176" s="419">
        <v>2</v>
      </c>
      <c r="I176" s="419">
        <v>3</v>
      </c>
      <c r="J176" s="419">
        <v>3</v>
      </c>
      <c r="L176" s="411">
        <f t="shared" si="72"/>
        <v>0</v>
      </c>
      <c r="M176" s="411">
        <f t="shared" si="73"/>
        <v>0</v>
      </c>
      <c r="N176" s="411">
        <f t="shared" si="74"/>
        <v>0</v>
      </c>
      <c r="O176" s="411">
        <f t="shared" si="75"/>
        <v>0</v>
      </c>
      <c r="P176" s="78">
        <f>IF(OR(AND(計分版!$J$1="物理",計分版!$J$13&gt;3),AND(計分版!$J$1="生物",計分版!$J$13&gt;3),AND(計分版!$J$1="化學",計分版!$J$13&gt;3),AND(計分版!$J$1="組合科學 (物理、化學)",計分版!$J$13&gt;3),AND(計分版!$J$1="組合科學 (物理、生物)",計分版!$J$13&gt;3),AND(計分版!$J$1="組合科學 (生物、化學)",計分版!$J$13&gt;3),AND(計分版!$K$1="物理",計分版!$K$13&gt;3),AND(計分版!$K$1="生物",計分版!$K$13&gt;3),AND(計分版!$K$1="化學",計分版!$K$13&gt;3),AND(計分版!$K$1="組合科學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(生物、化學)",計分版!$K$13&gt;3),AND(計分版!$L$1="物理",計分版!$L$13&gt;3),AND(計分版!$L$1="生物",計分版!$L$13&gt;3),AND(計分版!$L$1="化學",計分版!$L$13&gt;3),AND(計分版!$L$1="組合科學 (物理、化學)",計分版!$L$13&gt;3),AND(計分版!$L$1="組合科學 (物理、生物)",計分版!$L$13&gt;3),AND(計分版!$L$1="組合科學 (生物、化學)",計分版!$L$13&gt;3),AND(計分版!$M$1="物理",計分版!$M$13&gt;3),AND(計分版!$M$1="生物",計分版!$M$13&gt;3),AND(計分版!$M$1="化學",計分版!$M$13&gt;3),AND(計分版!$M$1="組合科學 (物理、化學)",計分版!$M$13&gt;3),AND(計分版!$M$1="組合科學 (物理、生物)",計分版!$M$13&gt;3),AND(計分版!$M$1="組合科學 (生物、化學)",計分版!$M$13&gt;3),計分版!$I$13&gt;3),1,0)</f>
        <v>0</v>
      </c>
      <c r="Q176" s="78">
        <f>IF(J176&gt;LARGE(計分版!$I$13:$N$13,2),0,1)</f>
        <v>0</v>
      </c>
      <c r="R176" s="78"/>
      <c r="S176" s="78">
        <f t="shared" si="50"/>
        <v>0</v>
      </c>
      <c r="U176" s="411">
        <f>計分版!E$13</f>
        <v>1E-10</v>
      </c>
      <c r="V176" s="411">
        <f>計分版!F$13</f>
        <v>2.0000000000000001E-10</v>
      </c>
      <c r="W176" s="411">
        <f>計分版!G$13</f>
        <v>3E-10</v>
      </c>
      <c r="X176" s="411">
        <f>計分版!H$13</f>
        <v>4.0000000000000001E-10</v>
      </c>
      <c r="Y176" s="411">
        <f>計分版!I$13</f>
        <v>5.0000000000000003E-10</v>
      </c>
      <c r="Z176" s="411">
        <f>計分版!J$13</f>
        <v>6E-10</v>
      </c>
      <c r="AA176" s="411">
        <f>計分版!K$13</f>
        <v>6.9999999999999996E-10</v>
      </c>
      <c r="AB176" s="411">
        <f>計分版!L$13</f>
        <v>8.0000000000000003E-10</v>
      </c>
      <c r="AC176" s="411">
        <f>計分版!M$13</f>
        <v>8.9999999999999999E-10</v>
      </c>
      <c r="AD176" s="411">
        <f>計分版!N$13</f>
        <v>9.5000000000000003E-10</v>
      </c>
      <c r="AF176" s="413" t="s">
        <v>2308</v>
      </c>
      <c r="AG176" s="413" t="s">
        <v>2309</v>
      </c>
      <c r="AH176" s="413" t="s">
        <v>2308</v>
      </c>
    </row>
    <row r="177" spans="1:39">
      <c r="A177" s="2" t="s">
        <v>159</v>
      </c>
      <c r="B177" s="2" t="s">
        <v>160</v>
      </c>
      <c r="C177" s="13" t="s">
        <v>189</v>
      </c>
      <c r="D177" s="78">
        <v>30</v>
      </c>
      <c r="E177" s="419">
        <v>3</v>
      </c>
      <c r="F177" s="419">
        <v>3</v>
      </c>
      <c r="G177" s="419">
        <v>4</v>
      </c>
      <c r="H177" s="419">
        <v>3</v>
      </c>
      <c r="I177" s="419">
        <v>3</v>
      </c>
      <c r="J177" s="419">
        <v>3</v>
      </c>
      <c r="L177" s="411">
        <f t="shared" si="72"/>
        <v>0</v>
      </c>
      <c r="M177" s="411">
        <f t="shared" si="73"/>
        <v>0</v>
      </c>
      <c r="N177" s="411">
        <f t="shared" si="74"/>
        <v>0</v>
      </c>
      <c r="O177" s="411">
        <f t="shared" si="75"/>
        <v>0</v>
      </c>
      <c r="P177" s="78">
        <f>IF(I177&gt;LARGE(計分版!$I$13:$N$13,1),0,1)</f>
        <v>0</v>
      </c>
      <c r="Q177" s="78">
        <f>IF(J177&gt;LARGE(計分版!$I$13:$N$13,2),0,1)</f>
        <v>0</v>
      </c>
      <c r="R177" s="78"/>
      <c r="S177" s="78">
        <f t="shared" si="50"/>
        <v>0</v>
      </c>
      <c r="U177" s="411">
        <f>計分版!E$13</f>
        <v>1E-10</v>
      </c>
      <c r="V177" s="411">
        <f>計分版!F$13</f>
        <v>2.0000000000000001E-10</v>
      </c>
      <c r="W177" s="411">
        <f>計分版!G$13</f>
        <v>3E-10</v>
      </c>
      <c r="X177" s="411">
        <f>計分版!H$13</f>
        <v>4.0000000000000001E-10</v>
      </c>
      <c r="Y177" s="411">
        <f>計分版!I$13</f>
        <v>5.0000000000000003E-10</v>
      </c>
      <c r="Z177" s="411">
        <f>計分版!J$13</f>
        <v>6E-10</v>
      </c>
      <c r="AA177" s="411">
        <f>計分版!K$13</f>
        <v>6.9999999999999996E-10</v>
      </c>
      <c r="AB177" s="411">
        <f>計分版!L$13</f>
        <v>8.0000000000000003E-10</v>
      </c>
      <c r="AC177" s="411">
        <f>計分版!M$13</f>
        <v>8.9999999999999999E-10</v>
      </c>
      <c r="AD177" s="411">
        <f>計分版!N$13</f>
        <v>9.5000000000000003E-10</v>
      </c>
      <c r="AF177" s="413" t="s">
        <v>2308</v>
      </c>
      <c r="AG177" s="413" t="s">
        <v>2309</v>
      </c>
      <c r="AH177" s="413" t="s">
        <v>2308</v>
      </c>
    </row>
    <row r="178" spans="1:39">
      <c r="A178" s="2" t="s">
        <v>161</v>
      </c>
      <c r="B178" s="2" t="s">
        <v>162</v>
      </c>
      <c r="C178" s="13" t="s">
        <v>189</v>
      </c>
      <c r="D178" s="78">
        <v>57</v>
      </c>
      <c r="E178" s="419">
        <v>3</v>
      </c>
      <c r="F178" s="419">
        <v>3</v>
      </c>
      <c r="G178" s="419">
        <v>3</v>
      </c>
      <c r="H178" s="419">
        <v>2</v>
      </c>
      <c r="I178" s="419">
        <v>3</v>
      </c>
      <c r="J178" s="419">
        <v>3</v>
      </c>
      <c r="L178" s="411">
        <f t="shared" si="72"/>
        <v>0</v>
      </c>
      <c r="M178" s="411">
        <f t="shared" si="73"/>
        <v>0</v>
      </c>
      <c r="N178" s="411">
        <f t="shared" si="74"/>
        <v>0</v>
      </c>
      <c r="O178" s="411">
        <f t="shared" si="75"/>
        <v>0</v>
      </c>
      <c r="P178" s="78">
        <f>IF(OR(AND(計分版!$J$1="物理",計分版!$J$13&gt;3),AND(計分版!$J$1="生物",計分版!$J$13&gt;3),AND(計分版!$J$1="化學",計分版!$J$13&gt;3),AND(計分版!$J$1="組合科學 (物理、化學)",計分版!$J$13&gt;3),AND(計分版!$J$1="組合科學 (物理、生物)",計分版!$J$13&gt;3),AND(計分版!$J$1="組合科學 (生物、化學)",計分版!$J$13&gt;3), AND(計分版!$J$1="資訊及通訊科技",計分版!$J$13&gt;3),AND(計分版!$K$1="物理",計分版!$K$13&gt;3),AND(計分版!$K$1="生物",計分版!$K$13&gt;3),AND(計分版!$K$1="化學",計分版!$K$13&gt;3),AND(計分版!$K$1="組合科學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L$1="物理",計分版!$L$13&gt;3),AND(計分版!$L$1="生物",計分版!$L$13&gt;3),AND(計分版!$L$1="化學",計分版!$L$13&gt;3),AND(計分版!$L$1="組合科學 (物理、化學)",計分版!$L$13&gt;3),AND(計分版!$L$1="組合科學 (物理、生物)",計分版!$L$13&gt;3),AND(計分版!$L$1="組合科學 (生物、化學)",計分版!$L$13&gt;3),AND(計分版!$L$1="資訊及通訊科技",計分版!$L$13&gt;3),AND(計分版!$M$1="物理",計分版!$M$13&gt;3),AND(計分版!$M$1="生物",計分版!$M$13&gt;3),AND(計分版!$M$1="化學",計分版!$M$13&gt;3),AND(計分版!$M$1="組合科學 (物理、化學)",計分版!$M$13&gt;3),AND(計分版!$M$1="組合科學 (物理、生物)",計分版!$M$13&gt;3),AND(計分版!$M$1="組合科學 (生物、化學)",計分版!$M$13&gt;3),AND(計分版!$M$1="資訊及通訊科技",計分版!$M$13&gt;3),計分版!$I$13&gt;3),1,0)</f>
        <v>0</v>
      </c>
      <c r="Q178" s="78">
        <f>IF(J178&gt;LARGE(計分版!$I$13:$N$13,2),0,1)</f>
        <v>0</v>
      </c>
      <c r="R178" s="78"/>
      <c r="S178" s="78">
        <f t="shared" si="50"/>
        <v>0</v>
      </c>
      <c r="U178" s="411">
        <f>計分版!E$13</f>
        <v>1E-10</v>
      </c>
      <c r="V178" s="411">
        <f>計分版!F$13</f>
        <v>2.0000000000000001E-10</v>
      </c>
      <c r="W178" s="411">
        <f>計分版!G$13</f>
        <v>3E-10</v>
      </c>
      <c r="X178" s="411">
        <f>計分版!H$13</f>
        <v>4.0000000000000001E-10</v>
      </c>
      <c r="Y178" s="411">
        <f>計分版!I$13</f>
        <v>5.0000000000000003E-10</v>
      </c>
      <c r="Z178" s="411">
        <f>計分版!J$13</f>
        <v>6E-10</v>
      </c>
      <c r="AA178" s="411">
        <f>計分版!K$13</f>
        <v>6.9999999999999996E-10</v>
      </c>
      <c r="AB178" s="411">
        <f>計分版!L$13</f>
        <v>8.0000000000000003E-10</v>
      </c>
      <c r="AC178" s="411">
        <f>計分版!M$13</f>
        <v>8.9999999999999999E-10</v>
      </c>
      <c r="AD178" s="411">
        <f>計分版!N$13</f>
        <v>9.5000000000000003E-10</v>
      </c>
      <c r="AF178" s="413" t="s">
        <v>2308</v>
      </c>
      <c r="AG178" s="413" t="s">
        <v>2309</v>
      </c>
      <c r="AH178" s="413" t="s">
        <v>2308</v>
      </c>
    </row>
    <row r="179" spans="1:39" s="174" customFormat="1">
      <c r="A179" s="2" t="s">
        <v>163</v>
      </c>
      <c r="B179" s="2" t="s">
        <v>164</v>
      </c>
      <c r="C179" s="13" t="s">
        <v>189</v>
      </c>
      <c r="D179" s="78">
        <v>49</v>
      </c>
      <c r="E179" s="419">
        <v>3</v>
      </c>
      <c r="F179" s="419">
        <v>3</v>
      </c>
      <c r="G179" s="419">
        <v>3</v>
      </c>
      <c r="H179" s="419">
        <v>2</v>
      </c>
      <c r="I179" s="419">
        <v>3</v>
      </c>
      <c r="J179" s="419">
        <v>3</v>
      </c>
      <c r="K179" s="2"/>
      <c r="L179" s="411">
        <f t="shared" si="72"/>
        <v>0</v>
      </c>
      <c r="M179" s="411">
        <f t="shared" si="73"/>
        <v>0</v>
      </c>
      <c r="N179" s="411">
        <f t="shared" si="74"/>
        <v>0</v>
      </c>
      <c r="O179" s="411">
        <f t="shared" si="75"/>
        <v>0</v>
      </c>
      <c r="P179" s="78">
        <f>IF(OR(AND(計分版!$J$1="物理",計分版!$J$13&gt;3),AND(計分版!$J$1="生物",計分版!$J$13&gt;3),AND(計分版!$J$1="化學",計分版!$J$13&gt;3),AND(計分版!$J$1="組合科學 (物理、化學)",計分版!$J$13&gt;3),AND(計分版!$J$1="組合科學 (物理、生物)",計分版!$J$13&gt;3),AND(計分版!$J$1="組合科學 (生物、化學)",計分版!$J$13&gt;3),AND(計分版!$K$1="物理",計分版!$K$13&gt;3),AND(計分版!$K$1="生物",計分版!$K$13&gt;3),AND(計分版!$K$1="化學",計分版!$K$13&gt;3),AND(計分版!$K$1="組合科學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(生物、化學)",計分版!$K$13&gt;3),AND(計分版!$L$1="物理",計分版!$L$13&gt;3),AND(計分版!$L$1="生物",計分版!$L$13&gt;3),AND(計分版!$L$1="化學",計分版!$L$13&gt;3),AND(計分版!$L$1="組合科學 (物理、化學)",計分版!$L$13&gt;3),AND(計分版!$L$1="組合科學 (物理、生物)",計分版!$L$13&gt;3),AND(計分版!$L$1="組合科學 (生物、化學)",計分版!$L$13&gt;3),AND(計分版!$M$1="物理",計分版!$M$13&gt;3),AND(計分版!$M$1="生物",計分版!$M$13&gt;3),AND(計分版!$M$1="化學",計分版!$M$13&gt;3),AND(計分版!$M$1="組合科學 (物理、化學)",計分版!$M$13&gt;3),AND(計分版!$M$1="組合科學 (物理、生物)",計分版!$M$13&gt;3),AND(計分版!$M$1="組合科學 (生物、化學)",計分版!$M$13&gt;3),計分版!$I$13&gt;3),1,0)</f>
        <v>0</v>
      </c>
      <c r="Q179" s="78">
        <f>IF(J179&gt;LARGE(計分版!$I$13:$N$13,2),0,1)</f>
        <v>0</v>
      </c>
      <c r="R179" s="78"/>
      <c r="S179" s="78">
        <f t="shared" si="50"/>
        <v>0</v>
      </c>
      <c r="T179" s="191"/>
      <c r="U179" s="411">
        <f>計分版!E$13</f>
        <v>1E-10</v>
      </c>
      <c r="V179" s="411">
        <f>計分版!F$13</f>
        <v>2.0000000000000001E-10</v>
      </c>
      <c r="W179" s="411">
        <f>計分版!G$13</f>
        <v>3E-10</v>
      </c>
      <c r="X179" s="411">
        <f>計分版!H$13</f>
        <v>4.0000000000000001E-10</v>
      </c>
      <c r="Y179" s="411">
        <f>計分版!I$13</f>
        <v>5.0000000000000003E-10</v>
      </c>
      <c r="Z179" s="411">
        <f>計分版!J$13</f>
        <v>6E-10</v>
      </c>
      <c r="AA179" s="411">
        <f>計分版!K$13</f>
        <v>6.9999999999999996E-10</v>
      </c>
      <c r="AB179" s="411">
        <f>計分版!L$13</f>
        <v>8.0000000000000003E-10</v>
      </c>
      <c r="AC179" s="411">
        <f>計分版!M$13</f>
        <v>8.9999999999999999E-10</v>
      </c>
      <c r="AD179" s="411">
        <f>計分版!N$13</f>
        <v>9.5000000000000003E-10</v>
      </c>
      <c r="AE179" s="182"/>
      <c r="AF179" s="413" t="s">
        <v>2308</v>
      </c>
      <c r="AG179" s="413" t="s">
        <v>2309</v>
      </c>
      <c r="AH179" s="413" t="s">
        <v>2308</v>
      </c>
      <c r="AI179" s="413"/>
      <c r="AJ179" s="413"/>
      <c r="AK179" s="413"/>
      <c r="AL179" s="413"/>
      <c r="AM179" s="413"/>
    </row>
    <row r="180" spans="1:39">
      <c r="A180" s="2" t="s">
        <v>165</v>
      </c>
      <c r="B180" s="2" t="s">
        <v>166</v>
      </c>
      <c r="C180" s="13" t="s">
        <v>189</v>
      </c>
      <c r="D180" s="78">
        <v>35</v>
      </c>
      <c r="E180" s="419">
        <v>3</v>
      </c>
      <c r="F180" s="419">
        <v>3</v>
      </c>
      <c r="G180" s="419">
        <v>3</v>
      </c>
      <c r="H180" s="419">
        <v>2</v>
      </c>
      <c r="I180" s="419">
        <v>3</v>
      </c>
      <c r="J180" s="419">
        <v>3</v>
      </c>
      <c r="L180" s="411">
        <f t="shared" si="72"/>
        <v>0</v>
      </c>
      <c r="M180" s="411">
        <f t="shared" si="73"/>
        <v>0</v>
      </c>
      <c r="N180" s="411">
        <f t="shared" si="74"/>
        <v>0</v>
      </c>
      <c r="O180" s="411">
        <f t="shared" si="75"/>
        <v>0</v>
      </c>
      <c r="P180" s="78">
        <f>IF(OR(AND(計分版!$J$1="物理",計分版!$J$13&gt;3),AND(計分版!$J$1="生物",計分版!$J$13&gt;3),AND(計分版!$J$1="化學",計分版!$J$13&gt;3),AND(計分版!$J$1="組合科學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J$1="設計與應用科技",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 AND(計分版!$K$1="設計與應用科技",計分版!$K$13&gt;3),AND(計分版!$L$1="物理",計分版!$L$13&gt;3),AND(計分版!$L$1="生物",計分版!$L$13&gt;3),AND(計分版!$L$1="化學",計分版!$L$13&gt;3),AND(計分版!$L$1="組合科學 (物理、化學)",計分版!$L$13&gt;3),AND(計分版!$L$1="組合科學 (物理、生物)",計分版!$L$13&gt;3),AND(計分版!$L$1="組合科學 (生物、化學)",計分版!$L$13&gt;3),AND(計分版!$L$1="資訊及通訊科技",計分版!$L$13&gt;3), AND(計分版!$L$1="設計與應用科技",計分版!$L$13&gt;3),AND(計分版!$M$1="物理",計分版!$M$13&gt;3),AND(計分版!$M$1="生物",計分版!$M$13&gt;3),AND(計分版!$M$1="化學",計分版!$M$13&gt;3),AND(計分版!$M$1="組合科學 (物理、化學)",計分版!$M$13&gt;3),AND(計分版!$M$1="組合科學 (物理、生物)",計分版!$M$13&gt;3),AND(計分版!$M$1="組合科學 (生物、化學)",計分版!$M$13&gt;3),AND(計分版!$M$1="資訊及通訊科技",計分版!$M$13&gt;3),AND(計分版!$M$1="設計與應用科技",計分版!$M$13&gt;3),計分版!$I$13&gt;3),1,0)</f>
        <v>0</v>
      </c>
      <c r="Q180" s="78">
        <f>IF(J180&gt;LARGE(計分版!$I$13:$N$13,2),0,1)</f>
        <v>0</v>
      </c>
      <c r="R180" s="78"/>
      <c r="S180" s="78">
        <f t="shared" si="50"/>
        <v>0</v>
      </c>
      <c r="U180" s="411">
        <f>計分版!E$13</f>
        <v>1E-10</v>
      </c>
      <c r="V180" s="411">
        <f>計分版!F$13</f>
        <v>2.0000000000000001E-10</v>
      </c>
      <c r="W180" s="411">
        <f>計分版!G$13</f>
        <v>3E-10</v>
      </c>
      <c r="X180" s="411">
        <f>計分版!H$13</f>
        <v>4.0000000000000001E-10</v>
      </c>
      <c r="Y180" s="411">
        <f>計分版!I$13</f>
        <v>5.0000000000000003E-10</v>
      </c>
      <c r="Z180" s="411">
        <f>計分版!J$13</f>
        <v>6E-10</v>
      </c>
      <c r="AA180" s="411">
        <f>計分版!K$13</f>
        <v>6.9999999999999996E-10</v>
      </c>
      <c r="AB180" s="411">
        <f>計分版!L$13</f>
        <v>8.0000000000000003E-10</v>
      </c>
      <c r="AC180" s="411">
        <f>計分版!M$13</f>
        <v>8.9999999999999999E-10</v>
      </c>
      <c r="AD180" s="411">
        <f>計分版!N$13</f>
        <v>9.5000000000000003E-10</v>
      </c>
      <c r="AF180" s="413" t="s">
        <v>2308</v>
      </c>
      <c r="AG180" s="413" t="s">
        <v>2309</v>
      </c>
      <c r="AH180" s="413" t="s">
        <v>2308</v>
      </c>
    </row>
    <row r="181" spans="1:39">
      <c r="A181" s="2" t="s">
        <v>187</v>
      </c>
      <c r="B181" s="2" t="s">
        <v>192</v>
      </c>
      <c r="C181" s="13" t="s">
        <v>189</v>
      </c>
      <c r="D181" s="78">
        <v>30</v>
      </c>
      <c r="E181" s="419">
        <v>3</v>
      </c>
      <c r="F181" s="419">
        <v>4</v>
      </c>
      <c r="G181" s="419">
        <v>5</v>
      </c>
      <c r="H181" s="419">
        <v>3</v>
      </c>
      <c r="I181" s="419">
        <v>3</v>
      </c>
      <c r="J181" s="419">
        <v>3</v>
      </c>
      <c r="L181" s="411">
        <f t="shared" si="72"/>
        <v>0</v>
      </c>
      <c r="M181" s="411">
        <f t="shared" si="72"/>
        <v>0</v>
      </c>
      <c r="N181" s="78">
        <f>IF(W181&gt;5,1,IF(W181&gt;4,2,0))</f>
        <v>0</v>
      </c>
      <c r="O181" s="411">
        <f t="shared" si="75"/>
        <v>0</v>
      </c>
      <c r="P181" s="78">
        <f>IF(I181&gt;LARGE(計分版!$I$13:$N$13,1),0,1)</f>
        <v>0</v>
      </c>
      <c r="Q181" s="78">
        <f>IF(J181&gt;LARGE(計分版!$I$13:$N$13,2),0,1)</f>
        <v>0</v>
      </c>
      <c r="R181" s="78"/>
      <c r="S181" s="78">
        <f t="shared" si="50"/>
        <v>0</v>
      </c>
      <c r="U181" s="411">
        <f>計分版!E$13</f>
        <v>1E-10</v>
      </c>
      <c r="V181" s="411">
        <f>計分版!F$13</f>
        <v>2.0000000000000001E-10</v>
      </c>
      <c r="W181" s="411">
        <f>計分版!G$13</f>
        <v>3E-10</v>
      </c>
      <c r="X181" s="411">
        <f>計分版!H$13</f>
        <v>4.0000000000000001E-10</v>
      </c>
      <c r="Y181" s="411">
        <f>計分版!I$13</f>
        <v>5.0000000000000003E-10</v>
      </c>
      <c r="Z181" s="411">
        <f>計分版!J$13</f>
        <v>6E-10</v>
      </c>
      <c r="AA181" s="411">
        <f>計分版!K$13</f>
        <v>6.9999999999999996E-10</v>
      </c>
      <c r="AB181" s="411">
        <f>計分版!L$13</f>
        <v>8.0000000000000003E-10</v>
      </c>
      <c r="AC181" s="411">
        <f>計分版!M$13</f>
        <v>8.9999999999999999E-10</v>
      </c>
      <c r="AD181" s="411">
        <f>計分版!N$13</f>
        <v>9.5000000000000003E-10</v>
      </c>
      <c r="AF181" s="413" t="s">
        <v>2308</v>
      </c>
      <c r="AG181" s="413" t="s">
        <v>2309</v>
      </c>
    </row>
    <row r="182" spans="1:39">
      <c r="A182" s="2" t="s">
        <v>109</v>
      </c>
      <c r="B182" s="2" t="s">
        <v>167</v>
      </c>
      <c r="C182" s="13" t="s">
        <v>362</v>
      </c>
      <c r="D182" s="496">
        <v>265</v>
      </c>
      <c r="E182" s="419">
        <v>3</v>
      </c>
      <c r="F182" s="419">
        <v>4</v>
      </c>
      <c r="G182" s="419">
        <v>3</v>
      </c>
      <c r="H182" s="419">
        <v>3</v>
      </c>
      <c r="I182" s="419">
        <v>3</v>
      </c>
      <c r="J182" s="419">
        <v>3</v>
      </c>
      <c r="L182" s="411">
        <f t="shared" ref="L182" si="76">IF(E182&gt;U182,0,1)</f>
        <v>0</v>
      </c>
      <c r="M182" s="411">
        <f t="shared" ref="M182:N182" si="77">IF(F182&gt;V182,0,1)</f>
        <v>0</v>
      </c>
      <c r="N182" s="411">
        <f t="shared" si="77"/>
        <v>0</v>
      </c>
      <c r="O182" s="411">
        <f t="shared" si="75"/>
        <v>0</v>
      </c>
      <c r="P182" s="258">
        <f>IF(計分版!$S$28=0,0,IF(I182&gt;LARGE(計分版!$I$13:$N$13,1),0,1))</f>
        <v>0</v>
      </c>
      <c r="Q182" s="78">
        <f>IF(J182&lt;LARGE(計分版!$J$13:$N$13,2),1,0)</f>
        <v>0</v>
      </c>
      <c r="R182" s="78"/>
      <c r="S182" s="78">
        <f t="shared" si="50"/>
        <v>0</v>
      </c>
      <c r="U182" s="411">
        <f>計分版!E$13</f>
        <v>1E-10</v>
      </c>
      <c r="V182" s="411">
        <f>計分版!F$13</f>
        <v>2.0000000000000001E-10</v>
      </c>
      <c r="W182" s="411">
        <f>計分版!G$13</f>
        <v>3E-10</v>
      </c>
      <c r="X182" s="411">
        <f>計分版!H$13</f>
        <v>4.0000000000000001E-10</v>
      </c>
      <c r="Y182" s="411">
        <f>計分版!I$13</f>
        <v>5.0000000000000003E-10</v>
      </c>
      <c r="Z182" s="411">
        <f>計分版!J$13</f>
        <v>6E-10</v>
      </c>
      <c r="AA182" s="411">
        <f>計分版!K$13</f>
        <v>6.9999999999999996E-10</v>
      </c>
      <c r="AB182" s="411">
        <f>計分版!L$13</f>
        <v>8.0000000000000003E-10</v>
      </c>
      <c r="AC182" s="411">
        <f>計分版!M$13</f>
        <v>8.9999999999999999E-10</v>
      </c>
      <c r="AD182" s="411">
        <f>計分版!N$13</f>
        <v>9.5000000000000003E-10</v>
      </c>
      <c r="AF182" s="413" t="s">
        <v>2308</v>
      </c>
      <c r="AG182" s="413" t="s">
        <v>2309</v>
      </c>
    </row>
    <row r="183" spans="1:39">
      <c r="A183" s="2" t="s">
        <v>110</v>
      </c>
      <c r="B183" s="2" t="s">
        <v>168</v>
      </c>
      <c r="C183" s="13" t="s">
        <v>362</v>
      </c>
      <c r="D183" s="496"/>
      <c r="E183" s="419">
        <v>3</v>
      </c>
      <c r="F183" s="419">
        <v>4</v>
      </c>
      <c r="G183" s="419">
        <v>3</v>
      </c>
      <c r="H183" s="419">
        <v>3</v>
      </c>
      <c r="I183" s="419">
        <v>3</v>
      </c>
      <c r="J183" s="419">
        <v>3</v>
      </c>
      <c r="L183" s="411">
        <f t="shared" ref="L183:L207" si="78">IF(E183&gt;U183,0,1)</f>
        <v>0</v>
      </c>
      <c r="M183" s="411">
        <f t="shared" ref="M183:M207" si="79">IF(F183&gt;V183,0,1)</f>
        <v>0</v>
      </c>
      <c r="N183" s="411">
        <f t="shared" ref="N183:N207" si="80">IF(G183&gt;W183,0,1)</f>
        <v>0</v>
      </c>
      <c r="O183" s="411">
        <f t="shared" ref="O183:O207" si="81">IF(H183&gt;X183,0,1)</f>
        <v>0</v>
      </c>
      <c r="P183" s="258">
        <f>IF(計分版!$S$28=0,0,IF(I183&gt;LARGE(計分版!$I$13:$N$13,1),0,1))</f>
        <v>0</v>
      </c>
      <c r="Q183" s="78">
        <f>IF(J183&lt;LARGE(計分版!$J$13:$N$13,2),1,0)</f>
        <v>0</v>
      </c>
      <c r="R183" s="78"/>
      <c r="S183" s="78">
        <f t="shared" si="50"/>
        <v>0</v>
      </c>
      <c r="U183" s="411">
        <f>計分版!E$13</f>
        <v>1E-10</v>
      </c>
      <c r="V183" s="411">
        <f>計分版!F$13</f>
        <v>2.0000000000000001E-10</v>
      </c>
      <c r="W183" s="411">
        <f>計分版!G$13</f>
        <v>3E-10</v>
      </c>
      <c r="X183" s="411">
        <f>計分版!H$13</f>
        <v>4.0000000000000001E-10</v>
      </c>
      <c r="Y183" s="411">
        <f>計分版!I$13</f>
        <v>5.0000000000000003E-10</v>
      </c>
      <c r="Z183" s="411">
        <f>計分版!J$13</f>
        <v>6E-10</v>
      </c>
      <c r="AA183" s="411">
        <f>計分版!K$13</f>
        <v>6.9999999999999996E-10</v>
      </c>
      <c r="AB183" s="411">
        <f>計分版!L$13</f>
        <v>8.0000000000000003E-10</v>
      </c>
      <c r="AC183" s="411">
        <f>計分版!M$13</f>
        <v>8.9999999999999999E-10</v>
      </c>
      <c r="AD183" s="411">
        <f>計分版!N$13</f>
        <v>9.5000000000000003E-10</v>
      </c>
      <c r="AF183" s="413" t="s">
        <v>2308</v>
      </c>
      <c r="AG183" s="413" t="s">
        <v>2309</v>
      </c>
    </row>
    <row r="184" spans="1:39">
      <c r="A184" s="2" t="s">
        <v>111</v>
      </c>
      <c r="B184" s="2" t="s">
        <v>112</v>
      </c>
      <c r="C184" s="13" t="s">
        <v>195</v>
      </c>
      <c r="D184" s="78">
        <v>217</v>
      </c>
      <c r="E184" s="419">
        <v>3</v>
      </c>
      <c r="F184" s="419">
        <v>3</v>
      </c>
      <c r="G184" s="419">
        <v>2</v>
      </c>
      <c r="H184" s="419">
        <v>2</v>
      </c>
      <c r="I184" s="419">
        <v>3</v>
      </c>
      <c r="J184" s="419">
        <v>3</v>
      </c>
      <c r="L184" s="411">
        <f t="shared" si="78"/>
        <v>0</v>
      </c>
      <c r="M184" s="411">
        <f t="shared" si="79"/>
        <v>0</v>
      </c>
      <c r="N184" s="411">
        <f t="shared" si="80"/>
        <v>0</v>
      </c>
      <c r="O184" s="411">
        <f t="shared" si="81"/>
        <v>0</v>
      </c>
      <c r="P184" s="78">
        <f>IF(I184&gt;LARGE(計分版!$I$13:$N$13,1),0,1)</f>
        <v>0</v>
      </c>
      <c r="Q184" s="78">
        <f>IF(J184&gt;LARGE(計分版!$I$13:$N$13,2),0,1)</f>
        <v>0</v>
      </c>
      <c r="R184" s="78"/>
      <c r="S184" s="78">
        <f t="shared" si="50"/>
        <v>0</v>
      </c>
      <c r="U184" s="411">
        <f>計分版!E$13</f>
        <v>1E-10</v>
      </c>
      <c r="V184" s="411">
        <f>計分版!F$13</f>
        <v>2.0000000000000001E-10</v>
      </c>
      <c r="W184" s="411">
        <f>計分版!G$13</f>
        <v>3E-10</v>
      </c>
      <c r="X184" s="411">
        <f>計分版!H$13</f>
        <v>4.0000000000000001E-10</v>
      </c>
      <c r="Y184" s="411">
        <f>計分版!I$13</f>
        <v>5.0000000000000003E-10</v>
      </c>
      <c r="Z184" s="411">
        <f>計分版!J$13</f>
        <v>6E-10</v>
      </c>
      <c r="AA184" s="411">
        <f>計分版!K$13</f>
        <v>6.9999999999999996E-10</v>
      </c>
      <c r="AB184" s="411">
        <f>計分版!L$13</f>
        <v>8.0000000000000003E-10</v>
      </c>
      <c r="AC184" s="411">
        <f>計分版!M$13</f>
        <v>8.9999999999999999E-10</v>
      </c>
      <c r="AD184" s="411">
        <f>計分版!N$13</f>
        <v>9.5000000000000003E-10</v>
      </c>
      <c r="AF184" s="413" t="s">
        <v>2308</v>
      </c>
      <c r="AG184" s="413" t="s">
        <v>2309</v>
      </c>
      <c r="AH184" s="413" t="s">
        <v>2308</v>
      </c>
    </row>
    <row r="185" spans="1:39">
      <c r="A185" s="2" t="s">
        <v>113</v>
      </c>
      <c r="B185" s="2" t="s">
        <v>114</v>
      </c>
      <c r="C185" s="13" t="s">
        <v>190</v>
      </c>
      <c r="D185" s="78">
        <v>61</v>
      </c>
      <c r="E185" s="419">
        <v>3</v>
      </c>
      <c r="F185" s="419">
        <v>3</v>
      </c>
      <c r="G185" s="419">
        <v>3</v>
      </c>
      <c r="H185" s="419">
        <v>3</v>
      </c>
      <c r="I185" s="419">
        <v>3</v>
      </c>
      <c r="J185" s="419">
        <v>3</v>
      </c>
      <c r="L185" s="411">
        <f t="shared" si="78"/>
        <v>0</v>
      </c>
      <c r="M185" s="411">
        <f t="shared" si="79"/>
        <v>0</v>
      </c>
      <c r="N185" s="411">
        <f t="shared" si="80"/>
        <v>0</v>
      </c>
      <c r="O185" s="411">
        <f t="shared" si="81"/>
        <v>0</v>
      </c>
      <c r="P185" s="78">
        <f>IF(I185&gt;LARGE(計分版!$I$13:$N$13,1),0,1)</f>
        <v>0</v>
      </c>
      <c r="Q185" s="78">
        <f>IF(J185&gt;LARGE(計分版!$I$13:$N$13,2),0,1)</f>
        <v>0</v>
      </c>
      <c r="R185" s="78"/>
      <c r="S185" s="78">
        <f t="shared" si="50"/>
        <v>0</v>
      </c>
      <c r="U185" s="411">
        <f>計分版!E$13</f>
        <v>1E-10</v>
      </c>
      <c r="V185" s="411">
        <f>計分版!F$13</f>
        <v>2.0000000000000001E-10</v>
      </c>
      <c r="W185" s="411">
        <f>計分版!G$13</f>
        <v>3E-10</v>
      </c>
      <c r="X185" s="411">
        <f>計分版!H$13</f>
        <v>4.0000000000000001E-10</v>
      </c>
      <c r="Y185" s="411">
        <f>計分版!I$13</f>
        <v>5.0000000000000003E-10</v>
      </c>
      <c r="Z185" s="411">
        <f>計分版!J$13</f>
        <v>6E-10</v>
      </c>
      <c r="AA185" s="411">
        <f>計分版!K$13</f>
        <v>6.9999999999999996E-10</v>
      </c>
      <c r="AB185" s="411">
        <f>計分版!L$13</f>
        <v>8.0000000000000003E-10</v>
      </c>
      <c r="AC185" s="411">
        <f>計分版!M$13</f>
        <v>8.9999999999999999E-10</v>
      </c>
      <c r="AD185" s="411">
        <f>計分版!N$13</f>
        <v>9.5000000000000003E-10</v>
      </c>
      <c r="AF185" s="413" t="s">
        <v>2308</v>
      </c>
      <c r="AG185" s="413" t="s">
        <v>2309</v>
      </c>
    </row>
    <row r="186" spans="1:39">
      <c r="A186" s="2" t="s">
        <v>115</v>
      </c>
      <c r="B186" s="2" t="s">
        <v>116</v>
      </c>
      <c r="C186" s="13" t="s">
        <v>189</v>
      </c>
      <c r="D186" s="78">
        <v>32</v>
      </c>
      <c r="E186" s="419">
        <v>3</v>
      </c>
      <c r="F186" s="419">
        <v>3</v>
      </c>
      <c r="G186" s="419">
        <v>2</v>
      </c>
      <c r="H186" s="419">
        <v>2</v>
      </c>
      <c r="I186" s="419">
        <v>3</v>
      </c>
      <c r="J186" s="419">
        <v>3</v>
      </c>
      <c r="L186" s="411">
        <f t="shared" si="78"/>
        <v>0</v>
      </c>
      <c r="M186" s="411">
        <f t="shared" si="79"/>
        <v>0</v>
      </c>
      <c r="N186" s="411">
        <f t="shared" si="80"/>
        <v>0</v>
      </c>
      <c r="O186" s="411">
        <f t="shared" si="81"/>
        <v>0</v>
      </c>
      <c r="P186" s="78">
        <f>IF(I186&gt;LARGE(計分版!$I$13:$N$13,1),0,1)</f>
        <v>0</v>
      </c>
      <c r="Q186" s="78">
        <f>IF(J186&gt;LARGE(計分版!$I$13:$N$13,2),0,1)</f>
        <v>0</v>
      </c>
      <c r="R186" s="78"/>
      <c r="S186" s="78">
        <f t="shared" si="50"/>
        <v>0</v>
      </c>
      <c r="U186" s="411">
        <f>計分版!E$13</f>
        <v>1E-10</v>
      </c>
      <c r="V186" s="411">
        <f>計分版!F$13</f>
        <v>2.0000000000000001E-10</v>
      </c>
      <c r="W186" s="411">
        <f>計分版!G$13</f>
        <v>3E-10</v>
      </c>
      <c r="X186" s="411">
        <f>計分版!H$13</f>
        <v>4.0000000000000001E-10</v>
      </c>
      <c r="Y186" s="411">
        <f>計分版!I$13</f>
        <v>5.0000000000000003E-10</v>
      </c>
      <c r="Z186" s="411">
        <f>計分版!J$13</f>
        <v>6E-10</v>
      </c>
      <c r="AA186" s="411">
        <f>計分版!K$13</f>
        <v>6.9999999999999996E-10</v>
      </c>
      <c r="AB186" s="411">
        <f>計分版!L$13</f>
        <v>8.0000000000000003E-10</v>
      </c>
      <c r="AC186" s="411">
        <f>計分版!M$13</f>
        <v>8.9999999999999999E-10</v>
      </c>
      <c r="AD186" s="411">
        <f>計分版!N$13</f>
        <v>9.5000000000000003E-10</v>
      </c>
      <c r="AF186" s="413" t="s">
        <v>2308</v>
      </c>
      <c r="AG186" s="413" t="s">
        <v>2309</v>
      </c>
      <c r="AH186" s="413" t="s">
        <v>2308</v>
      </c>
    </row>
    <row r="187" spans="1:39">
      <c r="A187" s="2" t="s">
        <v>117</v>
      </c>
      <c r="B187" s="2" t="s">
        <v>118</v>
      </c>
      <c r="C187" s="13" t="s">
        <v>190</v>
      </c>
      <c r="D187" s="78">
        <v>25</v>
      </c>
      <c r="E187" s="419">
        <v>3</v>
      </c>
      <c r="F187" s="419">
        <v>3</v>
      </c>
      <c r="G187" s="419">
        <v>2</v>
      </c>
      <c r="H187" s="419">
        <v>2</v>
      </c>
      <c r="I187" s="419">
        <v>3</v>
      </c>
      <c r="J187" s="419">
        <v>3</v>
      </c>
      <c r="L187" s="411">
        <f t="shared" si="78"/>
        <v>0</v>
      </c>
      <c r="M187" s="411">
        <f t="shared" si="79"/>
        <v>0</v>
      </c>
      <c r="N187" s="411">
        <f t="shared" si="80"/>
        <v>0</v>
      </c>
      <c r="O187" s="411">
        <f t="shared" si="81"/>
        <v>0</v>
      </c>
      <c r="P187" s="78">
        <f>IF(I187&gt;LARGE(計分版!$I$13:$N$13,1),0,1)</f>
        <v>0</v>
      </c>
      <c r="Q187" s="78">
        <f>IF(J187&gt;LARGE(計分版!$I$13:$N$13,2),0,1)</f>
        <v>0</v>
      </c>
      <c r="R187" s="78"/>
      <c r="S187" s="78">
        <f t="shared" si="50"/>
        <v>0</v>
      </c>
      <c r="U187" s="411">
        <f>計分版!E$13</f>
        <v>1E-10</v>
      </c>
      <c r="V187" s="411">
        <f>計分版!F$13</f>
        <v>2.0000000000000001E-10</v>
      </c>
      <c r="W187" s="411">
        <f>計分版!G$13</f>
        <v>3E-10</v>
      </c>
      <c r="X187" s="411">
        <f>計分版!H$13</f>
        <v>4.0000000000000001E-10</v>
      </c>
      <c r="Y187" s="411">
        <f>計分版!I$13</f>
        <v>5.0000000000000003E-10</v>
      </c>
      <c r="Z187" s="411">
        <f>計分版!J$13</f>
        <v>6E-10</v>
      </c>
      <c r="AA187" s="411">
        <f>計分版!K$13</f>
        <v>6.9999999999999996E-10</v>
      </c>
      <c r="AB187" s="411">
        <f>計分版!L$13</f>
        <v>8.0000000000000003E-10</v>
      </c>
      <c r="AC187" s="411">
        <f>計分版!M$13</f>
        <v>8.9999999999999999E-10</v>
      </c>
      <c r="AD187" s="411">
        <f>計分版!N$13</f>
        <v>9.5000000000000003E-10</v>
      </c>
      <c r="AF187" s="413" t="s">
        <v>2308</v>
      </c>
      <c r="AG187" s="413" t="s">
        <v>2309</v>
      </c>
      <c r="AH187" s="413" t="s">
        <v>2308</v>
      </c>
    </row>
    <row r="188" spans="1:39">
      <c r="A188" s="2" t="s">
        <v>169</v>
      </c>
      <c r="B188" s="2" t="s">
        <v>170</v>
      </c>
      <c r="C188" s="13" t="s">
        <v>190</v>
      </c>
      <c r="D188" s="78">
        <v>20</v>
      </c>
      <c r="E188" s="419">
        <v>3</v>
      </c>
      <c r="F188" s="419">
        <v>3</v>
      </c>
      <c r="G188" s="419">
        <v>3</v>
      </c>
      <c r="H188" s="419">
        <v>2</v>
      </c>
      <c r="I188" s="419">
        <v>3</v>
      </c>
      <c r="J188" s="419">
        <v>3</v>
      </c>
      <c r="L188" s="411">
        <f t="shared" si="78"/>
        <v>0</v>
      </c>
      <c r="M188" s="411">
        <f t="shared" si="79"/>
        <v>0</v>
      </c>
      <c r="N188" s="411">
        <f t="shared" si="80"/>
        <v>0</v>
      </c>
      <c r="O188" s="411">
        <f t="shared" si="81"/>
        <v>0</v>
      </c>
      <c r="P188" s="258">
        <f>IF(計分版!$S$28=0,0,IF(I188&gt;LARGE(計分版!$I$13:$N$13,1),0,1))</f>
        <v>0</v>
      </c>
      <c r="Q188" s="78">
        <f>IF(J188&lt;LARGE(計分版!$J$13:$M$13,2),1,0)</f>
        <v>0</v>
      </c>
      <c r="R188" s="78"/>
      <c r="S188" s="78">
        <f t="shared" si="50"/>
        <v>0</v>
      </c>
      <c r="U188" s="411">
        <f>計分版!E$13</f>
        <v>1E-10</v>
      </c>
      <c r="V188" s="411">
        <f>計分版!F$13</f>
        <v>2.0000000000000001E-10</v>
      </c>
      <c r="W188" s="411">
        <f>計分版!G$13</f>
        <v>3E-10</v>
      </c>
      <c r="X188" s="411">
        <f>計分版!H$13</f>
        <v>4.0000000000000001E-10</v>
      </c>
      <c r="Y188" s="411">
        <f>計分版!I$13</f>
        <v>5.0000000000000003E-10</v>
      </c>
      <c r="Z188" s="411">
        <f>計分版!J$13</f>
        <v>6E-10</v>
      </c>
      <c r="AA188" s="411">
        <f>計分版!K$13</f>
        <v>6.9999999999999996E-10</v>
      </c>
      <c r="AB188" s="411">
        <f>計分版!L$13</f>
        <v>8.0000000000000003E-10</v>
      </c>
      <c r="AC188" s="411">
        <f>計分版!M$13</f>
        <v>8.9999999999999999E-10</v>
      </c>
      <c r="AD188" s="411">
        <f>計分版!N$13</f>
        <v>9.5000000000000003E-10</v>
      </c>
      <c r="AF188" s="413" t="s">
        <v>2308</v>
      </c>
      <c r="AG188" s="413" t="s">
        <v>2309</v>
      </c>
      <c r="AH188" s="413" t="s">
        <v>2308</v>
      </c>
    </row>
    <row r="189" spans="1:39">
      <c r="A189" s="2" t="s">
        <v>119</v>
      </c>
      <c r="B189" s="2" t="s">
        <v>120</v>
      </c>
      <c r="C189" s="13" t="s">
        <v>189</v>
      </c>
      <c r="D189" s="78">
        <v>374</v>
      </c>
      <c r="E189" s="419">
        <v>3</v>
      </c>
      <c r="F189" s="419">
        <v>3</v>
      </c>
      <c r="G189" s="419">
        <v>2</v>
      </c>
      <c r="H189" s="419">
        <v>2</v>
      </c>
      <c r="I189" s="419">
        <v>3</v>
      </c>
      <c r="J189" s="419">
        <v>3</v>
      </c>
      <c r="L189" s="411">
        <f t="shared" si="78"/>
        <v>0</v>
      </c>
      <c r="M189" s="411">
        <f t="shared" si="79"/>
        <v>0</v>
      </c>
      <c r="N189" s="411">
        <f t="shared" si="80"/>
        <v>0</v>
      </c>
      <c r="O189" s="411">
        <f t="shared" si="81"/>
        <v>0</v>
      </c>
      <c r="P189" s="78">
        <f>IF(OR(AND(計分版!$J$1="物理",計分版!$J$13&gt;3),AND(計分版!$J$1="生物",計分版!$J$13&gt;3),AND(計分版!$J$1="化學",計分版!$J$13&gt;3),AND(計分版!$J$1="組合科學 (物理、化學)",計分版!$J$13&gt;3),AND(計分版!$J$1="組合科學 (物理、生物)",計分版!$J$13&gt;3),AND(計分版!$J$1="組合科學 (生物、化學)",計分版!$J$13&gt;3), AND(計分版!$J$1="綜合科學",計分版!$J$13&gt;3),AND(計分版!$K$1="物理",計分版!$K$13&gt;3),AND(計分版!$K$1="生物",計分版!$K$13&gt;3),AND(計分版!$K$1="化學",計分版!$K$13&gt;3),AND(計分版!$K$1="組合科學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AND(計分版!$L$1="物理",計分版!$L$13&gt;3),AND(計分版!$L$1="生物",計分版!$L$13&gt;3),AND(計分版!$L$1="化學",計分版!$L$13&gt;3),AND(計分版!$L$1="組合科學 (物理、化學)",計分版!$L$13&gt;3),AND(計分版!$L$1="組合科學 (物理、生物)",計分版!$L$13&gt;3),AND(計分版!$L$1="組合科學 (生物、化學)",計分版!$L$13&gt;3),AND(計分版!$L$1="資訊及通訊科技",計分版!$L$13&gt;3),AND(計分版!$M$1="物理",計分版!$M$13&gt;3),AND(計分版!$M$1="生物",計分版!$M$13&gt;3),AND(計分版!$M$1="化學",計分版!$M$13&gt;3),AND(計分版!$M$1="組合科學 (物理、化學)",計分版!$M$13&gt;3),AND(計分版!$M$1="組合科學 (物理、生物)",計分版!$M$13&gt;3),AND(計分版!$M$1="組合科學 (生物、化學)",計分版!$M$13&gt;3),AND(計分版!$M$1="資訊及通訊科技",計分版!$M$13&gt;3),計分版!$I$13&gt;3),1,0)</f>
        <v>0</v>
      </c>
      <c r="Q189" s="78">
        <f>IF(J189&lt;LARGE(計分版!$I$13:$M$13,2),1,0)</f>
        <v>0</v>
      </c>
      <c r="R189" s="78"/>
      <c r="S189" s="78">
        <f t="shared" si="50"/>
        <v>0</v>
      </c>
      <c r="U189" s="411">
        <f>計分版!E$13</f>
        <v>1E-10</v>
      </c>
      <c r="V189" s="411">
        <f>計分版!F$13</f>
        <v>2.0000000000000001E-10</v>
      </c>
      <c r="W189" s="411">
        <f>計分版!G$13</f>
        <v>3E-10</v>
      </c>
      <c r="X189" s="411">
        <f>計分版!H$13</f>
        <v>4.0000000000000001E-10</v>
      </c>
      <c r="Y189" s="411">
        <f>計分版!I$13</f>
        <v>5.0000000000000003E-10</v>
      </c>
      <c r="Z189" s="411">
        <f>計分版!J$13</f>
        <v>6E-10</v>
      </c>
      <c r="AA189" s="411">
        <f>計分版!K$13</f>
        <v>6.9999999999999996E-10</v>
      </c>
      <c r="AB189" s="411">
        <f>計分版!L$13</f>
        <v>8.0000000000000003E-10</v>
      </c>
      <c r="AC189" s="411">
        <f>計分版!M$13</f>
        <v>8.9999999999999999E-10</v>
      </c>
      <c r="AD189" s="411">
        <f>計分版!N$13</f>
        <v>9.5000000000000003E-10</v>
      </c>
      <c r="AF189" s="413" t="s">
        <v>2308</v>
      </c>
      <c r="AG189" s="413" t="s">
        <v>2309</v>
      </c>
    </row>
    <row r="190" spans="1:39">
      <c r="A190" s="2" t="s">
        <v>171</v>
      </c>
      <c r="B190" s="2" t="s">
        <v>172</v>
      </c>
      <c r="C190" s="13" t="s">
        <v>189</v>
      </c>
      <c r="D190" s="78">
        <v>20</v>
      </c>
      <c r="E190" s="419">
        <v>3</v>
      </c>
      <c r="F190" s="419">
        <v>4</v>
      </c>
      <c r="G190" s="419">
        <v>4</v>
      </c>
      <c r="H190" s="419">
        <v>2</v>
      </c>
      <c r="I190" s="419">
        <v>4</v>
      </c>
      <c r="J190" s="419">
        <v>3</v>
      </c>
      <c r="L190" s="411">
        <f t="shared" si="78"/>
        <v>0</v>
      </c>
      <c r="M190" s="411">
        <f t="shared" si="79"/>
        <v>0</v>
      </c>
      <c r="N190" s="411">
        <f t="shared" si="80"/>
        <v>0</v>
      </c>
      <c r="O190" s="411">
        <f t="shared" si="81"/>
        <v>0</v>
      </c>
      <c r="P190" s="78">
        <f>IF(OR(AND(計分版!$J$1="物理",計分版!$J$13&gt;4),AND(計分版!$J$1="地理",計分版!$J$13&gt;4),AND(計分版!$J$1="化學",計分版!$J$13&gt;4),AND(計分版!$J$1="組合科學 (物理、化學)",計分版!$J$13&gt;4),AND(計分版!$J$1="組合科學 (物理、生物)",計分版!$J$13&gt;4),AND(計分版!$J$1="組合科學 (生物、化學)",計分版!$J$13&gt;4),AND(計分版!$K$1="物理",計分版!$K$13&gt;4),AND(計分版!$K$1="地理",計分版!$K$13&gt;4),AND(計分版!$K$1="化學",計分版!$K$13&gt;4),AND(計分版!$K$1="組合科學 (物理、化學)",計分版!$K$13&gt;4),AND(計分版!$K$1="組合科學 (物理、生物)",計分版!$K$13&gt;4),AND(計分版!$K$1="組合科學 (生物、化學)",計分版!$K$13&gt;4),AND(計分版!$L$1="物理",計分版!$L$13&gt;4),AND(計分版!$L$1="地理",計分版!$L$13&gt;4),AND(計分版!$L$1="化學",計分版!$L$13&gt;4),AND(計分版!$L$1="組合科學 (物理、化學)",計分版!$L$13&gt;4),AND(計分版!$L$1="組合科學 (物理、生物)",計分版!$L$13&gt;4),AND(計分版!$L$1="組合科學 (生物、化學)",計分版!$L$13&gt;4),AND(計分版!$M$1="物理",計分版!$M$13&gt;4),AND(計分版!$M$1="地理",計分版!$M$13&gt;4),AND(計分版!$M$1="化學",計分版!$M$13&gt;4),AND(計分版!$M$1="組合科學 (物理、化學)",計分版!$M$13&gt;4),AND(計分版!$M$1="組合科學 (物理、生物)",計分版!$M$13&gt;4),AND(計分版!$M$1="組合科學 (生物、化學)",計分版!$M$13&gt;4),計分版!$I$13&gt;4),1,0)</f>
        <v>0</v>
      </c>
      <c r="Q190" s="78">
        <f>IF(J190&lt;計分版!$X$215,1,0)</f>
        <v>0</v>
      </c>
      <c r="R190" s="78"/>
      <c r="S190" s="78">
        <f t="shared" si="50"/>
        <v>0</v>
      </c>
      <c r="U190" s="411">
        <f>計分版!E$13</f>
        <v>1E-10</v>
      </c>
      <c r="V190" s="411">
        <f>計分版!F$13</f>
        <v>2.0000000000000001E-10</v>
      </c>
      <c r="W190" s="411">
        <f>計分版!G$13</f>
        <v>3E-10</v>
      </c>
      <c r="X190" s="411">
        <f>計分版!H$13</f>
        <v>4.0000000000000001E-10</v>
      </c>
      <c r="Y190" s="411">
        <f>計分版!I$13</f>
        <v>5.0000000000000003E-10</v>
      </c>
      <c r="Z190" s="411">
        <f>計分版!J$13</f>
        <v>6E-10</v>
      </c>
      <c r="AA190" s="411">
        <f>計分版!K$13</f>
        <v>6.9999999999999996E-10</v>
      </c>
      <c r="AB190" s="411">
        <f>計分版!L$13</f>
        <v>8.0000000000000003E-10</v>
      </c>
      <c r="AC190" s="411">
        <f>計分版!M$13</f>
        <v>8.9999999999999999E-10</v>
      </c>
      <c r="AD190" s="411">
        <f>計分版!N$13</f>
        <v>9.5000000000000003E-10</v>
      </c>
      <c r="AF190" s="413" t="s">
        <v>2308</v>
      </c>
      <c r="AG190" s="413" t="s">
        <v>2309</v>
      </c>
    </row>
    <row r="191" spans="1:39">
      <c r="A191" s="2" t="s">
        <v>121</v>
      </c>
      <c r="B191" s="2" t="s">
        <v>359</v>
      </c>
      <c r="C191" s="13" t="s">
        <v>189</v>
      </c>
      <c r="D191" s="78">
        <v>27</v>
      </c>
      <c r="E191" s="419">
        <v>3</v>
      </c>
      <c r="F191" s="419">
        <v>3</v>
      </c>
      <c r="G191" s="419">
        <v>4</v>
      </c>
      <c r="H191" s="419">
        <v>2</v>
      </c>
      <c r="I191" s="419">
        <v>3</v>
      </c>
      <c r="J191" s="419">
        <v>4</v>
      </c>
      <c r="L191" s="411">
        <f t="shared" si="78"/>
        <v>0</v>
      </c>
      <c r="M191" s="411">
        <f t="shared" si="79"/>
        <v>0</v>
      </c>
      <c r="N191" s="411">
        <f t="shared" si="80"/>
        <v>0</v>
      </c>
      <c r="O191" s="411">
        <f t="shared" si="81"/>
        <v>0</v>
      </c>
      <c r="P191" s="78">
        <f>IF(OR(AND(計分版!$J$1="物理",計分版!$J$13&gt;3),AND(計分版!$J$1="生物",計分版!$J$13&gt;3),AND(計分版!$J$1="化學",計分版!$J$13&gt;3),AND(計分版!$J$1="組合科學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(生物、化學)",計分版!$J$13&gt;3),AND(計分版!$J$1="資訊及通訊科技",計分版!$J$13&gt;3),AND(計分版!$J$1="綜合科學",計分版!$J$13&gt;3),  AND(計分版!$J$1="經濟",計分版!$J$13&gt;3), AND(計分版!$J$1="地理",計分版!$J$13&gt;3), AND(計分版!$J$1="科技與生活",計分版!$J$13&gt;3),  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 AND(計分版!$K$1="綜合科學",計分版!$K$13&gt;3), AND(計分版!$K$1="經濟",計分版!$K$13&gt;3), AND(計分版!$K$1="地理",計分版!$K$13&gt;3), AND(計分版!$K$1="科技與生活",計分版!$K$13&gt;3),  AND(計分版!$L$1="物理",計分版!$L$13&gt;3),AND(計分版!$L$1="生物",計分版!$L$13&gt;3),AND(計分版!$L$1="化學",計分版!$L$13&gt;3),AND(計分版!$L$1="組合科學 (物理、化學)",計分版!$L$13&gt;3),AND(計分版!$L$1="組合科學 (物理、生物)",計分版!$L$13&gt;3),AND(計分版!$L$1="組合科學 (生物、化學)",計分版!$L$13&gt;3),AND(計分版!$L$1="資訊及通訊科技",計分版!$L$13&gt;3), AND(計分版!$L$1="綜合科學",計分版!$L$13&gt;3), AND(計分版!$L$1="經濟",計分版!$L$13&gt;3), AND(計分版!$L$1="地理",計分版!$L$13&gt;3), AND(計分版!$L$1="科技與生活",計分版!$L$13&gt;3),  AND(計分版!$M$1="物理",計分版!$M$13&gt;3),AND(計分版!$M$1="生物",計分版!$M$13&gt;3),AND(計分版!$M$1="化學",計分版!$M$13&gt;3),AND(計分版!$M$1="組合科學 (物理、化學)",計分版!$M$13&gt;3),AND(計分版!$M$1="組合科學 (物理、生物)",計分版!$M$13&gt;3),AND(計分版!$M$1="組合科學 (生物、化學)",計分版!$M$13&gt;3),AND(計分版!$M$1="資訊及通訊科技",計分版!$M$13&gt;3),AND(計分版!$M$1="綜合科學",計分版!$M$13&gt;3), AND(計分版!$M$1="經濟",計分版!$M$13&gt;3), AND(計分版!$M$1="地理",計分版!$M$13&gt;3), AND(計分版!$M$1="科技與生活",計分版!$M$13&gt;3)),1,0)</f>
        <v>0</v>
      </c>
      <c r="Q191" s="78">
        <f>IF(J191&lt;計分版!$I$13,1,0)</f>
        <v>0</v>
      </c>
      <c r="R191" s="78"/>
      <c r="S191" s="78">
        <f t="shared" si="50"/>
        <v>0</v>
      </c>
      <c r="U191" s="411">
        <f>計分版!E$13</f>
        <v>1E-10</v>
      </c>
      <c r="V191" s="411">
        <f>計分版!F$13</f>
        <v>2.0000000000000001E-10</v>
      </c>
      <c r="W191" s="411">
        <f>計分版!G$13</f>
        <v>3E-10</v>
      </c>
      <c r="X191" s="411">
        <f>計分版!H$13</f>
        <v>4.0000000000000001E-10</v>
      </c>
      <c r="Y191" s="411">
        <f>計分版!I$13</f>
        <v>5.0000000000000003E-10</v>
      </c>
      <c r="Z191" s="411">
        <f>計分版!J$13</f>
        <v>6E-10</v>
      </c>
      <c r="AA191" s="411">
        <f>計分版!K$13</f>
        <v>6.9999999999999996E-10</v>
      </c>
      <c r="AB191" s="411">
        <f>計分版!L$13</f>
        <v>8.0000000000000003E-10</v>
      </c>
      <c r="AC191" s="411">
        <f>計分版!M$13</f>
        <v>8.9999999999999999E-10</v>
      </c>
      <c r="AD191" s="411">
        <f>計分版!N$13</f>
        <v>9.5000000000000003E-10</v>
      </c>
      <c r="AF191" s="413" t="s">
        <v>2308</v>
      </c>
      <c r="AG191" s="413" t="s">
        <v>2309</v>
      </c>
    </row>
    <row r="192" spans="1:39">
      <c r="A192" s="2" t="s">
        <v>122</v>
      </c>
      <c r="B192" s="2" t="s">
        <v>174</v>
      </c>
      <c r="C192" s="13" t="s">
        <v>59</v>
      </c>
      <c r="D192" s="78">
        <v>20</v>
      </c>
      <c r="E192" s="419">
        <v>3</v>
      </c>
      <c r="F192" s="419">
        <v>3</v>
      </c>
      <c r="G192" s="419">
        <v>4</v>
      </c>
      <c r="H192" s="419">
        <v>2</v>
      </c>
      <c r="I192" s="419">
        <v>4</v>
      </c>
      <c r="J192" s="419">
        <v>3</v>
      </c>
      <c r="L192" s="411">
        <f t="shared" si="78"/>
        <v>0</v>
      </c>
      <c r="M192" s="411">
        <f t="shared" si="79"/>
        <v>0</v>
      </c>
      <c r="N192" s="411">
        <f t="shared" si="80"/>
        <v>0</v>
      </c>
      <c r="O192" s="411">
        <f t="shared" si="81"/>
        <v>0</v>
      </c>
      <c r="P192" s="78">
        <f>IF(OR(AND(計分版!$J$1="物理",計分版!$J$13&gt;4),AND(計分版!$K$1="物理",計分版!$K$13&gt;4),AND(計分版!$L$1="物理",計分版!$L$13&gt;4), AND(計分版!$M$1="物理",計分版!$M$13&gt;4)),1,0)</f>
        <v>0</v>
      </c>
      <c r="Q192" s="78">
        <f>IF(OR(AND(計分版!$J$1="物理",計分版!$J$13&gt;3),AND(計分版!$J$1="生物",計分版!$J$13&gt;3),AND(計分版!$J$1="化學",計分版!$J$13&gt;3),AND(計分版!$J$1="組合科學 (物理、化學)",計分版!$J$13&gt;3),AND(計分版!$J$1="組合科學 (物理、生物)",計分版!$J$13&gt;3),AND(計分版!$J$1="組合科學 (生物、化學)",計分版!$J$13&gt;3),AND(計分版!$J$1="資訊及通訊科技",計分版!$J$13&gt;3),AND(計分版!$J$1="綜合科學",計分版!$J$13&gt;3),  AND(計分版!$J$1="經濟",計分版!$J$13&gt;3), AND(計分版!$J$1="地理",計分版!$J$13&gt;3), AND(計分版!$J$1="科技與生活",計分版!$J$13&gt;3),  AND(計分版!$K$1="物理",計分版!$K$13&gt;3),AND(計分版!$K$1="生物",計分版!$K$13&gt;3),AND(計分版!$K$1="化學",計分版!$K$13&gt;3),AND(計分版!$K$1="組合科學 (物理、化學)",計分版!$K$13&gt;3),AND(計分版!$K$1="組合科學 (物理、生物)",計分版!$K$13&gt;3),AND(計分版!$K$1="組合科學 (生物、化學)",計分版!$K$13&gt;3),AND(計分版!$K$1="資訊及通訊科技",計分版!$K$13&gt;3), AND(計分版!$K$1="綜合科學",計分版!$K$13&gt;3), AND(計分版!$K$1="經濟",計分版!$K$13&gt;3), AND(計分版!$K$1="地理",計分版!$K$13&gt;3), AND(計分版!$K$1="科技與生活",計分版!$K$13&gt;3),  AND(計分版!$L$1="物理",計分版!$L$13&gt;3),AND(計分版!$L$1="生物",計分版!$L$13&gt;3),AND(計分版!$L$1="化學",計分版!$L$13&gt;3),AND(計分版!$L$1="組合科學 (物理、化學)",計分版!$L$13&gt;3),AND(計分版!$L$1="組合科學 (物理、生物)",計分版!$L$13&gt;3),AND(計分版!$L$1="組合科學 (生物、化學)",計分版!$L$13&gt;3),AND(計分版!$L$1="資訊及通訊科技",計分版!$L$13&gt;3), AND(計分版!$L$1="綜合科學",計分版!$L$13&gt;3), AND(計分版!$L$1="經濟",計分版!$L$13&gt;3), AND(計分版!$L$1="地理",計分版!$L$13&gt;3), AND(計分版!$L$1="科技與生活",計分版!$L$13&gt;3),  AND(計分版!$M$1="物理",計分版!$M$13&gt;3),AND(計分版!$M$1="生物",計分版!$M$13&gt;3),AND(計分版!$M$1="化學",計分版!$M$13&gt;3),AND(計分版!$M$1="組合科學 (物理、化學)",計分版!$M$13&gt;3),AND(計分版!$M$1="組合科學 (物理、生物)",計分版!$M$13&gt;3),AND(計分版!$M$1="組合科學 (生物、化學)",計分版!$M$13&gt;3),AND(計分版!$M$1="資訊及通訊科技",計分版!$M$13&gt;3),AND(計分版!$M$1="綜合科學",計分版!$M$13&gt;3), AND(計分版!$M$1="經濟",計分版!$M$13&gt;3), AND(計分版!$M$1="地理",計分版!$M$13&gt;3), AND(計分版!$M$1="科技與生活",計分版!$M$13&gt;3), 計分版!$I$13&gt;3),1,0)</f>
        <v>0</v>
      </c>
      <c r="R192" s="78"/>
      <c r="S192" s="78">
        <f t="shared" si="50"/>
        <v>0</v>
      </c>
      <c r="U192" s="411">
        <f>計分版!E$13</f>
        <v>1E-10</v>
      </c>
      <c r="V192" s="411">
        <f>計分版!F$13</f>
        <v>2.0000000000000001E-10</v>
      </c>
      <c r="W192" s="411">
        <f>計分版!G$13</f>
        <v>3E-10</v>
      </c>
      <c r="X192" s="411">
        <f>計分版!H$13</f>
        <v>4.0000000000000001E-10</v>
      </c>
      <c r="Y192" s="411">
        <f>計分版!I$13</f>
        <v>5.0000000000000003E-10</v>
      </c>
      <c r="Z192" s="411">
        <f>計分版!J$13</f>
        <v>6E-10</v>
      </c>
      <c r="AA192" s="411">
        <f>計分版!K$13</f>
        <v>6.9999999999999996E-10</v>
      </c>
      <c r="AB192" s="411">
        <f>計分版!L$13</f>
        <v>8.0000000000000003E-10</v>
      </c>
      <c r="AC192" s="411">
        <f>計分版!M$13</f>
        <v>8.9999999999999999E-10</v>
      </c>
      <c r="AD192" s="411">
        <f>計分版!N$13</f>
        <v>9.5000000000000003E-10</v>
      </c>
      <c r="AF192" s="413" t="s">
        <v>2308</v>
      </c>
      <c r="AG192" s="413" t="s">
        <v>2309</v>
      </c>
    </row>
    <row r="193" spans="1:34">
      <c r="A193" s="2" t="s">
        <v>123</v>
      </c>
      <c r="B193" s="2" t="s">
        <v>124</v>
      </c>
      <c r="C193" s="13" t="s">
        <v>189</v>
      </c>
      <c r="D193" s="78">
        <v>26</v>
      </c>
      <c r="E193" s="419">
        <v>3</v>
      </c>
      <c r="F193" s="419">
        <v>3</v>
      </c>
      <c r="G193" s="419">
        <v>3</v>
      </c>
      <c r="H193" s="419">
        <v>2</v>
      </c>
      <c r="I193" s="419">
        <v>3</v>
      </c>
      <c r="J193" s="419">
        <v>3</v>
      </c>
      <c r="L193" s="411">
        <f t="shared" si="78"/>
        <v>0</v>
      </c>
      <c r="M193" s="411">
        <f t="shared" si="79"/>
        <v>0</v>
      </c>
      <c r="N193" s="411">
        <f t="shared" si="80"/>
        <v>0</v>
      </c>
      <c r="O193" s="411">
        <f t="shared" si="81"/>
        <v>0</v>
      </c>
      <c r="P193" s="78">
        <f>IF(I193&lt;=LARGE(計分版!$J$13:$M$13,1),1,0)</f>
        <v>0</v>
      </c>
      <c r="Q193" s="78">
        <f>IF(計分版!$I$13&gt;3,1,0)</f>
        <v>0</v>
      </c>
      <c r="R193" s="78"/>
      <c r="S193" s="78">
        <f t="shared" si="50"/>
        <v>0</v>
      </c>
      <c r="U193" s="411">
        <f>計分版!E$13</f>
        <v>1E-10</v>
      </c>
      <c r="V193" s="411">
        <f>計分版!F$13</f>
        <v>2.0000000000000001E-10</v>
      </c>
      <c r="W193" s="411">
        <f>計分版!G$13</f>
        <v>3E-10</v>
      </c>
      <c r="X193" s="411">
        <f>計分版!H$13</f>
        <v>4.0000000000000001E-10</v>
      </c>
      <c r="Y193" s="411">
        <f>計分版!I$13</f>
        <v>5.0000000000000003E-10</v>
      </c>
      <c r="Z193" s="411">
        <f>計分版!J$13</f>
        <v>6E-10</v>
      </c>
      <c r="AA193" s="411">
        <f>計分版!K$13</f>
        <v>6.9999999999999996E-10</v>
      </c>
      <c r="AB193" s="411">
        <f>計分版!L$13</f>
        <v>8.0000000000000003E-10</v>
      </c>
      <c r="AC193" s="411">
        <f>計分版!M$13</f>
        <v>8.9999999999999999E-10</v>
      </c>
      <c r="AD193" s="411">
        <f>計分版!N$13</f>
        <v>9.5000000000000003E-10</v>
      </c>
      <c r="AF193" s="413" t="s">
        <v>2308</v>
      </c>
      <c r="AG193" s="413" t="s">
        <v>2309</v>
      </c>
      <c r="AH193" s="413" t="s">
        <v>2308</v>
      </c>
    </row>
    <row r="194" spans="1:34">
      <c r="A194" s="2" t="s">
        <v>125</v>
      </c>
      <c r="B194" s="2" t="s">
        <v>126</v>
      </c>
      <c r="C194" s="13" t="s">
        <v>189</v>
      </c>
      <c r="D194" s="78">
        <v>65</v>
      </c>
      <c r="E194" s="419">
        <v>3</v>
      </c>
      <c r="F194" s="419">
        <v>3</v>
      </c>
      <c r="G194" s="419">
        <v>2</v>
      </c>
      <c r="H194" s="419">
        <v>2</v>
      </c>
      <c r="I194" s="419">
        <v>3</v>
      </c>
      <c r="J194" s="419">
        <v>3</v>
      </c>
      <c r="L194" s="411">
        <f t="shared" si="78"/>
        <v>0</v>
      </c>
      <c r="M194" s="411">
        <f t="shared" si="79"/>
        <v>0</v>
      </c>
      <c r="N194" s="411">
        <f t="shared" si="80"/>
        <v>0</v>
      </c>
      <c r="O194" s="411">
        <f t="shared" si="81"/>
        <v>0</v>
      </c>
      <c r="P194" s="78">
        <f>IF(I194&gt;LARGE(計分版!$I$13:$N$13,1),0,1)</f>
        <v>0</v>
      </c>
      <c r="Q194" s="78">
        <f>IF(J194&gt;LARGE(計分版!$I$13:$N$13,2),0,1)</f>
        <v>0</v>
      </c>
      <c r="R194" s="78"/>
      <c r="S194" s="78">
        <f t="shared" si="50"/>
        <v>0</v>
      </c>
      <c r="U194" s="411">
        <f>計分版!E$13</f>
        <v>1E-10</v>
      </c>
      <c r="V194" s="411">
        <f>計分版!F$13</f>
        <v>2.0000000000000001E-10</v>
      </c>
      <c r="W194" s="411">
        <f>計分版!G$13</f>
        <v>3E-10</v>
      </c>
      <c r="X194" s="411">
        <f>計分版!H$13</f>
        <v>4.0000000000000001E-10</v>
      </c>
      <c r="Y194" s="411">
        <f>計分版!I$13</f>
        <v>5.0000000000000003E-10</v>
      </c>
      <c r="Z194" s="411">
        <f>計分版!J$13</f>
        <v>6E-10</v>
      </c>
      <c r="AA194" s="411">
        <f>計分版!K$13</f>
        <v>6.9999999999999996E-10</v>
      </c>
      <c r="AB194" s="411">
        <f>計分版!L$13</f>
        <v>8.0000000000000003E-10</v>
      </c>
      <c r="AC194" s="411">
        <f>計分版!M$13</f>
        <v>8.9999999999999999E-10</v>
      </c>
      <c r="AD194" s="411">
        <f>計分版!N$13</f>
        <v>9.5000000000000003E-10</v>
      </c>
      <c r="AF194" s="413" t="s">
        <v>2308</v>
      </c>
      <c r="AG194" s="413" t="s">
        <v>2309</v>
      </c>
      <c r="AH194" s="413" t="s">
        <v>2308</v>
      </c>
    </row>
    <row r="195" spans="1:34">
      <c r="A195" s="2" t="s">
        <v>127</v>
      </c>
      <c r="B195" s="2" t="s">
        <v>128</v>
      </c>
      <c r="C195" s="132" t="s">
        <v>189</v>
      </c>
      <c r="D195" s="78">
        <v>32</v>
      </c>
      <c r="E195" s="419">
        <v>3</v>
      </c>
      <c r="F195" s="419">
        <v>3</v>
      </c>
      <c r="G195" s="419">
        <v>3</v>
      </c>
      <c r="H195" s="419">
        <v>3</v>
      </c>
      <c r="I195" s="419">
        <v>3</v>
      </c>
      <c r="J195" s="419">
        <v>3</v>
      </c>
      <c r="L195" s="411">
        <f t="shared" si="78"/>
        <v>0</v>
      </c>
      <c r="M195" s="411">
        <f t="shared" si="79"/>
        <v>0</v>
      </c>
      <c r="N195" s="411">
        <f t="shared" si="80"/>
        <v>0</v>
      </c>
      <c r="O195" s="411">
        <f t="shared" si="81"/>
        <v>0</v>
      </c>
      <c r="P195" s="78">
        <f>IF(I195&gt;LARGE(計分版!$I$13:$N$13,1),0,1)</f>
        <v>0</v>
      </c>
      <c r="Q195" s="78">
        <f>IF(J195&gt;LARGE(計分版!$I$13:$N$13,2),0,1)</f>
        <v>0</v>
      </c>
      <c r="R195" s="78"/>
      <c r="S195" s="367">
        <f t="shared" si="50"/>
        <v>0</v>
      </c>
      <c r="U195" s="411">
        <f>計分版!E$13</f>
        <v>1E-10</v>
      </c>
      <c r="V195" s="411">
        <f>計分版!F$13</f>
        <v>2.0000000000000001E-10</v>
      </c>
      <c r="W195" s="411">
        <f>計分版!G$13</f>
        <v>3E-10</v>
      </c>
      <c r="X195" s="411">
        <f>計分版!H$13</f>
        <v>4.0000000000000001E-10</v>
      </c>
      <c r="Y195" s="411">
        <f>計分版!I$13</f>
        <v>5.0000000000000003E-10</v>
      </c>
      <c r="Z195" s="411">
        <f>計分版!J$13</f>
        <v>6E-10</v>
      </c>
      <c r="AA195" s="411">
        <f>計分版!K$13</f>
        <v>6.9999999999999996E-10</v>
      </c>
      <c r="AB195" s="411">
        <f>計分版!L$13</f>
        <v>8.0000000000000003E-10</v>
      </c>
      <c r="AC195" s="411">
        <f>計分版!M$13</f>
        <v>8.9999999999999999E-10</v>
      </c>
      <c r="AD195" s="411">
        <f>計分版!N$13</f>
        <v>9.5000000000000003E-10</v>
      </c>
      <c r="AF195" s="413" t="s">
        <v>2308</v>
      </c>
      <c r="AG195" s="413" t="s">
        <v>2309</v>
      </c>
      <c r="AH195" s="413" t="s">
        <v>2308</v>
      </c>
    </row>
    <row r="196" spans="1:34">
      <c r="A196" s="2" t="s">
        <v>129</v>
      </c>
      <c r="B196" s="2" t="s">
        <v>175</v>
      </c>
      <c r="C196" s="13" t="s">
        <v>189</v>
      </c>
      <c r="D196" s="78">
        <v>67</v>
      </c>
      <c r="E196" s="419">
        <v>3</v>
      </c>
      <c r="F196" s="419">
        <v>3</v>
      </c>
      <c r="G196" s="419">
        <v>3</v>
      </c>
      <c r="H196" s="419">
        <v>2</v>
      </c>
      <c r="I196" s="419">
        <v>3</v>
      </c>
      <c r="J196" s="419">
        <v>3</v>
      </c>
      <c r="L196" s="411">
        <f t="shared" si="78"/>
        <v>0</v>
      </c>
      <c r="M196" s="411">
        <f t="shared" si="79"/>
        <v>0</v>
      </c>
      <c r="N196" s="411">
        <f t="shared" si="80"/>
        <v>0</v>
      </c>
      <c r="O196" s="411">
        <f t="shared" si="81"/>
        <v>0</v>
      </c>
      <c r="P196" s="78">
        <f>IF(I196&gt;LARGE(計分版!$I$13:$N$13,1),0,1)</f>
        <v>0</v>
      </c>
      <c r="Q196" s="78">
        <f>IF(J196&gt;LARGE(計分版!$I$13:$N$13,2),0,1)</f>
        <v>0</v>
      </c>
      <c r="R196" s="78"/>
      <c r="S196" s="78">
        <f t="shared" ref="S196:S207" si="82">L196*M196*N196*O196*P196*Q196</f>
        <v>0</v>
      </c>
      <c r="U196" s="411">
        <f>計分版!E$13</f>
        <v>1E-10</v>
      </c>
      <c r="V196" s="411">
        <f>計分版!F$13</f>
        <v>2.0000000000000001E-10</v>
      </c>
      <c r="W196" s="411">
        <f>計分版!G$13</f>
        <v>3E-10</v>
      </c>
      <c r="X196" s="411">
        <f>計分版!H$13</f>
        <v>4.0000000000000001E-10</v>
      </c>
      <c r="Y196" s="411">
        <f>計分版!I$13</f>
        <v>5.0000000000000003E-10</v>
      </c>
      <c r="Z196" s="411">
        <f>計分版!J$13</f>
        <v>6E-10</v>
      </c>
      <c r="AA196" s="411">
        <f>計分版!K$13</f>
        <v>6.9999999999999996E-10</v>
      </c>
      <c r="AB196" s="411">
        <f>計分版!L$13</f>
        <v>8.0000000000000003E-10</v>
      </c>
      <c r="AC196" s="411">
        <f>計分版!M$13</f>
        <v>8.9999999999999999E-10</v>
      </c>
      <c r="AD196" s="411">
        <f>計分版!N$13</f>
        <v>9.5000000000000003E-10</v>
      </c>
      <c r="AF196" s="413" t="s">
        <v>2308</v>
      </c>
      <c r="AG196" s="413" t="s">
        <v>2309</v>
      </c>
    </row>
    <row r="197" spans="1:34">
      <c r="A197" s="2" t="s">
        <v>130</v>
      </c>
      <c r="B197" s="2" t="s">
        <v>176</v>
      </c>
      <c r="C197" s="13" t="s">
        <v>189</v>
      </c>
      <c r="D197" s="78">
        <v>40</v>
      </c>
      <c r="E197" s="419">
        <v>3</v>
      </c>
      <c r="F197" s="419">
        <v>3</v>
      </c>
      <c r="G197" s="419">
        <v>2</v>
      </c>
      <c r="H197" s="419">
        <v>2</v>
      </c>
      <c r="I197" s="419">
        <v>3</v>
      </c>
      <c r="J197" s="419">
        <v>3</v>
      </c>
      <c r="L197" s="411">
        <f t="shared" si="78"/>
        <v>0</v>
      </c>
      <c r="M197" s="411">
        <f t="shared" si="79"/>
        <v>0</v>
      </c>
      <c r="N197" s="411">
        <f t="shared" si="80"/>
        <v>0</v>
      </c>
      <c r="O197" s="411">
        <f t="shared" si="81"/>
        <v>0</v>
      </c>
      <c r="P197" s="78">
        <f>IF(I197&gt;LARGE(計分版!$I$13:$N$13,1),0,1)</f>
        <v>0</v>
      </c>
      <c r="Q197" s="78">
        <f>IF(J197&gt;LARGE(計分版!$I$13:$N$13,2),0,1)</f>
        <v>0</v>
      </c>
      <c r="R197" s="78"/>
      <c r="S197" s="78">
        <f t="shared" si="82"/>
        <v>0</v>
      </c>
      <c r="U197" s="411">
        <f>計分版!E$13</f>
        <v>1E-10</v>
      </c>
      <c r="V197" s="411">
        <f>計分版!F$13</f>
        <v>2.0000000000000001E-10</v>
      </c>
      <c r="W197" s="411">
        <f>計分版!G$13</f>
        <v>3E-10</v>
      </c>
      <c r="X197" s="411">
        <f>計分版!H$13</f>
        <v>4.0000000000000001E-10</v>
      </c>
      <c r="Y197" s="411">
        <f>計分版!I$13</f>
        <v>5.0000000000000003E-10</v>
      </c>
      <c r="Z197" s="411">
        <f>計分版!J$13</f>
        <v>6E-10</v>
      </c>
      <c r="AA197" s="411">
        <f>計分版!K$13</f>
        <v>6.9999999999999996E-10</v>
      </c>
      <c r="AB197" s="411">
        <f>計分版!L$13</f>
        <v>8.0000000000000003E-10</v>
      </c>
      <c r="AC197" s="411">
        <f>計分版!M$13</f>
        <v>8.9999999999999999E-10</v>
      </c>
      <c r="AD197" s="411">
        <f>計分版!N$13</f>
        <v>9.5000000000000003E-10</v>
      </c>
      <c r="AF197" s="413" t="s">
        <v>2308</v>
      </c>
      <c r="AG197" s="413" t="s">
        <v>2309</v>
      </c>
    </row>
    <row r="198" spans="1:34">
      <c r="A198" s="2" t="s">
        <v>131</v>
      </c>
      <c r="B198" s="2" t="s">
        <v>132</v>
      </c>
      <c r="C198" s="13" t="s">
        <v>189</v>
      </c>
      <c r="D198" s="78">
        <v>20</v>
      </c>
      <c r="E198" s="419">
        <v>3</v>
      </c>
      <c r="F198" s="419">
        <v>3</v>
      </c>
      <c r="G198" s="419">
        <v>2</v>
      </c>
      <c r="H198" s="419">
        <v>2</v>
      </c>
      <c r="I198" s="419">
        <v>3</v>
      </c>
      <c r="J198" s="419">
        <v>3</v>
      </c>
      <c r="L198" s="411">
        <f t="shared" si="78"/>
        <v>0</v>
      </c>
      <c r="M198" s="411">
        <f t="shared" si="79"/>
        <v>0</v>
      </c>
      <c r="N198" s="411">
        <f t="shared" si="80"/>
        <v>0</v>
      </c>
      <c r="O198" s="411">
        <f t="shared" si="81"/>
        <v>0</v>
      </c>
      <c r="P198" s="78">
        <f>IF(I198&gt;LARGE(計分版!$I$13:$N$13,1),0,1)</f>
        <v>0</v>
      </c>
      <c r="Q198" s="78">
        <f>IF(J198&gt;LARGE(計分版!$I$13:$N$13,2),0,1)</f>
        <v>0</v>
      </c>
      <c r="R198" s="78"/>
      <c r="S198" s="78">
        <f t="shared" si="82"/>
        <v>0</v>
      </c>
      <c r="U198" s="411">
        <f>計分版!E$13</f>
        <v>1E-10</v>
      </c>
      <c r="V198" s="411">
        <f>計分版!F$13</f>
        <v>2.0000000000000001E-10</v>
      </c>
      <c r="W198" s="411">
        <f>計分版!G$13</f>
        <v>3E-10</v>
      </c>
      <c r="X198" s="411">
        <f>計分版!H$13</f>
        <v>4.0000000000000001E-10</v>
      </c>
      <c r="Y198" s="411">
        <f>計分版!I$13</f>
        <v>5.0000000000000003E-10</v>
      </c>
      <c r="Z198" s="411">
        <f>計分版!J$13</f>
        <v>6E-10</v>
      </c>
      <c r="AA198" s="411">
        <f>計分版!K$13</f>
        <v>6.9999999999999996E-10</v>
      </c>
      <c r="AB198" s="411">
        <f>計分版!L$13</f>
        <v>8.0000000000000003E-10</v>
      </c>
      <c r="AC198" s="411">
        <f>計分版!M$13</f>
        <v>8.9999999999999999E-10</v>
      </c>
      <c r="AD198" s="411">
        <f>計分版!N$13</f>
        <v>9.5000000000000003E-10</v>
      </c>
      <c r="AF198" s="413" t="s">
        <v>2308</v>
      </c>
      <c r="AG198" s="413" t="s">
        <v>2309</v>
      </c>
      <c r="AH198" s="413" t="s">
        <v>2308</v>
      </c>
    </row>
    <row r="199" spans="1:34">
      <c r="A199" s="2" t="s">
        <v>133</v>
      </c>
      <c r="B199" s="2" t="s">
        <v>134</v>
      </c>
      <c r="C199" s="13" t="s">
        <v>190</v>
      </c>
      <c r="D199" s="78">
        <v>38</v>
      </c>
      <c r="E199" s="419">
        <v>3</v>
      </c>
      <c r="F199" s="419">
        <v>3</v>
      </c>
      <c r="G199" s="419">
        <v>2</v>
      </c>
      <c r="H199" s="419">
        <v>3</v>
      </c>
      <c r="I199" s="419">
        <v>3</v>
      </c>
      <c r="J199" s="419">
        <v>3</v>
      </c>
      <c r="L199" s="411">
        <f t="shared" si="78"/>
        <v>0</v>
      </c>
      <c r="M199" s="411">
        <f t="shared" si="79"/>
        <v>0</v>
      </c>
      <c r="N199" s="411">
        <f t="shared" si="80"/>
        <v>0</v>
      </c>
      <c r="O199" s="411">
        <f t="shared" si="81"/>
        <v>0</v>
      </c>
      <c r="P199" s="78">
        <f>IF(I199&gt;LARGE(計分版!$I$13:$N$13,1),0,1)</f>
        <v>0</v>
      </c>
      <c r="Q199" s="78">
        <f>IF(J199&gt;LARGE(計分版!$I$13:$N$13,2),0,1)</f>
        <v>0</v>
      </c>
      <c r="R199" s="78"/>
      <c r="S199" s="78">
        <f t="shared" si="82"/>
        <v>0</v>
      </c>
      <c r="U199" s="411">
        <f>計分版!E$13</f>
        <v>1E-10</v>
      </c>
      <c r="V199" s="411">
        <f>計分版!F$13</f>
        <v>2.0000000000000001E-10</v>
      </c>
      <c r="W199" s="411">
        <f>計分版!G$13</f>
        <v>3E-10</v>
      </c>
      <c r="X199" s="411">
        <f>計分版!H$13</f>
        <v>4.0000000000000001E-10</v>
      </c>
      <c r="Y199" s="411">
        <f>計分版!I$13</f>
        <v>5.0000000000000003E-10</v>
      </c>
      <c r="Z199" s="411">
        <f>計分版!J$13</f>
        <v>6E-10</v>
      </c>
      <c r="AA199" s="411">
        <f>計分版!K$13</f>
        <v>6.9999999999999996E-10</v>
      </c>
      <c r="AB199" s="411">
        <f>計分版!L$13</f>
        <v>8.0000000000000003E-10</v>
      </c>
      <c r="AC199" s="411">
        <f>計分版!M$13</f>
        <v>8.9999999999999999E-10</v>
      </c>
      <c r="AD199" s="411">
        <f>計分版!N$13</f>
        <v>9.5000000000000003E-10</v>
      </c>
      <c r="AF199" s="413" t="s">
        <v>2308</v>
      </c>
      <c r="AG199" s="413" t="s">
        <v>2309</v>
      </c>
      <c r="AH199" s="413" t="s">
        <v>2308</v>
      </c>
    </row>
    <row r="200" spans="1:34">
      <c r="A200" s="2" t="s">
        <v>135</v>
      </c>
      <c r="B200" s="2" t="s">
        <v>136</v>
      </c>
      <c r="C200" s="13" t="s">
        <v>189</v>
      </c>
      <c r="D200" s="78">
        <v>43</v>
      </c>
      <c r="E200" s="419">
        <v>3</v>
      </c>
      <c r="F200" s="419">
        <v>3</v>
      </c>
      <c r="G200" s="419">
        <v>2</v>
      </c>
      <c r="H200" s="419">
        <v>2</v>
      </c>
      <c r="I200" s="419">
        <v>3</v>
      </c>
      <c r="J200" s="419">
        <v>3</v>
      </c>
      <c r="L200" s="411">
        <f t="shared" si="78"/>
        <v>0</v>
      </c>
      <c r="M200" s="411">
        <f t="shared" si="79"/>
        <v>0</v>
      </c>
      <c r="N200" s="411">
        <f t="shared" si="80"/>
        <v>0</v>
      </c>
      <c r="O200" s="411">
        <f t="shared" si="81"/>
        <v>0</v>
      </c>
      <c r="P200" s="78">
        <f>IF(I200&gt;LARGE(計分版!$I$13:$N$13,1),0,1)</f>
        <v>0</v>
      </c>
      <c r="Q200" s="78">
        <f>IF(J200&gt;LARGE(計分版!$I$13:$N$13,2),0,1)</f>
        <v>0</v>
      </c>
      <c r="R200" s="78"/>
      <c r="S200" s="78">
        <f t="shared" si="82"/>
        <v>0</v>
      </c>
      <c r="T200" s="185"/>
      <c r="U200" s="411">
        <f>計分版!E$13</f>
        <v>1E-10</v>
      </c>
      <c r="V200" s="411">
        <f>計分版!F$13</f>
        <v>2.0000000000000001E-10</v>
      </c>
      <c r="W200" s="411">
        <f>計分版!G$13</f>
        <v>3E-10</v>
      </c>
      <c r="X200" s="411">
        <f>計分版!H$13</f>
        <v>4.0000000000000001E-10</v>
      </c>
      <c r="Y200" s="411">
        <f>計分版!I$13</f>
        <v>5.0000000000000003E-10</v>
      </c>
      <c r="Z200" s="411">
        <f>計分版!J$13</f>
        <v>6E-10</v>
      </c>
      <c r="AA200" s="411">
        <f>計分版!K$13</f>
        <v>6.9999999999999996E-10</v>
      </c>
      <c r="AB200" s="411">
        <f>計分版!L$13</f>
        <v>8.0000000000000003E-10</v>
      </c>
      <c r="AC200" s="411">
        <f>計分版!M$13</f>
        <v>8.9999999999999999E-10</v>
      </c>
      <c r="AD200" s="411">
        <f>計分版!N$13</f>
        <v>9.5000000000000003E-10</v>
      </c>
      <c r="AF200" s="413" t="s">
        <v>2308</v>
      </c>
      <c r="AG200" s="413" t="s">
        <v>2309</v>
      </c>
    </row>
    <row r="201" spans="1:34">
      <c r="A201" s="2" t="s">
        <v>177</v>
      </c>
      <c r="B201" s="2" t="s">
        <v>178</v>
      </c>
      <c r="C201" s="13" t="s">
        <v>189</v>
      </c>
      <c r="D201" s="78">
        <v>18</v>
      </c>
      <c r="E201" s="419">
        <v>3</v>
      </c>
      <c r="F201" s="419">
        <v>4</v>
      </c>
      <c r="G201" s="419">
        <v>2</v>
      </c>
      <c r="H201" s="419">
        <v>2</v>
      </c>
      <c r="I201" s="419">
        <v>3</v>
      </c>
      <c r="J201" s="419">
        <v>3</v>
      </c>
      <c r="L201" s="411">
        <f t="shared" si="78"/>
        <v>0</v>
      </c>
      <c r="M201" s="411">
        <f t="shared" si="79"/>
        <v>0</v>
      </c>
      <c r="N201" s="411">
        <f t="shared" si="80"/>
        <v>0</v>
      </c>
      <c r="O201" s="411">
        <f t="shared" si="81"/>
        <v>0</v>
      </c>
      <c r="P201" s="78">
        <f>IF(I201&gt;LARGE(計分版!$I$13:$N$13,1),0,1)</f>
        <v>0</v>
      </c>
      <c r="Q201" s="78">
        <f>IF(J201&gt;LARGE(計分版!$I$13:$N$13,2),0,1)</f>
        <v>0</v>
      </c>
      <c r="R201" s="78"/>
      <c r="S201" s="78">
        <f t="shared" si="82"/>
        <v>0</v>
      </c>
      <c r="T201" s="185"/>
      <c r="U201" s="411">
        <f>計分版!E$13</f>
        <v>1E-10</v>
      </c>
      <c r="V201" s="411">
        <f>計分版!F$13</f>
        <v>2.0000000000000001E-10</v>
      </c>
      <c r="W201" s="411">
        <f>計分版!G$13</f>
        <v>3E-10</v>
      </c>
      <c r="X201" s="411">
        <f>計分版!H$13</f>
        <v>4.0000000000000001E-10</v>
      </c>
      <c r="Y201" s="411">
        <f>計分版!I$13</f>
        <v>5.0000000000000003E-10</v>
      </c>
      <c r="Z201" s="411">
        <f>計分版!J$13</f>
        <v>6E-10</v>
      </c>
      <c r="AA201" s="411">
        <f>計分版!K$13</f>
        <v>6.9999999999999996E-10</v>
      </c>
      <c r="AB201" s="411">
        <f>計分版!L$13</f>
        <v>8.0000000000000003E-10</v>
      </c>
      <c r="AC201" s="411">
        <f>計分版!M$13</f>
        <v>8.9999999999999999E-10</v>
      </c>
      <c r="AD201" s="411">
        <f>計分版!N$13</f>
        <v>9.5000000000000003E-10</v>
      </c>
      <c r="AF201" s="413" t="s">
        <v>2308</v>
      </c>
      <c r="AG201" s="413" t="s">
        <v>2309</v>
      </c>
    </row>
    <row r="202" spans="1:34">
      <c r="A202" s="2" t="s">
        <v>358</v>
      </c>
      <c r="B202" s="2" t="s">
        <v>138</v>
      </c>
      <c r="C202" s="13" t="s">
        <v>189</v>
      </c>
      <c r="D202" s="78">
        <v>54</v>
      </c>
      <c r="E202" s="419">
        <v>3</v>
      </c>
      <c r="F202" s="419">
        <v>3</v>
      </c>
      <c r="G202" s="419">
        <v>2</v>
      </c>
      <c r="H202" s="419">
        <v>2</v>
      </c>
      <c r="I202" s="419">
        <v>3</v>
      </c>
      <c r="J202" s="419">
        <v>3</v>
      </c>
      <c r="L202" s="411">
        <f t="shared" si="78"/>
        <v>0</v>
      </c>
      <c r="M202" s="411">
        <f t="shared" si="79"/>
        <v>0</v>
      </c>
      <c r="N202" s="411">
        <f t="shared" si="80"/>
        <v>0</v>
      </c>
      <c r="O202" s="411">
        <f t="shared" si="81"/>
        <v>0</v>
      </c>
      <c r="P202" s="78">
        <f>IF(I202&gt;LARGE(計分版!$I$13:$N$13,1),0,1)</f>
        <v>0</v>
      </c>
      <c r="Q202" s="78">
        <f>IF(J202&gt;LARGE(計分版!$I$13:$N$13,2),0,1)</f>
        <v>0</v>
      </c>
      <c r="R202" s="78"/>
      <c r="S202" s="78">
        <f t="shared" si="82"/>
        <v>0</v>
      </c>
      <c r="T202" s="185"/>
      <c r="U202" s="411">
        <f>計分版!E$13</f>
        <v>1E-10</v>
      </c>
      <c r="V202" s="411">
        <f>計分版!F$13</f>
        <v>2.0000000000000001E-10</v>
      </c>
      <c r="W202" s="411">
        <f>計分版!G$13</f>
        <v>3E-10</v>
      </c>
      <c r="X202" s="411">
        <f>計分版!H$13</f>
        <v>4.0000000000000001E-10</v>
      </c>
      <c r="Y202" s="411">
        <f>計分版!I$13</f>
        <v>5.0000000000000003E-10</v>
      </c>
      <c r="Z202" s="411">
        <f>計分版!J$13</f>
        <v>6E-10</v>
      </c>
      <c r="AA202" s="411">
        <f>計分版!K$13</f>
        <v>6.9999999999999996E-10</v>
      </c>
      <c r="AB202" s="411">
        <f>計分版!L$13</f>
        <v>8.0000000000000003E-10</v>
      </c>
      <c r="AC202" s="411">
        <f>計分版!M$13</f>
        <v>8.9999999999999999E-10</v>
      </c>
      <c r="AD202" s="411">
        <f>計分版!N$13</f>
        <v>9.5000000000000003E-10</v>
      </c>
      <c r="AF202" s="413" t="s">
        <v>2308</v>
      </c>
      <c r="AG202" s="413" t="s">
        <v>2309</v>
      </c>
      <c r="AH202" s="413" t="s">
        <v>2308</v>
      </c>
    </row>
    <row r="203" spans="1:34">
      <c r="A203" s="2" t="s">
        <v>139</v>
      </c>
      <c r="B203" s="2" t="s">
        <v>140</v>
      </c>
      <c r="C203" s="13" t="s">
        <v>189</v>
      </c>
      <c r="D203" s="78">
        <v>46</v>
      </c>
      <c r="E203" s="419">
        <v>3</v>
      </c>
      <c r="F203" s="419">
        <v>3</v>
      </c>
      <c r="G203" s="419">
        <v>2</v>
      </c>
      <c r="H203" s="419">
        <v>3</v>
      </c>
      <c r="I203" s="419">
        <v>3</v>
      </c>
      <c r="J203" s="419">
        <v>3</v>
      </c>
      <c r="L203" s="411">
        <f t="shared" si="78"/>
        <v>0</v>
      </c>
      <c r="M203" s="411">
        <f t="shared" si="79"/>
        <v>0</v>
      </c>
      <c r="N203" s="411">
        <f t="shared" si="80"/>
        <v>0</v>
      </c>
      <c r="O203" s="411">
        <f t="shared" si="81"/>
        <v>0</v>
      </c>
      <c r="P203" s="78">
        <f>IF(I203&gt;LARGE(計分版!$I$13:$N$13,1),0,1)</f>
        <v>0</v>
      </c>
      <c r="Q203" s="78">
        <f>IF(J203&gt;LARGE(計分版!$I$13:$N$13,2),0,1)</f>
        <v>0</v>
      </c>
      <c r="R203" s="78"/>
      <c r="S203" s="78">
        <f t="shared" si="82"/>
        <v>0</v>
      </c>
      <c r="T203" s="185"/>
      <c r="U203" s="411">
        <f>計分版!E$13</f>
        <v>1E-10</v>
      </c>
      <c r="V203" s="411">
        <f>計分版!F$13</f>
        <v>2.0000000000000001E-10</v>
      </c>
      <c r="W203" s="411">
        <f>計分版!G$13</f>
        <v>3E-10</v>
      </c>
      <c r="X203" s="411">
        <f>計分版!H$13</f>
        <v>4.0000000000000001E-10</v>
      </c>
      <c r="Y203" s="411">
        <f>計分版!I$13</f>
        <v>5.0000000000000003E-10</v>
      </c>
      <c r="Z203" s="411">
        <f>計分版!J$13</f>
        <v>6E-10</v>
      </c>
      <c r="AA203" s="411">
        <f>計分版!K$13</f>
        <v>6.9999999999999996E-10</v>
      </c>
      <c r="AB203" s="411">
        <f>計分版!L$13</f>
        <v>8.0000000000000003E-10</v>
      </c>
      <c r="AC203" s="411">
        <f>計分版!M$13</f>
        <v>8.9999999999999999E-10</v>
      </c>
      <c r="AD203" s="411">
        <f>計分版!N$13</f>
        <v>9.5000000000000003E-10</v>
      </c>
      <c r="AF203" s="413" t="s">
        <v>2308</v>
      </c>
      <c r="AG203" s="413" t="s">
        <v>2309</v>
      </c>
    </row>
    <row r="204" spans="1:34">
      <c r="A204" s="2" t="s">
        <v>141</v>
      </c>
      <c r="B204" s="2" t="s">
        <v>142</v>
      </c>
      <c r="C204" s="13" t="s">
        <v>189</v>
      </c>
      <c r="D204" s="78">
        <v>39</v>
      </c>
      <c r="E204" s="419">
        <v>3</v>
      </c>
      <c r="F204" s="419">
        <v>3</v>
      </c>
      <c r="G204" s="419">
        <v>2</v>
      </c>
      <c r="H204" s="419">
        <v>2</v>
      </c>
      <c r="I204" s="419">
        <v>3</v>
      </c>
      <c r="J204" s="419">
        <v>3</v>
      </c>
      <c r="L204" s="411">
        <f t="shared" si="78"/>
        <v>0</v>
      </c>
      <c r="M204" s="411">
        <f t="shared" si="79"/>
        <v>0</v>
      </c>
      <c r="N204" s="411">
        <f t="shared" si="80"/>
        <v>0</v>
      </c>
      <c r="O204" s="411">
        <f t="shared" si="81"/>
        <v>0</v>
      </c>
      <c r="P204" s="78">
        <f>IF(I204&gt;LARGE(計分版!$I$13:$N$13,1),0,1)</f>
        <v>0</v>
      </c>
      <c r="Q204" s="78">
        <f>IF(J204&gt;LARGE(計分版!$I$13:$N$13,2),0,1)</f>
        <v>0</v>
      </c>
      <c r="R204" s="78"/>
      <c r="S204" s="78">
        <f t="shared" si="82"/>
        <v>0</v>
      </c>
      <c r="T204" s="185"/>
      <c r="U204" s="411">
        <f>計分版!E$13</f>
        <v>1E-10</v>
      </c>
      <c r="V204" s="411">
        <f>計分版!F$13</f>
        <v>2.0000000000000001E-10</v>
      </c>
      <c r="W204" s="411">
        <f>計分版!G$13</f>
        <v>3E-10</v>
      </c>
      <c r="X204" s="411">
        <f>計分版!H$13</f>
        <v>4.0000000000000001E-10</v>
      </c>
      <c r="Y204" s="411">
        <f>計分版!I$13</f>
        <v>5.0000000000000003E-10</v>
      </c>
      <c r="Z204" s="411">
        <f>計分版!J$13</f>
        <v>6E-10</v>
      </c>
      <c r="AA204" s="411">
        <f>計分版!K$13</f>
        <v>6.9999999999999996E-10</v>
      </c>
      <c r="AB204" s="411">
        <f>計分版!L$13</f>
        <v>8.0000000000000003E-10</v>
      </c>
      <c r="AC204" s="411">
        <f>計分版!M$13</f>
        <v>8.9999999999999999E-10</v>
      </c>
      <c r="AD204" s="411">
        <f>計分版!N$13</f>
        <v>9.5000000000000003E-10</v>
      </c>
      <c r="AF204" s="413" t="s">
        <v>2308</v>
      </c>
      <c r="AG204" s="413" t="s">
        <v>2309</v>
      </c>
      <c r="AH204" s="413" t="s">
        <v>2308</v>
      </c>
    </row>
    <row r="205" spans="1:34">
      <c r="A205" s="2" t="s">
        <v>179</v>
      </c>
      <c r="B205" s="2" t="s">
        <v>180</v>
      </c>
      <c r="C205" s="13" t="s">
        <v>189</v>
      </c>
      <c r="D205" s="78">
        <v>20</v>
      </c>
      <c r="E205" s="419">
        <v>3</v>
      </c>
      <c r="F205" s="419">
        <v>3</v>
      </c>
      <c r="G205" s="419">
        <v>2</v>
      </c>
      <c r="H205" s="419">
        <v>2</v>
      </c>
      <c r="I205" s="419">
        <v>3</v>
      </c>
      <c r="J205" s="419">
        <v>3</v>
      </c>
      <c r="L205" s="411">
        <f t="shared" si="78"/>
        <v>0</v>
      </c>
      <c r="M205" s="411">
        <f t="shared" si="79"/>
        <v>0</v>
      </c>
      <c r="N205" s="411">
        <f t="shared" si="80"/>
        <v>0</v>
      </c>
      <c r="O205" s="411">
        <f t="shared" si="81"/>
        <v>0</v>
      </c>
      <c r="P205" s="78">
        <f>IF(I205&gt;LARGE(計分版!$I$13:$N$13,1),0,1)</f>
        <v>0</v>
      </c>
      <c r="Q205" s="78">
        <f>IF(J205&gt;LARGE(計分版!$I$13:$N$13,2),0,1)</f>
        <v>0</v>
      </c>
      <c r="R205" s="78"/>
      <c r="S205" s="78">
        <f t="shared" si="82"/>
        <v>0</v>
      </c>
      <c r="T205" s="185"/>
      <c r="U205" s="411">
        <f>計分版!E$13</f>
        <v>1E-10</v>
      </c>
      <c r="V205" s="411">
        <f>計分版!F$13</f>
        <v>2.0000000000000001E-10</v>
      </c>
      <c r="W205" s="411">
        <f>計分版!G$13</f>
        <v>3E-10</v>
      </c>
      <c r="X205" s="411">
        <f>計分版!H$13</f>
        <v>4.0000000000000001E-10</v>
      </c>
      <c r="Y205" s="411">
        <f>計分版!I$13</f>
        <v>5.0000000000000003E-10</v>
      </c>
      <c r="Z205" s="411">
        <f>計分版!J$13</f>
        <v>6E-10</v>
      </c>
      <c r="AA205" s="411">
        <f>計分版!K$13</f>
        <v>6.9999999999999996E-10</v>
      </c>
      <c r="AB205" s="411">
        <f>計分版!L$13</f>
        <v>8.0000000000000003E-10</v>
      </c>
      <c r="AC205" s="411">
        <f>計分版!M$13</f>
        <v>8.9999999999999999E-10</v>
      </c>
      <c r="AD205" s="411">
        <f>計分版!N$13</f>
        <v>9.5000000000000003E-10</v>
      </c>
      <c r="AF205" s="413" t="s">
        <v>2308</v>
      </c>
      <c r="AG205" s="413" t="s">
        <v>2309</v>
      </c>
    </row>
    <row r="206" spans="1:34">
      <c r="A206" s="2" t="s">
        <v>188</v>
      </c>
      <c r="B206" s="2" t="s">
        <v>182</v>
      </c>
      <c r="C206" s="13" t="s">
        <v>189</v>
      </c>
      <c r="D206" s="78">
        <v>20</v>
      </c>
      <c r="E206" s="419">
        <v>3</v>
      </c>
      <c r="F206" s="419">
        <v>3</v>
      </c>
      <c r="G206" s="419">
        <v>3</v>
      </c>
      <c r="H206" s="419">
        <v>2</v>
      </c>
      <c r="I206" s="419">
        <v>3</v>
      </c>
      <c r="J206" s="419">
        <v>3</v>
      </c>
      <c r="L206" s="411">
        <f t="shared" si="78"/>
        <v>0</v>
      </c>
      <c r="M206" s="411">
        <f t="shared" si="79"/>
        <v>0</v>
      </c>
      <c r="N206" s="411">
        <f t="shared" si="80"/>
        <v>0</v>
      </c>
      <c r="O206" s="411">
        <f t="shared" si="81"/>
        <v>0</v>
      </c>
      <c r="P206" s="78">
        <f>IF(I206&gt;LARGE(計分版!$I$13:$N$13,1),0,1)</f>
        <v>0</v>
      </c>
      <c r="Q206" s="78">
        <f>IF(J206&gt;LARGE(計分版!$I$13:$N$13,2),0,1)</f>
        <v>0</v>
      </c>
      <c r="R206" s="78"/>
      <c r="S206" s="78">
        <f t="shared" si="82"/>
        <v>0</v>
      </c>
      <c r="T206" s="185"/>
      <c r="U206" s="411">
        <f>計分版!E$13</f>
        <v>1E-10</v>
      </c>
      <c r="V206" s="411">
        <f>計分版!F$13</f>
        <v>2.0000000000000001E-10</v>
      </c>
      <c r="W206" s="411">
        <f>計分版!G$13</f>
        <v>3E-10</v>
      </c>
      <c r="X206" s="411">
        <f>計分版!H$13</f>
        <v>4.0000000000000001E-10</v>
      </c>
      <c r="Y206" s="411">
        <f>計分版!I$13</f>
        <v>5.0000000000000003E-10</v>
      </c>
      <c r="Z206" s="411">
        <f>計分版!J$13</f>
        <v>6E-10</v>
      </c>
      <c r="AA206" s="411">
        <f>計分版!K$13</f>
        <v>6.9999999999999996E-10</v>
      </c>
      <c r="AB206" s="411">
        <f>計分版!L$13</f>
        <v>8.0000000000000003E-10</v>
      </c>
      <c r="AC206" s="411">
        <f>計分版!M$13</f>
        <v>8.9999999999999999E-10</v>
      </c>
      <c r="AD206" s="411">
        <f>計分版!N$13</f>
        <v>9.5000000000000003E-10</v>
      </c>
      <c r="AF206" s="413" t="s">
        <v>2308</v>
      </c>
      <c r="AG206" s="413" t="s">
        <v>2309</v>
      </c>
      <c r="AH206" s="413" t="s">
        <v>2308</v>
      </c>
    </row>
    <row r="207" spans="1:34">
      <c r="A207" s="2" t="s">
        <v>143</v>
      </c>
      <c r="B207" s="2" t="s">
        <v>144</v>
      </c>
      <c r="C207" s="13" t="s">
        <v>190</v>
      </c>
      <c r="D207" s="78">
        <v>76</v>
      </c>
      <c r="E207" s="419">
        <v>4</v>
      </c>
      <c r="F207" s="419">
        <v>5</v>
      </c>
      <c r="G207" s="419">
        <v>3</v>
      </c>
      <c r="H207" s="419">
        <v>3</v>
      </c>
      <c r="I207" s="419">
        <v>3</v>
      </c>
      <c r="J207" s="419">
        <v>3</v>
      </c>
      <c r="L207" s="411">
        <f t="shared" si="78"/>
        <v>0</v>
      </c>
      <c r="M207" s="411">
        <f t="shared" si="79"/>
        <v>0</v>
      </c>
      <c r="N207" s="411">
        <f t="shared" si="80"/>
        <v>0</v>
      </c>
      <c r="O207" s="411">
        <f t="shared" si="81"/>
        <v>0</v>
      </c>
      <c r="P207" s="78">
        <f>IF(I207&gt;LARGE(計分版!$I$13:$N$13,1),0,1)</f>
        <v>0</v>
      </c>
      <c r="Q207" s="78">
        <f>IF(J207&gt;LARGE(計分版!$I$13:$N$13,2),0,1)</f>
        <v>0</v>
      </c>
      <c r="R207" s="78"/>
      <c r="S207" s="78">
        <f t="shared" si="82"/>
        <v>0</v>
      </c>
      <c r="T207" s="185"/>
      <c r="U207" s="411">
        <f>計分版!E$13</f>
        <v>1E-10</v>
      </c>
      <c r="V207" s="411">
        <f>計分版!F$13</f>
        <v>2.0000000000000001E-10</v>
      </c>
      <c r="W207" s="411">
        <f>計分版!G$13</f>
        <v>3E-10</v>
      </c>
      <c r="X207" s="411">
        <f>計分版!H$13</f>
        <v>4.0000000000000001E-10</v>
      </c>
      <c r="Y207" s="411">
        <f>計分版!I$13</f>
        <v>5.0000000000000003E-10</v>
      </c>
      <c r="Z207" s="411">
        <f>計分版!J$13</f>
        <v>6E-10</v>
      </c>
      <c r="AA207" s="411">
        <f>計分版!K$13</f>
        <v>6.9999999999999996E-10</v>
      </c>
      <c r="AB207" s="411">
        <f>計分版!L$13</f>
        <v>8.0000000000000003E-10</v>
      </c>
      <c r="AC207" s="411">
        <f>計分版!M$13</f>
        <v>8.9999999999999999E-10</v>
      </c>
      <c r="AD207" s="411">
        <f>計分版!N$13</f>
        <v>9.5000000000000003E-10</v>
      </c>
      <c r="AF207" s="413" t="s">
        <v>2308</v>
      </c>
      <c r="AG207" s="413" t="s">
        <v>2309</v>
      </c>
    </row>
    <row r="208" spans="1:34">
      <c r="E208" s="419"/>
      <c r="F208" s="419"/>
      <c r="G208" s="419"/>
      <c r="H208" s="419"/>
      <c r="I208" s="419"/>
      <c r="J208" s="419"/>
    </row>
    <row r="209" spans="1:39" s="174" customFormat="1">
      <c r="A209" s="15" t="s">
        <v>2013</v>
      </c>
      <c r="E209" s="419"/>
      <c r="F209" s="419"/>
      <c r="G209" s="419"/>
      <c r="H209" s="419"/>
      <c r="I209" s="419"/>
      <c r="J209" s="419"/>
      <c r="S209" s="258"/>
      <c r="T209" s="258"/>
      <c r="U209" s="411"/>
      <c r="V209" s="411"/>
      <c r="W209" s="411"/>
      <c r="X209" s="411"/>
      <c r="Y209" s="411"/>
      <c r="Z209" s="411"/>
      <c r="AA209" s="411"/>
      <c r="AB209" s="411"/>
      <c r="AC209" s="411"/>
      <c r="AD209" s="411"/>
      <c r="AE209" s="182"/>
      <c r="AF209" s="413"/>
      <c r="AG209" s="413"/>
      <c r="AH209" s="413"/>
      <c r="AI209" s="413"/>
      <c r="AJ209" s="413"/>
      <c r="AK209" s="413"/>
      <c r="AL209" s="413"/>
      <c r="AM209" s="413"/>
    </row>
    <row r="210" spans="1:39" s="174" customFormat="1">
      <c r="A210" s="12" t="s">
        <v>203</v>
      </c>
      <c r="B210" s="15" t="s">
        <v>367</v>
      </c>
      <c r="C210" s="15" t="s">
        <v>204</v>
      </c>
      <c r="D210" s="24" t="s">
        <v>361</v>
      </c>
      <c r="E210" s="422" t="s">
        <v>369</v>
      </c>
      <c r="F210" s="422" t="s">
        <v>370</v>
      </c>
      <c r="G210" s="422" t="s">
        <v>371</v>
      </c>
      <c r="H210" s="422" t="s">
        <v>372</v>
      </c>
      <c r="I210" s="422" t="s">
        <v>373</v>
      </c>
      <c r="J210" s="422" t="s">
        <v>374</v>
      </c>
      <c r="K210" s="15"/>
      <c r="L210" s="24" t="s">
        <v>369</v>
      </c>
      <c r="M210" s="24" t="s">
        <v>370</v>
      </c>
      <c r="N210" s="24" t="s">
        <v>371</v>
      </c>
      <c r="O210" s="24" t="s">
        <v>372</v>
      </c>
      <c r="P210" s="24" t="s">
        <v>373</v>
      </c>
      <c r="Q210" s="24" t="s">
        <v>374</v>
      </c>
      <c r="R210" s="78"/>
      <c r="S210" s="78"/>
      <c r="T210" s="185"/>
      <c r="U210" s="415" t="s">
        <v>2</v>
      </c>
      <c r="V210" s="415" t="s">
        <v>1</v>
      </c>
      <c r="W210" s="415" t="s">
        <v>3</v>
      </c>
      <c r="X210" s="415" t="s">
        <v>4</v>
      </c>
      <c r="Y210" s="415" t="s">
        <v>63</v>
      </c>
      <c r="Z210" s="415" t="str">
        <f>主頁!$B$15</f>
        <v>請選擇第一選修科</v>
      </c>
      <c r="AA210" s="415" t="str">
        <f>主頁!$B$16</f>
        <v>請選擇第二選修科</v>
      </c>
      <c r="AB210" s="415" t="str">
        <f>主頁!$B$17</f>
        <v>請選擇第三選修科</v>
      </c>
      <c r="AC210" s="415" t="str">
        <f>主頁!$B$18</f>
        <v>請選擇第四選修科</v>
      </c>
      <c r="AD210" s="416" t="str">
        <f>主頁!$B$19</f>
        <v>請選擇語言科目</v>
      </c>
      <c r="AE210" s="417" t="s">
        <v>360</v>
      </c>
      <c r="AF210" s="413" t="s">
        <v>2305</v>
      </c>
      <c r="AG210" s="413" t="s">
        <v>2306</v>
      </c>
      <c r="AH210" s="413" t="s">
        <v>2307</v>
      </c>
      <c r="AI210" s="413"/>
      <c r="AJ210" s="413"/>
      <c r="AK210" s="413"/>
      <c r="AL210" s="413"/>
      <c r="AM210" s="413"/>
    </row>
    <row r="211" spans="1:39">
      <c r="A211" s="2" t="s">
        <v>561</v>
      </c>
      <c r="B211" s="2" t="s">
        <v>563</v>
      </c>
      <c r="C211" s="13" t="s">
        <v>625</v>
      </c>
      <c r="D211" s="78">
        <v>21</v>
      </c>
      <c r="E211" s="419">
        <v>3</v>
      </c>
      <c r="F211" s="419">
        <v>3</v>
      </c>
      <c r="G211" s="419">
        <v>2</v>
      </c>
      <c r="H211" s="419">
        <v>2</v>
      </c>
      <c r="I211" s="419">
        <v>3</v>
      </c>
      <c r="J211" s="419">
        <v>3</v>
      </c>
      <c r="L211" s="411">
        <f t="shared" ref="L211" si="83">IF(E211&gt;U211,0,1)</f>
        <v>0</v>
      </c>
      <c r="M211" s="411">
        <f t="shared" ref="M211" si="84">IF(F211&gt;V211,0,1)</f>
        <v>0</v>
      </c>
      <c r="N211" s="411">
        <f t="shared" ref="N211" si="85">IF(G211&gt;W211,0,1)</f>
        <v>0</v>
      </c>
      <c r="O211" s="411">
        <f t="shared" ref="O211" si="86">IF(H211&gt;X211,0,1)</f>
        <v>0</v>
      </c>
      <c r="P211" s="78">
        <f>IF(計分版!$V$229=0,0,IF(I211&gt;LARGE(Y211:AC211,1),0,1))</f>
        <v>0</v>
      </c>
      <c r="Q211" s="78">
        <f>IF(計分版!$V$229=0,0,IF(J211&gt;LARGE(Y211:AC211,1),0,1))</f>
        <v>0</v>
      </c>
      <c r="S211" s="78">
        <f t="shared" ref="S211:S235" si="87">L211*M211*N211*O211*P211*Q211</f>
        <v>0</v>
      </c>
      <c r="T211" s="185"/>
      <c r="U211" s="411">
        <f>計分版!E$13</f>
        <v>1E-10</v>
      </c>
      <c r="V211" s="411">
        <f>計分版!F$13</f>
        <v>2.0000000000000001E-10</v>
      </c>
      <c r="W211" s="411">
        <f>計分版!G$13</f>
        <v>3E-10</v>
      </c>
      <c r="X211" s="411">
        <f>計分版!H$13</f>
        <v>4.0000000000000001E-10</v>
      </c>
      <c r="Y211" s="411">
        <f>計分版!I$13</f>
        <v>5.0000000000000003E-10</v>
      </c>
      <c r="Z211" s="411">
        <f>計分版!J$13</f>
        <v>6E-10</v>
      </c>
      <c r="AA211" s="411">
        <f>計分版!K$13</f>
        <v>6.9999999999999996E-10</v>
      </c>
      <c r="AB211" s="411">
        <f>計分版!L$13</f>
        <v>8.0000000000000003E-10</v>
      </c>
      <c r="AC211" s="411">
        <f>計分版!M$13</f>
        <v>8.9999999999999999E-10</v>
      </c>
      <c r="AD211" s="411">
        <f>計分版!N$13</f>
        <v>9.5000000000000003E-10</v>
      </c>
      <c r="AF211" s="413" t="s">
        <v>2308</v>
      </c>
    </row>
    <row r="212" spans="1:39">
      <c r="A212" s="2" t="s">
        <v>564</v>
      </c>
      <c r="B212" s="2" t="s">
        <v>565</v>
      </c>
      <c r="C212" s="13" t="s">
        <v>626</v>
      </c>
      <c r="D212" s="78">
        <v>464</v>
      </c>
      <c r="E212" s="419">
        <v>3</v>
      </c>
      <c r="F212" s="419">
        <v>3</v>
      </c>
      <c r="G212" s="419">
        <v>2</v>
      </c>
      <c r="H212" s="419">
        <v>2</v>
      </c>
      <c r="I212" s="419">
        <v>3</v>
      </c>
      <c r="J212" s="419">
        <v>3</v>
      </c>
      <c r="L212" s="411">
        <f t="shared" ref="L212:L235" si="88">IF(E212&gt;U212,0,1)</f>
        <v>0</v>
      </c>
      <c r="M212" s="411">
        <f t="shared" ref="M212:M235" si="89">IF(F212&gt;V212,0,1)</f>
        <v>0</v>
      </c>
      <c r="N212" s="411">
        <f t="shared" ref="N212:N235" si="90">IF(G212&gt;W212,0,1)</f>
        <v>0</v>
      </c>
      <c r="O212" s="411">
        <f t="shared" ref="O212:O235" si="91">IF(H212&gt;X212,0,1)</f>
        <v>0</v>
      </c>
      <c r="P212" s="78">
        <f>IF(計分版!$R$230=0,0,IF(I212&gt;LARGE(Y212:AC212,1),0,1))</f>
        <v>0</v>
      </c>
      <c r="Q212" s="78">
        <f t="shared" ref="Q212:Q221" si="92">IF(J212&gt;LARGE(Y212:AC212,2),0,1)</f>
        <v>0</v>
      </c>
      <c r="S212" s="78">
        <f t="shared" si="87"/>
        <v>0</v>
      </c>
      <c r="T212" s="185"/>
      <c r="U212" s="411">
        <f>計分版!E$13</f>
        <v>1E-10</v>
      </c>
      <c r="V212" s="411">
        <f>計分版!F$13</f>
        <v>2.0000000000000001E-10</v>
      </c>
      <c r="W212" s="411">
        <f>計分版!G$13</f>
        <v>3E-10</v>
      </c>
      <c r="X212" s="411">
        <f>計分版!H$13</f>
        <v>4.0000000000000001E-10</v>
      </c>
      <c r="Y212" s="411">
        <f>計分版!I$13</f>
        <v>5.0000000000000003E-10</v>
      </c>
      <c r="Z212" s="411">
        <f>計分版!J$13</f>
        <v>6E-10</v>
      </c>
      <c r="AA212" s="411">
        <f>計分版!K$13</f>
        <v>6.9999999999999996E-10</v>
      </c>
      <c r="AB212" s="411">
        <f>計分版!L$13</f>
        <v>8.0000000000000003E-10</v>
      </c>
      <c r="AC212" s="411">
        <f>計分版!M$13</f>
        <v>8.9999999999999999E-10</v>
      </c>
      <c r="AD212" s="411">
        <f>計分版!N$13</f>
        <v>9.5000000000000003E-10</v>
      </c>
      <c r="AF212" s="413" t="s">
        <v>2308</v>
      </c>
    </row>
    <row r="213" spans="1:39">
      <c r="A213" s="2" t="s">
        <v>566</v>
      </c>
      <c r="B213" s="2" t="s">
        <v>567</v>
      </c>
      <c r="C213" s="13" t="s">
        <v>626</v>
      </c>
      <c r="D213" s="78">
        <v>464</v>
      </c>
      <c r="E213" s="419">
        <v>3</v>
      </c>
      <c r="F213" s="419">
        <v>3</v>
      </c>
      <c r="G213" s="419">
        <v>2</v>
      </c>
      <c r="H213" s="419">
        <v>2</v>
      </c>
      <c r="I213" s="419">
        <v>3</v>
      </c>
      <c r="J213" s="419">
        <v>3</v>
      </c>
      <c r="L213" s="411">
        <f t="shared" si="88"/>
        <v>0</v>
      </c>
      <c r="M213" s="411">
        <f t="shared" si="89"/>
        <v>0</v>
      </c>
      <c r="N213" s="411">
        <f t="shared" si="90"/>
        <v>0</v>
      </c>
      <c r="O213" s="411">
        <f t="shared" si="91"/>
        <v>0</v>
      </c>
      <c r="P213" s="78">
        <f>IF(計分版!$R$230=0,0,IF(I213&gt;LARGE(Y213:AC213,1),0,1))</f>
        <v>0</v>
      </c>
      <c r="Q213" s="78">
        <f t="shared" si="92"/>
        <v>0</v>
      </c>
      <c r="S213" s="78">
        <f t="shared" si="87"/>
        <v>0</v>
      </c>
      <c r="T213" s="185"/>
      <c r="U213" s="411">
        <f>計分版!E$13</f>
        <v>1E-10</v>
      </c>
      <c r="V213" s="411">
        <f>計分版!F$13</f>
        <v>2.0000000000000001E-10</v>
      </c>
      <c r="W213" s="411">
        <f>計分版!G$13</f>
        <v>3E-10</v>
      </c>
      <c r="X213" s="411">
        <f>計分版!H$13</f>
        <v>4.0000000000000001E-10</v>
      </c>
      <c r="Y213" s="411">
        <f>計分版!I$13</f>
        <v>5.0000000000000003E-10</v>
      </c>
      <c r="Z213" s="411">
        <f>計分版!J$13</f>
        <v>6E-10</v>
      </c>
      <c r="AA213" s="411">
        <f>計分版!K$13</f>
        <v>6.9999999999999996E-10</v>
      </c>
      <c r="AB213" s="411">
        <f>計分版!L$13</f>
        <v>8.0000000000000003E-10</v>
      </c>
      <c r="AC213" s="411">
        <f>計分版!M$13</f>
        <v>8.9999999999999999E-10</v>
      </c>
      <c r="AD213" s="411">
        <f>計分版!N$13</f>
        <v>9.5000000000000003E-10</v>
      </c>
      <c r="AF213" s="413" t="s">
        <v>2308</v>
      </c>
    </row>
    <row r="214" spans="1:39">
      <c r="A214" s="2" t="s">
        <v>1326</v>
      </c>
      <c r="B214" s="2" t="s">
        <v>1325</v>
      </c>
      <c r="C214" s="179" t="s">
        <v>626</v>
      </c>
      <c r="D214" s="123"/>
      <c r="E214" s="419">
        <v>3</v>
      </c>
      <c r="F214" s="419">
        <v>3</v>
      </c>
      <c r="G214" s="419">
        <v>2</v>
      </c>
      <c r="H214" s="419">
        <v>2</v>
      </c>
      <c r="I214" s="419">
        <v>3</v>
      </c>
      <c r="J214" s="419">
        <v>3</v>
      </c>
      <c r="L214" s="411">
        <f t="shared" si="88"/>
        <v>0</v>
      </c>
      <c r="M214" s="411">
        <f t="shared" si="89"/>
        <v>0</v>
      </c>
      <c r="N214" s="411">
        <f t="shared" si="90"/>
        <v>0</v>
      </c>
      <c r="O214" s="411">
        <f t="shared" si="91"/>
        <v>0</v>
      </c>
      <c r="P214" s="123">
        <f>IF(計分版!$R$230=0,0,IF(I214&gt;LARGE(Y214:AC214,1),0,1))</f>
        <v>0</v>
      </c>
      <c r="Q214" s="123">
        <f t="shared" si="92"/>
        <v>0</v>
      </c>
      <c r="S214" s="123">
        <f t="shared" si="87"/>
        <v>0</v>
      </c>
      <c r="T214" s="185"/>
      <c r="U214" s="411">
        <f>計分版!E$13</f>
        <v>1E-10</v>
      </c>
      <c r="V214" s="411">
        <f>計分版!F$13</f>
        <v>2.0000000000000001E-10</v>
      </c>
      <c r="W214" s="411">
        <f>計分版!G$13</f>
        <v>3E-10</v>
      </c>
      <c r="X214" s="411">
        <f>計分版!H$13</f>
        <v>4.0000000000000001E-10</v>
      </c>
      <c r="Y214" s="411">
        <f>計分版!I$13</f>
        <v>5.0000000000000003E-10</v>
      </c>
      <c r="Z214" s="411">
        <f>計分版!J$13</f>
        <v>6E-10</v>
      </c>
      <c r="AA214" s="411">
        <f>計分版!K$13</f>
        <v>6.9999999999999996E-10</v>
      </c>
      <c r="AB214" s="411">
        <f>計分版!L$13</f>
        <v>8.0000000000000003E-10</v>
      </c>
      <c r="AC214" s="411">
        <f>計分版!M$13</f>
        <v>8.9999999999999999E-10</v>
      </c>
      <c r="AD214" s="411">
        <f>計分版!N$13</f>
        <v>9.5000000000000003E-10</v>
      </c>
      <c r="AF214" s="413" t="s">
        <v>2308</v>
      </c>
    </row>
    <row r="215" spans="1:39">
      <c r="A215" s="2" t="s">
        <v>568</v>
      </c>
      <c r="B215" s="2" t="s">
        <v>569</v>
      </c>
      <c r="C215" s="13" t="s">
        <v>626</v>
      </c>
      <c r="D215" s="78">
        <v>674</v>
      </c>
      <c r="E215" s="419">
        <v>3</v>
      </c>
      <c r="F215" s="419">
        <v>3</v>
      </c>
      <c r="G215" s="419">
        <v>2</v>
      </c>
      <c r="H215" s="419">
        <v>2</v>
      </c>
      <c r="I215" s="419">
        <v>3</v>
      </c>
      <c r="J215" s="419">
        <v>3</v>
      </c>
      <c r="L215" s="411">
        <f t="shared" si="88"/>
        <v>0</v>
      </c>
      <c r="M215" s="411">
        <f t="shared" si="89"/>
        <v>0</v>
      </c>
      <c r="N215" s="411">
        <f t="shared" si="90"/>
        <v>0</v>
      </c>
      <c r="O215" s="411">
        <f t="shared" si="91"/>
        <v>0</v>
      </c>
      <c r="P215" s="78">
        <f>IF(AND(計分版!$T$244=0,計分版!$R$230=0),0,IF(I215&gt;LARGE(Y215:AC215,1),0,1))</f>
        <v>0</v>
      </c>
      <c r="Q215" s="78">
        <f t="shared" si="92"/>
        <v>0</v>
      </c>
      <c r="S215" s="123">
        <f t="shared" si="87"/>
        <v>0</v>
      </c>
      <c r="T215" s="185"/>
      <c r="U215" s="411">
        <f>計分版!E$13</f>
        <v>1E-10</v>
      </c>
      <c r="V215" s="411">
        <f>計分版!F$13</f>
        <v>2.0000000000000001E-10</v>
      </c>
      <c r="W215" s="411">
        <f>計分版!G$13</f>
        <v>3E-10</v>
      </c>
      <c r="X215" s="411">
        <f>計分版!H$13</f>
        <v>4.0000000000000001E-10</v>
      </c>
      <c r="Y215" s="411">
        <f>計分版!I$13</f>
        <v>5.0000000000000003E-10</v>
      </c>
      <c r="Z215" s="411">
        <f>計分版!J$13</f>
        <v>6E-10</v>
      </c>
      <c r="AA215" s="411">
        <f>計分版!K$13</f>
        <v>6.9999999999999996E-10</v>
      </c>
      <c r="AB215" s="411">
        <f>計分版!L$13</f>
        <v>8.0000000000000003E-10</v>
      </c>
      <c r="AC215" s="411">
        <f>計分版!M$13</f>
        <v>8.9999999999999999E-10</v>
      </c>
      <c r="AD215" s="411">
        <f>計分版!N$13</f>
        <v>9.5000000000000003E-10</v>
      </c>
      <c r="AF215" s="413" t="s">
        <v>2308</v>
      </c>
    </row>
    <row r="216" spans="1:39">
      <c r="A216" s="2" t="s">
        <v>570</v>
      </c>
      <c r="B216" s="2" t="s">
        <v>571</v>
      </c>
      <c r="C216" s="13" t="s">
        <v>626</v>
      </c>
      <c r="D216" s="78">
        <v>25</v>
      </c>
      <c r="E216" s="419">
        <v>3</v>
      </c>
      <c r="F216" s="419">
        <v>3</v>
      </c>
      <c r="G216" s="419">
        <v>2</v>
      </c>
      <c r="H216" s="419">
        <v>2</v>
      </c>
      <c r="I216" s="419">
        <v>3</v>
      </c>
      <c r="J216" s="419">
        <v>3</v>
      </c>
      <c r="L216" s="411">
        <f t="shared" si="88"/>
        <v>0</v>
      </c>
      <c r="M216" s="411">
        <f t="shared" si="89"/>
        <v>0</v>
      </c>
      <c r="N216" s="411">
        <f t="shared" si="90"/>
        <v>0</v>
      </c>
      <c r="O216" s="411">
        <f t="shared" si="91"/>
        <v>0</v>
      </c>
      <c r="P216" s="78">
        <f>IF(AND(計分版!$T$244=0,計分版!$R$230=0),0,IF(I216&gt;LARGE(Y216:AC216,1),0,1))</f>
        <v>0</v>
      </c>
      <c r="Q216" s="78">
        <f t="shared" si="92"/>
        <v>0</v>
      </c>
      <c r="S216" s="401">
        <f>IF(L216*M216*N216*O216*P216*Q216=0,0,2)</f>
        <v>0</v>
      </c>
      <c r="T216" s="185"/>
      <c r="U216" s="411">
        <f>計分版!E$13</f>
        <v>1E-10</v>
      </c>
      <c r="V216" s="411">
        <f>計分版!F$13</f>
        <v>2.0000000000000001E-10</v>
      </c>
      <c r="W216" s="411">
        <f>計分版!G$13</f>
        <v>3E-10</v>
      </c>
      <c r="X216" s="411">
        <f>計分版!H$13</f>
        <v>4.0000000000000001E-10</v>
      </c>
      <c r="Y216" s="411">
        <f>計分版!I$13</f>
        <v>5.0000000000000003E-10</v>
      </c>
      <c r="Z216" s="411">
        <f>計分版!J$13</f>
        <v>6E-10</v>
      </c>
      <c r="AA216" s="411">
        <f>計分版!K$13</f>
        <v>6.9999999999999996E-10</v>
      </c>
      <c r="AB216" s="411">
        <f>計分版!L$13</f>
        <v>8.0000000000000003E-10</v>
      </c>
      <c r="AC216" s="411">
        <f>計分版!M$13</f>
        <v>8.9999999999999999E-10</v>
      </c>
      <c r="AD216" s="411">
        <f>計分版!N$13</f>
        <v>9.5000000000000003E-10</v>
      </c>
      <c r="AF216" s="413" t="s">
        <v>2308</v>
      </c>
    </row>
    <row r="217" spans="1:39">
      <c r="A217" s="2" t="s">
        <v>1327</v>
      </c>
      <c r="B217" s="2" t="s">
        <v>1328</v>
      </c>
      <c r="C217" s="179" t="s">
        <v>626</v>
      </c>
      <c r="D217" s="123"/>
      <c r="E217" s="419">
        <v>3</v>
      </c>
      <c r="F217" s="419">
        <v>3</v>
      </c>
      <c r="G217" s="419">
        <v>2</v>
      </c>
      <c r="H217" s="419">
        <v>2</v>
      </c>
      <c r="I217" s="419">
        <v>3</v>
      </c>
      <c r="J217" s="419">
        <v>3</v>
      </c>
      <c r="L217" s="411">
        <f t="shared" si="88"/>
        <v>0</v>
      </c>
      <c r="M217" s="411">
        <f t="shared" si="89"/>
        <v>0</v>
      </c>
      <c r="N217" s="411">
        <f t="shared" si="90"/>
        <v>0</v>
      </c>
      <c r="O217" s="411">
        <f t="shared" si="91"/>
        <v>0</v>
      </c>
      <c r="P217" s="123">
        <f>IF(AND(計分版!$T$244=0,計分版!$R$230=0),0,IF(I217&gt;LARGE(Y217:AC217,1),0,1))</f>
        <v>0</v>
      </c>
      <c r="Q217" s="123">
        <f t="shared" si="92"/>
        <v>0</v>
      </c>
      <c r="S217" s="123">
        <f t="shared" si="87"/>
        <v>0</v>
      </c>
      <c r="T217" s="185"/>
      <c r="U217" s="411">
        <f>計分版!E$13</f>
        <v>1E-10</v>
      </c>
      <c r="V217" s="411">
        <f>計分版!F$13</f>
        <v>2.0000000000000001E-10</v>
      </c>
      <c r="W217" s="411">
        <f>計分版!G$13</f>
        <v>3E-10</v>
      </c>
      <c r="X217" s="411">
        <f>計分版!H$13</f>
        <v>4.0000000000000001E-10</v>
      </c>
      <c r="Y217" s="411">
        <f>計分版!I$13</f>
        <v>5.0000000000000003E-10</v>
      </c>
      <c r="Z217" s="411">
        <f>計分版!J$13</f>
        <v>6E-10</v>
      </c>
      <c r="AA217" s="411">
        <f>計分版!K$13</f>
        <v>6.9999999999999996E-10</v>
      </c>
      <c r="AB217" s="411">
        <f>計分版!L$13</f>
        <v>8.0000000000000003E-10</v>
      </c>
      <c r="AC217" s="411">
        <f>計分版!M$13</f>
        <v>8.9999999999999999E-10</v>
      </c>
      <c r="AD217" s="411">
        <f>計分版!N$13</f>
        <v>9.5000000000000003E-10</v>
      </c>
      <c r="AF217" s="413" t="s">
        <v>2308</v>
      </c>
    </row>
    <row r="218" spans="1:39">
      <c r="A218" s="2" t="s">
        <v>572</v>
      </c>
      <c r="B218" s="2" t="s">
        <v>574</v>
      </c>
      <c r="C218" s="13" t="s">
        <v>627</v>
      </c>
      <c r="D218" s="78">
        <v>385</v>
      </c>
      <c r="E218" s="419">
        <v>3</v>
      </c>
      <c r="F218" s="419">
        <v>4</v>
      </c>
      <c r="G218" s="419">
        <v>3</v>
      </c>
      <c r="H218" s="419">
        <v>2</v>
      </c>
      <c r="I218" s="419">
        <v>3</v>
      </c>
      <c r="J218" s="419">
        <v>3</v>
      </c>
      <c r="L218" s="411">
        <f t="shared" si="88"/>
        <v>0</v>
      </c>
      <c r="M218" s="411">
        <f t="shared" si="89"/>
        <v>0</v>
      </c>
      <c r="N218" s="411">
        <f t="shared" si="90"/>
        <v>0</v>
      </c>
      <c r="O218" s="411">
        <f t="shared" si="91"/>
        <v>0</v>
      </c>
      <c r="P218" s="78">
        <f t="shared" ref="P218:P230" si="93">IF(I218&gt;LARGE(Y218:AC218,1),0,1)</f>
        <v>0</v>
      </c>
      <c r="Q218" s="78">
        <f t="shared" si="92"/>
        <v>0</v>
      </c>
      <c r="S218" s="78">
        <f t="shared" si="87"/>
        <v>0</v>
      </c>
      <c r="T218" s="185"/>
      <c r="U218" s="411">
        <f>計分版!E$13</f>
        <v>1E-10</v>
      </c>
      <c r="V218" s="411">
        <f>計分版!F$13</f>
        <v>2.0000000000000001E-10</v>
      </c>
      <c r="W218" s="411">
        <f>計分版!G$13</f>
        <v>3E-10</v>
      </c>
      <c r="X218" s="411">
        <f>計分版!H$13</f>
        <v>4.0000000000000001E-10</v>
      </c>
      <c r="Y218" s="411">
        <f>計分版!I$13</f>
        <v>5.0000000000000003E-10</v>
      </c>
      <c r="Z218" s="411">
        <f>計分版!J$13</f>
        <v>6E-10</v>
      </c>
      <c r="AA218" s="411">
        <f>計分版!K$13</f>
        <v>6.9999999999999996E-10</v>
      </c>
      <c r="AB218" s="411">
        <f>計分版!L$13</f>
        <v>8.0000000000000003E-10</v>
      </c>
      <c r="AC218" s="411">
        <f>計分版!M$13</f>
        <v>8.9999999999999999E-10</v>
      </c>
      <c r="AD218" s="411">
        <f>計分版!N$13</f>
        <v>9.5000000000000003E-10</v>
      </c>
      <c r="AF218" s="413" t="s">
        <v>2308</v>
      </c>
    </row>
    <row r="219" spans="1:39">
      <c r="A219" s="2" t="s">
        <v>575</v>
      </c>
      <c r="B219" s="2" t="s">
        <v>577</v>
      </c>
      <c r="C219" s="13" t="s">
        <v>627</v>
      </c>
      <c r="D219" s="78">
        <v>25</v>
      </c>
      <c r="E219" s="419">
        <v>3</v>
      </c>
      <c r="F219" s="419">
        <v>4</v>
      </c>
      <c r="G219" s="419">
        <v>3</v>
      </c>
      <c r="H219" s="419">
        <v>2</v>
      </c>
      <c r="I219" s="419">
        <v>3</v>
      </c>
      <c r="J219" s="419">
        <v>3</v>
      </c>
      <c r="L219" s="411">
        <f t="shared" si="88"/>
        <v>0</v>
      </c>
      <c r="M219" s="411">
        <f t="shared" si="89"/>
        <v>0</v>
      </c>
      <c r="N219" s="411">
        <f t="shared" si="90"/>
        <v>0</v>
      </c>
      <c r="O219" s="411">
        <f t="shared" si="91"/>
        <v>0</v>
      </c>
      <c r="P219" s="78">
        <f t="shared" si="93"/>
        <v>0</v>
      </c>
      <c r="Q219" s="78">
        <f t="shared" si="92"/>
        <v>0</v>
      </c>
      <c r="S219" s="78">
        <f t="shared" si="87"/>
        <v>0</v>
      </c>
      <c r="T219" s="185"/>
      <c r="U219" s="411">
        <f>計分版!E$13</f>
        <v>1E-10</v>
      </c>
      <c r="V219" s="411">
        <f>計分版!F$13</f>
        <v>2.0000000000000001E-10</v>
      </c>
      <c r="W219" s="411">
        <f>計分版!G$13</f>
        <v>3E-10</v>
      </c>
      <c r="X219" s="411">
        <f>計分版!H$13</f>
        <v>4.0000000000000001E-10</v>
      </c>
      <c r="Y219" s="411">
        <f>計分版!I$13</f>
        <v>5.0000000000000003E-10</v>
      </c>
      <c r="Z219" s="411">
        <f>計分版!J$13</f>
        <v>6E-10</v>
      </c>
      <c r="AA219" s="411">
        <f>計分版!K$13</f>
        <v>6.9999999999999996E-10</v>
      </c>
      <c r="AB219" s="411">
        <f>計分版!L$13</f>
        <v>8.0000000000000003E-10</v>
      </c>
      <c r="AC219" s="411">
        <f>計分版!M$13</f>
        <v>8.9999999999999999E-10</v>
      </c>
      <c r="AD219" s="411">
        <f>計分版!N$13</f>
        <v>9.5000000000000003E-10</v>
      </c>
      <c r="AF219" s="413" t="s">
        <v>2308</v>
      </c>
    </row>
    <row r="220" spans="1:39">
      <c r="A220" s="2" t="s">
        <v>578</v>
      </c>
      <c r="B220" s="2" t="s">
        <v>580</v>
      </c>
      <c r="C220" s="13" t="s">
        <v>781</v>
      </c>
      <c r="D220" s="78">
        <v>30</v>
      </c>
      <c r="E220" s="419">
        <v>3</v>
      </c>
      <c r="F220" s="419">
        <v>4</v>
      </c>
      <c r="G220" s="419">
        <v>3</v>
      </c>
      <c r="H220" s="419">
        <v>2</v>
      </c>
      <c r="I220" s="419">
        <v>3</v>
      </c>
      <c r="J220" s="419">
        <v>3</v>
      </c>
      <c r="L220" s="411">
        <f t="shared" si="88"/>
        <v>0</v>
      </c>
      <c r="M220" s="411">
        <f t="shared" si="89"/>
        <v>0</v>
      </c>
      <c r="N220" s="411">
        <f t="shared" si="90"/>
        <v>0</v>
      </c>
      <c r="O220" s="411">
        <f t="shared" si="91"/>
        <v>0</v>
      </c>
      <c r="P220" s="78">
        <f t="shared" si="93"/>
        <v>0</v>
      </c>
      <c r="Q220" s="78">
        <f t="shared" si="92"/>
        <v>0</v>
      </c>
      <c r="S220" s="78">
        <f t="shared" si="87"/>
        <v>0</v>
      </c>
      <c r="T220" s="185"/>
      <c r="U220" s="411">
        <f>計分版!E$13</f>
        <v>1E-10</v>
      </c>
      <c r="V220" s="411">
        <f>計分版!F$13</f>
        <v>2.0000000000000001E-10</v>
      </c>
      <c r="W220" s="411">
        <f>計分版!G$13</f>
        <v>3E-10</v>
      </c>
      <c r="X220" s="411">
        <f>計分版!H$13</f>
        <v>4.0000000000000001E-10</v>
      </c>
      <c r="Y220" s="411">
        <f>計分版!I$13</f>
        <v>5.0000000000000003E-10</v>
      </c>
      <c r="Z220" s="411">
        <f>計分版!J$13</f>
        <v>6E-10</v>
      </c>
      <c r="AA220" s="411">
        <f>計分版!K$13</f>
        <v>6.9999999999999996E-10</v>
      </c>
      <c r="AB220" s="411">
        <f>計分版!L$13</f>
        <v>8.0000000000000003E-10</v>
      </c>
      <c r="AC220" s="411">
        <f>計分版!M$13</f>
        <v>8.9999999999999999E-10</v>
      </c>
      <c r="AD220" s="411">
        <f>計分版!N$13</f>
        <v>9.5000000000000003E-10</v>
      </c>
      <c r="AF220" s="413" t="s">
        <v>2308</v>
      </c>
    </row>
    <row r="221" spans="1:39">
      <c r="A221" s="2" t="s">
        <v>581</v>
      </c>
      <c r="B221" s="2" t="s">
        <v>583</v>
      </c>
      <c r="C221" s="13" t="s">
        <v>627</v>
      </c>
      <c r="D221" s="78">
        <v>26</v>
      </c>
      <c r="E221" s="419">
        <v>3</v>
      </c>
      <c r="F221" s="419">
        <v>4</v>
      </c>
      <c r="G221" s="419">
        <v>3</v>
      </c>
      <c r="H221" s="419">
        <v>2</v>
      </c>
      <c r="I221" s="419">
        <v>3</v>
      </c>
      <c r="J221" s="419">
        <v>3</v>
      </c>
      <c r="L221" s="411">
        <f t="shared" si="88"/>
        <v>0</v>
      </c>
      <c r="M221" s="411">
        <f t="shared" si="89"/>
        <v>0</v>
      </c>
      <c r="N221" s="411">
        <f t="shared" si="90"/>
        <v>0</v>
      </c>
      <c r="O221" s="411">
        <f t="shared" si="91"/>
        <v>0</v>
      </c>
      <c r="P221" s="78">
        <f t="shared" si="93"/>
        <v>0</v>
      </c>
      <c r="Q221" s="78">
        <f t="shared" si="92"/>
        <v>0</v>
      </c>
      <c r="S221" s="78">
        <f t="shared" si="87"/>
        <v>0</v>
      </c>
      <c r="T221" s="185"/>
      <c r="U221" s="411">
        <f>計分版!E$13</f>
        <v>1E-10</v>
      </c>
      <c r="V221" s="411">
        <f>計分版!F$13</f>
        <v>2.0000000000000001E-10</v>
      </c>
      <c r="W221" s="411">
        <f>計分版!G$13</f>
        <v>3E-10</v>
      </c>
      <c r="X221" s="411">
        <f>計分版!H$13</f>
        <v>4.0000000000000001E-10</v>
      </c>
      <c r="Y221" s="411">
        <f>計分版!I$13</f>
        <v>5.0000000000000003E-10</v>
      </c>
      <c r="Z221" s="411">
        <f>計分版!J$13</f>
        <v>6E-10</v>
      </c>
      <c r="AA221" s="411">
        <f>計分版!K$13</f>
        <v>6.9999999999999996E-10</v>
      </c>
      <c r="AB221" s="411">
        <f>計分版!L$13</f>
        <v>8.0000000000000003E-10</v>
      </c>
      <c r="AC221" s="411">
        <f>計分版!M$13</f>
        <v>8.9999999999999999E-10</v>
      </c>
      <c r="AD221" s="411">
        <f>計分版!N$13</f>
        <v>9.5000000000000003E-10</v>
      </c>
      <c r="AF221" s="413" t="s">
        <v>2308</v>
      </c>
    </row>
    <row r="222" spans="1:39">
      <c r="A222" s="2" t="s">
        <v>584</v>
      </c>
      <c r="B222" s="2" t="s">
        <v>586</v>
      </c>
      <c r="C222" s="13" t="s">
        <v>627</v>
      </c>
      <c r="D222" s="78">
        <v>25</v>
      </c>
      <c r="E222" s="419">
        <v>3</v>
      </c>
      <c r="F222" s="419">
        <v>4</v>
      </c>
      <c r="G222" s="419">
        <v>3</v>
      </c>
      <c r="H222" s="419">
        <v>2</v>
      </c>
      <c r="I222" s="419">
        <v>3</v>
      </c>
      <c r="J222" s="419">
        <v>3</v>
      </c>
      <c r="L222" s="411">
        <f t="shared" si="88"/>
        <v>0</v>
      </c>
      <c r="M222" s="411">
        <f t="shared" si="89"/>
        <v>0</v>
      </c>
      <c r="N222" s="411">
        <f t="shared" si="90"/>
        <v>0</v>
      </c>
      <c r="O222" s="411">
        <f t="shared" si="91"/>
        <v>0</v>
      </c>
      <c r="P222" s="78">
        <f t="shared" si="93"/>
        <v>0</v>
      </c>
      <c r="Q222" s="413">
        <f t="shared" ref="Q222:Q235" si="94">IF(J222&gt;LARGE(Y222:AC222,2),0,1)</f>
        <v>0</v>
      </c>
      <c r="S222" s="78">
        <f t="shared" si="87"/>
        <v>0</v>
      </c>
      <c r="T222" s="185"/>
      <c r="U222" s="411">
        <f>計分版!E$13</f>
        <v>1E-10</v>
      </c>
      <c r="V222" s="411">
        <f>計分版!F$13</f>
        <v>2.0000000000000001E-10</v>
      </c>
      <c r="W222" s="411">
        <f>計分版!G$13</f>
        <v>3E-10</v>
      </c>
      <c r="X222" s="411">
        <f>計分版!H$13</f>
        <v>4.0000000000000001E-10</v>
      </c>
      <c r="Y222" s="411">
        <f>計分版!I$13</f>
        <v>5.0000000000000003E-10</v>
      </c>
      <c r="Z222" s="411">
        <f>計分版!J$13</f>
        <v>6E-10</v>
      </c>
      <c r="AA222" s="411">
        <f>計分版!K$13</f>
        <v>6.9999999999999996E-10</v>
      </c>
      <c r="AB222" s="411">
        <f>計分版!L$13</f>
        <v>8.0000000000000003E-10</v>
      </c>
      <c r="AC222" s="411">
        <f>計分版!M$13</f>
        <v>8.9999999999999999E-10</v>
      </c>
      <c r="AD222" s="411">
        <f>計分版!N$13</f>
        <v>9.5000000000000003E-10</v>
      </c>
      <c r="AF222" s="413" t="s">
        <v>2308</v>
      </c>
    </row>
    <row r="223" spans="1:39">
      <c r="A223" s="2" t="s">
        <v>587</v>
      </c>
      <c r="B223" s="2" t="s">
        <v>589</v>
      </c>
      <c r="C223" s="13" t="s">
        <v>627</v>
      </c>
      <c r="D223" s="78">
        <v>25</v>
      </c>
      <c r="E223" s="419">
        <v>3</v>
      </c>
      <c r="F223" s="419">
        <v>4</v>
      </c>
      <c r="G223" s="419">
        <v>3</v>
      </c>
      <c r="H223" s="419">
        <v>2</v>
      </c>
      <c r="I223" s="419">
        <v>3</v>
      </c>
      <c r="J223" s="419">
        <v>3</v>
      </c>
      <c r="L223" s="411">
        <f t="shared" si="88"/>
        <v>0</v>
      </c>
      <c r="M223" s="411">
        <f t="shared" si="89"/>
        <v>0</v>
      </c>
      <c r="N223" s="411">
        <f t="shared" si="90"/>
        <v>0</v>
      </c>
      <c r="O223" s="411">
        <f t="shared" si="91"/>
        <v>0</v>
      </c>
      <c r="P223" s="78">
        <f t="shared" si="93"/>
        <v>0</v>
      </c>
      <c r="Q223" s="413">
        <f t="shared" si="94"/>
        <v>0</v>
      </c>
      <c r="S223" s="78">
        <f t="shared" si="87"/>
        <v>0</v>
      </c>
      <c r="T223" s="185"/>
      <c r="U223" s="411">
        <f>計分版!E$13</f>
        <v>1E-10</v>
      </c>
      <c r="V223" s="411">
        <f>計分版!F$13</f>
        <v>2.0000000000000001E-10</v>
      </c>
      <c r="W223" s="411">
        <f>計分版!G$13</f>
        <v>3E-10</v>
      </c>
      <c r="X223" s="411">
        <f>計分版!H$13</f>
        <v>4.0000000000000001E-10</v>
      </c>
      <c r="Y223" s="411">
        <f>計分版!I$13</f>
        <v>5.0000000000000003E-10</v>
      </c>
      <c r="Z223" s="411">
        <f>計分版!J$13</f>
        <v>6E-10</v>
      </c>
      <c r="AA223" s="411">
        <f>計分版!K$13</f>
        <v>6.9999999999999996E-10</v>
      </c>
      <c r="AB223" s="411">
        <f>計分版!L$13</f>
        <v>8.0000000000000003E-10</v>
      </c>
      <c r="AC223" s="411">
        <f>計分版!M$13</f>
        <v>8.9999999999999999E-10</v>
      </c>
      <c r="AD223" s="411">
        <f>計分版!N$13</f>
        <v>9.5000000000000003E-10</v>
      </c>
      <c r="AF223" s="413" t="s">
        <v>2308</v>
      </c>
    </row>
    <row r="224" spans="1:39">
      <c r="A224" s="2" t="s">
        <v>590</v>
      </c>
      <c r="B224" s="2" t="s">
        <v>592</v>
      </c>
      <c r="C224" s="13" t="s">
        <v>627</v>
      </c>
      <c r="D224" s="78">
        <v>25</v>
      </c>
      <c r="E224" s="419">
        <v>3</v>
      </c>
      <c r="F224" s="419">
        <v>4</v>
      </c>
      <c r="G224" s="419">
        <v>3</v>
      </c>
      <c r="H224" s="419">
        <v>2</v>
      </c>
      <c r="I224" s="419">
        <v>3</v>
      </c>
      <c r="J224" s="419">
        <v>3</v>
      </c>
      <c r="L224" s="411">
        <f t="shared" si="88"/>
        <v>0</v>
      </c>
      <c r="M224" s="411">
        <f t="shared" si="89"/>
        <v>0</v>
      </c>
      <c r="N224" s="411">
        <f t="shared" si="90"/>
        <v>0</v>
      </c>
      <c r="O224" s="411">
        <f t="shared" si="91"/>
        <v>0</v>
      </c>
      <c r="P224" s="78">
        <f t="shared" si="93"/>
        <v>0</v>
      </c>
      <c r="Q224" s="413">
        <f t="shared" si="94"/>
        <v>0</v>
      </c>
      <c r="S224" s="78">
        <f t="shared" si="87"/>
        <v>0</v>
      </c>
      <c r="U224" s="411">
        <f>計分版!E$13</f>
        <v>1E-10</v>
      </c>
      <c r="V224" s="411">
        <f>計分版!F$13</f>
        <v>2.0000000000000001E-10</v>
      </c>
      <c r="W224" s="411">
        <f>計分版!G$13</f>
        <v>3E-10</v>
      </c>
      <c r="X224" s="411">
        <f>計分版!H$13</f>
        <v>4.0000000000000001E-10</v>
      </c>
      <c r="Y224" s="411">
        <f>計分版!I$13</f>
        <v>5.0000000000000003E-10</v>
      </c>
      <c r="Z224" s="411">
        <f>計分版!J$13</f>
        <v>6E-10</v>
      </c>
      <c r="AA224" s="411">
        <f>計分版!K$13</f>
        <v>6.9999999999999996E-10</v>
      </c>
      <c r="AB224" s="411">
        <f>計分版!L$13</f>
        <v>8.0000000000000003E-10</v>
      </c>
      <c r="AC224" s="411">
        <f>計分版!M$13</f>
        <v>8.9999999999999999E-10</v>
      </c>
      <c r="AD224" s="411">
        <f>計分版!N$13</f>
        <v>9.5000000000000003E-10</v>
      </c>
      <c r="AF224" s="413" t="s">
        <v>2308</v>
      </c>
    </row>
    <row r="225" spans="1:34">
      <c r="A225" s="2" t="s">
        <v>593</v>
      </c>
      <c r="B225" s="2" t="s">
        <v>595</v>
      </c>
      <c r="C225" s="13" t="s">
        <v>627</v>
      </c>
      <c r="D225" s="78">
        <v>25</v>
      </c>
      <c r="E225" s="419">
        <v>3</v>
      </c>
      <c r="F225" s="419">
        <v>4</v>
      </c>
      <c r="G225" s="419">
        <v>3</v>
      </c>
      <c r="H225" s="419">
        <v>2</v>
      </c>
      <c r="I225" s="419">
        <v>3</v>
      </c>
      <c r="J225" s="419">
        <v>3</v>
      </c>
      <c r="L225" s="411">
        <f t="shared" si="88"/>
        <v>0</v>
      </c>
      <c r="M225" s="411">
        <f t="shared" si="89"/>
        <v>0</v>
      </c>
      <c r="N225" s="411">
        <f t="shared" si="90"/>
        <v>0</v>
      </c>
      <c r="O225" s="411">
        <f t="shared" si="91"/>
        <v>0</v>
      </c>
      <c r="P225" s="78">
        <f t="shared" si="93"/>
        <v>0</v>
      </c>
      <c r="Q225" s="413">
        <f t="shared" si="94"/>
        <v>0</v>
      </c>
      <c r="S225" s="78">
        <f t="shared" si="87"/>
        <v>0</v>
      </c>
      <c r="U225" s="411">
        <f>計分版!E$13</f>
        <v>1E-10</v>
      </c>
      <c r="V225" s="411">
        <f>計分版!F$13</f>
        <v>2.0000000000000001E-10</v>
      </c>
      <c r="W225" s="411">
        <f>計分版!G$13</f>
        <v>3E-10</v>
      </c>
      <c r="X225" s="411">
        <f>計分版!H$13</f>
        <v>4.0000000000000001E-10</v>
      </c>
      <c r="Y225" s="411">
        <f>計分版!I$13</f>
        <v>5.0000000000000003E-10</v>
      </c>
      <c r="Z225" s="411">
        <f>計分版!J$13</f>
        <v>6E-10</v>
      </c>
      <c r="AA225" s="411">
        <f>計分版!K$13</f>
        <v>6.9999999999999996E-10</v>
      </c>
      <c r="AB225" s="411">
        <f>計分版!L$13</f>
        <v>8.0000000000000003E-10</v>
      </c>
      <c r="AC225" s="411">
        <f>計分版!M$13</f>
        <v>8.9999999999999999E-10</v>
      </c>
      <c r="AD225" s="411">
        <f>計分版!N$13</f>
        <v>9.5000000000000003E-10</v>
      </c>
      <c r="AF225" s="413" t="s">
        <v>2308</v>
      </c>
    </row>
    <row r="226" spans="1:34">
      <c r="A226" s="2" t="s">
        <v>596</v>
      </c>
      <c r="B226" s="2" t="s">
        <v>598</v>
      </c>
      <c r="C226" s="13" t="s">
        <v>627</v>
      </c>
      <c r="D226" s="78">
        <v>60</v>
      </c>
      <c r="E226" s="419">
        <v>3</v>
      </c>
      <c r="F226" s="419">
        <v>4</v>
      </c>
      <c r="G226" s="419">
        <v>3</v>
      </c>
      <c r="H226" s="419">
        <v>2</v>
      </c>
      <c r="I226" s="419">
        <v>3</v>
      </c>
      <c r="J226" s="419">
        <v>3</v>
      </c>
      <c r="L226" s="411">
        <f t="shared" si="88"/>
        <v>0</v>
      </c>
      <c r="M226" s="411">
        <f t="shared" si="89"/>
        <v>0</v>
      </c>
      <c r="N226" s="411">
        <f t="shared" si="90"/>
        <v>0</v>
      </c>
      <c r="O226" s="411">
        <f t="shared" si="91"/>
        <v>0</v>
      </c>
      <c r="P226" s="78">
        <f t="shared" si="93"/>
        <v>0</v>
      </c>
      <c r="Q226" s="413">
        <f t="shared" si="94"/>
        <v>0</v>
      </c>
      <c r="S226" s="78">
        <f t="shared" si="87"/>
        <v>0</v>
      </c>
      <c r="U226" s="411">
        <f>計分版!E$13</f>
        <v>1E-10</v>
      </c>
      <c r="V226" s="411">
        <f>計分版!F$13</f>
        <v>2.0000000000000001E-10</v>
      </c>
      <c r="W226" s="411">
        <f>計分版!G$13</f>
        <v>3E-10</v>
      </c>
      <c r="X226" s="411">
        <f>計分版!H$13</f>
        <v>4.0000000000000001E-10</v>
      </c>
      <c r="Y226" s="411">
        <f>計分版!I$13</f>
        <v>5.0000000000000003E-10</v>
      </c>
      <c r="Z226" s="411">
        <f>計分版!J$13</f>
        <v>6E-10</v>
      </c>
      <c r="AA226" s="411">
        <f>計分版!K$13</f>
        <v>6.9999999999999996E-10</v>
      </c>
      <c r="AB226" s="411">
        <f>計分版!L$13</f>
        <v>8.0000000000000003E-10</v>
      </c>
      <c r="AC226" s="411">
        <f>計分版!M$13</f>
        <v>8.9999999999999999E-10</v>
      </c>
      <c r="AD226" s="411">
        <f>計分版!N$13</f>
        <v>9.5000000000000003E-10</v>
      </c>
      <c r="AF226" s="413" t="s">
        <v>2308</v>
      </c>
    </row>
    <row r="227" spans="1:34">
      <c r="A227" s="2" t="s">
        <v>599</v>
      </c>
      <c r="B227" s="2" t="s">
        <v>601</v>
      </c>
      <c r="C227" s="13" t="s">
        <v>781</v>
      </c>
      <c r="D227" s="78">
        <v>26</v>
      </c>
      <c r="E227" s="419">
        <v>3</v>
      </c>
      <c r="F227" s="419">
        <v>4</v>
      </c>
      <c r="G227" s="419">
        <v>3</v>
      </c>
      <c r="H227" s="419">
        <v>2</v>
      </c>
      <c r="I227" s="419">
        <v>3</v>
      </c>
      <c r="J227" s="419">
        <v>3</v>
      </c>
      <c r="L227" s="411">
        <f t="shared" si="88"/>
        <v>0</v>
      </c>
      <c r="M227" s="411">
        <f t="shared" si="89"/>
        <v>0</v>
      </c>
      <c r="N227" s="411">
        <f t="shared" si="90"/>
        <v>0</v>
      </c>
      <c r="O227" s="411">
        <f t="shared" si="91"/>
        <v>0</v>
      </c>
      <c r="P227" s="78">
        <f t="shared" si="93"/>
        <v>0</v>
      </c>
      <c r="Q227" s="413">
        <f t="shared" si="94"/>
        <v>0</v>
      </c>
      <c r="S227" s="78">
        <f t="shared" si="87"/>
        <v>0</v>
      </c>
      <c r="U227" s="411">
        <f>計分版!E$13</f>
        <v>1E-10</v>
      </c>
      <c r="V227" s="411">
        <f>計分版!F$13</f>
        <v>2.0000000000000001E-10</v>
      </c>
      <c r="W227" s="411">
        <f>計分版!G$13</f>
        <v>3E-10</v>
      </c>
      <c r="X227" s="411">
        <f>計分版!H$13</f>
        <v>4.0000000000000001E-10</v>
      </c>
      <c r="Y227" s="411">
        <f>計分版!I$13</f>
        <v>5.0000000000000003E-10</v>
      </c>
      <c r="Z227" s="411">
        <f>計分版!J$13</f>
        <v>6E-10</v>
      </c>
      <c r="AA227" s="411">
        <f>計分版!K$13</f>
        <v>6.9999999999999996E-10</v>
      </c>
      <c r="AB227" s="411">
        <f>計分版!L$13</f>
        <v>8.0000000000000003E-10</v>
      </c>
      <c r="AC227" s="411">
        <f>計分版!M$13</f>
        <v>8.9999999999999999E-10</v>
      </c>
      <c r="AD227" s="411">
        <f>計分版!N$13</f>
        <v>9.5000000000000003E-10</v>
      </c>
      <c r="AF227" s="413" t="s">
        <v>2308</v>
      </c>
    </row>
    <row r="228" spans="1:34">
      <c r="A228" s="2" t="s">
        <v>602</v>
      </c>
      <c r="B228" s="2" t="s">
        <v>604</v>
      </c>
      <c r="C228" s="13" t="s">
        <v>781</v>
      </c>
      <c r="D228" s="78">
        <v>20</v>
      </c>
      <c r="E228" s="419">
        <v>3</v>
      </c>
      <c r="F228" s="419">
        <v>4</v>
      </c>
      <c r="G228" s="419">
        <v>3</v>
      </c>
      <c r="H228" s="419">
        <v>2</v>
      </c>
      <c r="I228" s="419">
        <v>3</v>
      </c>
      <c r="J228" s="419">
        <v>3</v>
      </c>
      <c r="L228" s="411">
        <f t="shared" si="88"/>
        <v>0</v>
      </c>
      <c r="M228" s="411">
        <f t="shared" si="89"/>
        <v>0</v>
      </c>
      <c r="N228" s="411">
        <f t="shared" si="90"/>
        <v>0</v>
      </c>
      <c r="O228" s="411">
        <f t="shared" si="91"/>
        <v>0</v>
      </c>
      <c r="P228" s="78">
        <f t="shared" si="93"/>
        <v>0</v>
      </c>
      <c r="Q228" s="413">
        <f t="shared" si="94"/>
        <v>0</v>
      </c>
      <c r="S228" s="78">
        <f t="shared" si="87"/>
        <v>0</v>
      </c>
      <c r="U228" s="411">
        <f>計分版!E$13</f>
        <v>1E-10</v>
      </c>
      <c r="V228" s="411">
        <f>計分版!F$13</f>
        <v>2.0000000000000001E-10</v>
      </c>
      <c r="W228" s="411">
        <f>計分版!G$13</f>
        <v>3E-10</v>
      </c>
      <c r="X228" s="411">
        <f>計分版!H$13</f>
        <v>4.0000000000000001E-10</v>
      </c>
      <c r="Y228" s="411">
        <f>計分版!I$13</f>
        <v>5.0000000000000003E-10</v>
      </c>
      <c r="Z228" s="411">
        <f>計分版!J$13</f>
        <v>6E-10</v>
      </c>
      <c r="AA228" s="411">
        <f>計分版!K$13</f>
        <v>6.9999999999999996E-10</v>
      </c>
      <c r="AB228" s="411">
        <f>計分版!L$13</f>
        <v>8.0000000000000003E-10</v>
      </c>
      <c r="AC228" s="411">
        <f>計分版!M$13</f>
        <v>8.9999999999999999E-10</v>
      </c>
      <c r="AD228" s="411">
        <f>計分版!N$13</f>
        <v>9.5000000000000003E-10</v>
      </c>
      <c r="AF228" s="413" t="s">
        <v>2308</v>
      </c>
    </row>
    <row r="229" spans="1:34">
      <c r="A229" s="2" t="s">
        <v>605</v>
      </c>
      <c r="B229" s="2" t="s">
        <v>607</v>
      </c>
      <c r="C229" s="13" t="s">
        <v>628</v>
      </c>
      <c r="D229" s="78">
        <v>50</v>
      </c>
      <c r="E229" s="419">
        <v>3</v>
      </c>
      <c r="F229" s="419">
        <v>3</v>
      </c>
      <c r="G229" s="419">
        <v>2</v>
      </c>
      <c r="H229" s="419">
        <v>2</v>
      </c>
      <c r="I229" s="419">
        <v>3</v>
      </c>
      <c r="J229" s="419">
        <v>3</v>
      </c>
      <c r="L229" s="411">
        <f t="shared" si="88"/>
        <v>0</v>
      </c>
      <c r="M229" s="411">
        <f t="shared" si="89"/>
        <v>0</v>
      </c>
      <c r="N229" s="411">
        <f t="shared" si="90"/>
        <v>0</v>
      </c>
      <c r="O229" s="411">
        <f t="shared" si="91"/>
        <v>0</v>
      </c>
      <c r="P229" s="78">
        <f t="shared" si="93"/>
        <v>0</v>
      </c>
      <c r="Q229" s="413">
        <f t="shared" si="94"/>
        <v>0</v>
      </c>
      <c r="S229" s="78">
        <f t="shared" si="87"/>
        <v>0</v>
      </c>
      <c r="U229" s="411">
        <f>計分版!E$13</f>
        <v>1E-10</v>
      </c>
      <c r="V229" s="411">
        <f>計分版!F$13</f>
        <v>2.0000000000000001E-10</v>
      </c>
      <c r="W229" s="411">
        <f>計分版!G$13</f>
        <v>3E-10</v>
      </c>
      <c r="X229" s="411">
        <f>計分版!H$13</f>
        <v>4.0000000000000001E-10</v>
      </c>
      <c r="Y229" s="411">
        <f>計分版!I$13</f>
        <v>5.0000000000000003E-10</v>
      </c>
      <c r="Z229" s="411">
        <f>計分版!J$13</f>
        <v>6E-10</v>
      </c>
      <c r="AA229" s="411">
        <f>計分版!K$13</f>
        <v>6.9999999999999996E-10</v>
      </c>
      <c r="AB229" s="411">
        <f>計分版!L$13</f>
        <v>8.0000000000000003E-10</v>
      </c>
      <c r="AC229" s="411">
        <f>計分版!M$13</f>
        <v>8.9999999999999999E-10</v>
      </c>
      <c r="AD229" s="411">
        <f>計分版!N$13</f>
        <v>9.5000000000000003E-10</v>
      </c>
      <c r="AF229" s="413" t="s">
        <v>2308</v>
      </c>
    </row>
    <row r="230" spans="1:34">
      <c r="A230" s="2" t="s">
        <v>608</v>
      </c>
      <c r="B230" s="2" t="s">
        <v>610</v>
      </c>
      <c r="C230" s="13" t="s">
        <v>627</v>
      </c>
      <c r="D230" s="78">
        <v>28</v>
      </c>
      <c r="E230" s="419">
        <v>3</v>
      </c>
      <c r="F230" s="419">
        <v>3</v>
      </c>
      <c r="G230" s="419">
        <v>3</v>
      </c>
      <c r="H230" s="419">
        <v>2</v>
      </c>
      <c r="I230" s="419">
        <v>3</v>
      </c>
      <c r="J230" s="419">
        <v>3</v>
      </c>
      <c r="L230" s="411">
        <f t="shared" si="88"/>
        <v>0</v>
      </c>
      <c r="M230" s="411">
        <f t="shared" si="89"/>
        <v>0</v>
      </c>
      <c r="N230" s="411">
        <f t="shared" si="90"/>
        <v>0</v>
      </c>
      <c r="O230" s="411">
        <f t="shared" si="91"/>
        <v>0</v>
      </c>
      <c r="P230" s="78">
        <f t="shared" si="93"/>
        <v>0</v>
      </c>
      <c r="Q230" s="413">
        <f t="shared" si="94"/>
        <v>0</v>
      </c>
      <c r="S230" s="78">
        <f t="shared" si="87"/>
        <v>0</v>
      </c>
      <c r="U230" s="411">
        <f>計分版!E$13</f>
        <v>1E-10</v>
      </c>
      <c r="V230" s="411">
        <f>計分版!F$13</f>
        <v>2.0000000000000001E-10</v>
      </c>
      <c r="W230" s="411">
        <f>計分版!G$13</f>
        <v>3E-10</v>
      </c>
      <c r="X230" s="411">
        <f>計分版!H$13</f>
        <v>4.0000000000000001E-10</v>
      </c>
      <c r="Y230" s="411">
        <f>計分版!I$13</f>
        <v>5.0000000000000003E-10</v>
      </c>
      <c r="Z230" s="411">
        <f>計分版!J$13</f>
        <v>6E-10</v>
      </c>
      <c r="AA230" s="411">
        <f>計分版!K$13</f>
        <v>6.9999999999999996E-10</v>
      </c>
      <c r="AB230" s="411">
        <f>計分版!L$13</f>
        <v>8.0000000000000003E-10</v>
      </c>
      <c r="AC230" s="411">
        <f>計分版!M$13</f>
        <v>8.9999999999999999E-10</v>
      </c>
      <c r="AD230" s="411">
        <f>計分版!N$13</f>
        <v>9.5000000000000003E-10</v>
      </c>
      <c r="AF230" s="413" t="s">
        <v>2308</v>
      </c>
    </row>
    <row r="231" spans="1:34">
      <c r="A231" s="2" t="s">
        <v>611</v>
      </c>
      <c r="B231" s="2" t="s">
        <v>613</v>
      </c>
      <c r="C231" s="13" t="s">
        <v>627</v>
      </c>
      <c r="D231" s="78">
        <v>26</v>
      </c>
      <c r="E231" s="419">
        <v>3</v>
      </c>
      <c r="F231" s="419">
        <v>4</v>
      </c>
      <c r="G231" s="419">
        <v>3</v>
      </c>
      <c r="H231" s="419">
        <v>2</v>
      </c>
      <c r="I231" s="419">
        <v>3</v>
      </c>
      <c r="J231" s="419">
        <v>3</v>
      </c>
      <c r="L231" s="411">
        <f t="shared" si="88"/>
        <v>0</v>
      </c>
      <c r="M231" s="411">
        <f t="shared" si="89"/>
        <v>0</v>
      </c>
      <c r="N231" s="411">
        <f t="shared" si="90"/>
        <v>0</v>
      </c>
      <c r="O231" s="411">
        <f t="shared" si="91"/>
        <v>0</v>
      </c>
      <c r="P231" s="78">
        <f>IF(計分版!$S$28=0,0,IF(I231&gt;LARGE(Y231:AC231,1),0,1))</f>
        <v>0</v>
      </c>
      <c r="Q231" s="413">
        <f t="shared" si="94"/>
        <v>0</v>
      </c>
      <c r="S231" s="78">
        <f t="shared" si="87"/>
        <v>0</v>
      </c>
      <c r="U231" s="411">
        <f>計分版!E$13</f>
        <v>1E-10</v>
      </c>
      <c r="V231" s="411">
        <f>計分版!F$13</f>
        <v>2.0000000000000001E-10</v>
      </c>
      <c r="W231" s="411">
        <f>計分版!G$13</f>
        <v>3E-10</v>
      </c>
      <c r="X231" s="411">
        <f>計分版!H$13</f>
        <v>4.0000000000000001E-10</v>
      </c>
      <c r="Y231" s="411">
        <f>計分版!I$13</f>
        <v>5.0000000000000003E-10</v>
      </c>
      <c r="Z231" s="411">
        <f>計分版!J$13</f>
        <v>6E-10</v>
      </c>
      <c r="AA231" s="411">
        <f>計分版!K$13</f>
        <v>6.9999999999999996E-10</v>
      </c>
      <c r="AB231" s="411">
        <f>計分版!L$13</f>
        <v>8.0000000000000003E-10</v>
      </c>
      <c r="AC231" s="411">
        <f>計分版!M$13</f>
        <v>8.9999999999999999E-10</v>
      </c>
      <c r="AD231" s="411">
        <f>計分版!N$13</f>
        <v>9.5000000000000003E-10</v>
      </c>
      <c r="AF231" s="413" t="s">
        <v>2308</v>
      </c>
    </row>
    <row r="232" spans="1:34">
      <c r="A232" s="2" t="s">
        <v>614</v>
      </c>
      <c r="B232" s="2" t="s">
        <v>616</v>
      </c>
      <c r="C232" s="13" t="s">
        <v>627</v>
      </c>
      <c r="D232" s="78">
        <v>15</v>
      </c>
      <c r="E232" s="419">
        <v>3</v>
      </c>
      <c r="F232" s="419">
        <v>4</v>
      </c>
      <c r="G232" s="419">
        <v>3</v>
      </c>
      <c r="H232" s="419">
        <v>2</v>
      </c>
      <c r="I232" s="419">
        <v>3</v>
      </c>
      <c r="J232" s="419">
        <v>3</v>
      </c>
      <c r="L232" s="411">
        <f t="shared" si="88"/>
        <v>0</v>
      </c>
      <c r="M232" s="411">
        <f t="shared" si="89"/>
        <v>0</v>
      </c>
      <c r="N232" s="411">
        <f t="shared" si="90"/>
        <v>0</v>
      </c>
      <c r="O232" s="411">
        <f t="shared" si="91"/>
        <v>0</v>
      </c>
      <c r="P232" s="78">
        <f>IF(I232&gt;LARGE(Y232:AC232,1),0,1)</f>
        <v>0</v>
      </c>
      <c r="Q232" s="413">
        <f t="shared" si="94"/>
        <v>0</v>
      </c>
      <c r="S232" s="78">
        <f t="shared" si="87"/>
        <v>0</v>
      </c>
      <c r="U232" s="411">
        <f>計分版!E$13</f>
        <v>1E-10</v>
      </c>
      <c r="V232" s="411">
        <f>計分版!F$13</f>
        <v>2.0000000000000001E-10</v>
      </c>
      <c r="W232" s="411">
        <f>計分版!G$13</f>
        <v>3E-10</v>
      </c>
      <c r="X232" s="411">
        <f>計分版!H$13</f>
        <v>4.0000000000000001E-10</v>
      </c>
      <c r="Y232" s="411">
        <f>計分版!I$13</f>
        <v>5.0000000000000003E-10</v>
      </c>
      <c r="Z232" s="411">
        <f>計分版!J$13</f>
        <v>6E-10</v>
      </c>
      <c r="AA232" s="411">
        <f>計分版!K$13</f>
        <v>6.9999999999999996E-10</v>
      </c>
      <c r="AB232" s="411">
        <f>計分版!L$13</f>
        <v>8.0000000000000003E-10</v>
      </c>
      <c r="AC232" s="411">
        <f>計分版!M$13</f>
        <v>8.9999999999999999E-10</v>
      </c>
      <c r="AD232" s="411">
        <f>計分版!N$13</f>
        <v>9.5000000000000003E-10</v>
      </c>
      <c r="AF232" s="413" t="s">
        <v>2308</v>
      </c>
    </row>
    <row r="233" spans="1:34">
      <c r="A233" s="2" t="s">
        <v>617</v>
      </c>
      <c r="B233" s="2" t="s">
        <v>618</v>
      </c>
      <c r="C233" s="13" t="s">
        <v>627</v>
      </c>
      <c r="D233" s="78">
        <v>15</v>
      </c>
      <c r="E233" s="419">
        <v>3</v>
      </c>
      <c r="F233" s="419">
        <v>4</v>
      </c>
      <c r="G233" s="419">
        <v>3</v>
      </c>
      <c r="H233" s="419">
        <v>2</v>
      </c>
      <c r="I233" s="419">
        <v>3</v>
      </c>
      <c r="J233" s="419">
        <v>3</v>
      </c>
      <c r="L233" s="411">
        <f t="shared" si="88"/>
        <v>0</v>
      </c>
      <c r="M233" s="411">
        <f t="shared" si="89"/>
        <v>0</v>
      </c>
      <c r="N233" s="411">
        <f t="shared" si="90"/>
        <v>0</v>
      </c>
      <c r="O233" s="411">
        <f t="shared" si="91"/>
        <v>0</v>
      </c>
      <c r="P233" s="78">
        <f>IF(計分版!R252&lt;1,0,IF(I233&gt;LARGE(Y233:AC233,1),0,1))</f>
        <v>0</v>
      </c>
      <c r="Q233" s="413">
        <f t="shared" si="94"/>
        <v>0</v>
      </c>
      <c r="S233" s="78">
        <f t="shared" si="87"/>
        <v>0</v>
      </c>
      <c r="U233" s="411">
        <f>計分版!E$13</f>
        <v>1E-10</v>
      </c>
      <c r="V233" s="411">
        <f>計分版!F$13</f>
        <v>2.0000000000000001E-10</v>
      </c>
      <c r="W233" s="411">
        <f>計分版!G$13</f>
        <v>3E-10</v>
      </c>
      <c r="X233" s="411">
        <f>計分版!H$13</f>
        <v>4.0000000000000001E-10</v>
      </c>
      <c r="Y233" s="411">
        <f>計分版!I$13</f>
        <v>5.0000000000000003E-10</v>
      </c>
      <c r="Z233" s="411">
        <f>計分版!J$13</f>
        <v>6E-10</v>
      </c>
      <c r="AA233" s="411">
        <f>計分版!K$13</f>
        <v>6.9999999999999996E-10</v>
      </c>
      <c r="AB233" s="411">
        <f>計分版!L$13</f>
        <v>8.0000000000000003E-10</v>
      </c>
      <c r="AC233" s="411">
        <f>計分版!M$13</f>
        <v>8.9999999999999999E-10</v>
      </c>
      <c r="AD233" s="411">
        <f>計分版!N$13</f>
        <v>9.5000000000000003E-10</v>
      </c>
      <c r="AF233" s="413" t="s">
        <v>2308</v>
      </c>
    </row>
    <row r="234" spans="1:34">
      <c r="A234" s="2" t="s">
        <v>619</v>
      </c>
      <c r="B234" s="2" t="s">
        <v>621</v>
      </c>
      <c r="C234" s="13" t="s">
        <v>627</v>
      </c>
      <c r="D234" s="78">
        <v>23</v>
      </c>
      <c r="E234" s="419">
        <v>3</v>
      </c>
      <c r="F234" s="419">
        <v>4</v>
      </c>
      <c r="G234" s="419">
        <v>3</v>
      </c>
      <c r="H234" s="419">
        <v>2</v>
      </c>
      <c r="I234" s="419">
        <v>3</v>
      </c>
      <c r="J234" s="419">
        <v>3</v>
      </c>
      <c r="L234" s="411">
        <f t="shared" si="88"/>
        <v>0</v>
      </c>
      <c r="M234" s="411">
        <f t="shared" si="89"/>
        <v>0</v>
      </c>
      <c r="N234" s="411">
        <f t="shared" si="90"/>
        <v>0</v>
      </c>
      <c r="O234" s="411">
        <f t="shared" si="91"/>
        <v>0</v>
      </c>
      <c r="P234" s="78">
        <f>IF(I234&gt;LARGE(Y234:AC234,1),0,1)</f>
        <v>0</v>
      </c>
      <c r="Q234" s="413">
        <f t="shared" si="94"/>
        <v>0</v>
      </c>
      <c r="S234" s="78">
        <f t="shared" si="87"/>
        <v>0</v>
      </c>
      <c r="U234" s="411">
        <f>計分版!E$13</f>
        <v>1E-10</v>
      </c>
      <c r="V234" s="411">
        <f>計分版!F$13</f>
        <v>2.0000000000000001E-10</v>
      </c>
      <c r="W234" s="411">
        <f>計分版!G$13</f>
        <v>3E-10</v>
      </c>
      <c r="X234" s="411">
        <f>計分版!H$13</f>
        <v>4.0000000000000001E-10</v>
      </c>
      <c r="Y234" s="411">
        <f>計分版!I$13</f>
        <v>5.0000000000000003E-10</v>
      </c>
      <c r="Z234" s="411">
        <f>計分版!J$13</f>
        <v>6E-10</v>
      </c>
      <c r="AA234" s="411">
        <f>計分版!K$13</f>
        <v>6.9999999999999996E-10</v>
      </c>
      <c r="AB234" s="411">
        <f>計分版!L$13</f>
        <v>8.0000000000000003E-10</v>
      </c>
      <c r="AC234" s="411">
        <f>計分版!M$13</f>
        <v>8.9999999999999999E-10</v>
      </c>
      <c r="AD234" s="411">
        <f>計分版!N$13</f>
        <v>9.5000000000000003E-10</v>
      </c>
      <c r="AF234" s="413" t="s">
        <v>2308</v>
      </c>
    </row>
    <row r="235" spans="1:34">
      <c r="A235" s="2" t="s">
        <v>622</v>
      </c>
      <c r="B235" s="2" t="s">
        <v>623</v>
      </c>
      <c r="C235" s="13" t="s">
        <v>781</v>
      </c>
      <c r="D235" s="78">
        <v>21</v>
      </c>
      <c r="E235" s="419">
        <v>3</v>
      </c>
      <c r="F235" s="419">
        <v>4</v>
      </c>
      <c r="G235" s="419">
        <v>3</v>
      </c>
      <c r="H235" s="419">
        <v>2</v>
      </c>
      <c r="I235" s="419">
        <v>3</v>
      </c>
      <c r="J235" s="419">
        <v>3</v>
      </c>
      <c r="L235" s="411">
        <f t="shared" si="88"/>
        <v>0</v>
      </c>
      <c r="M235" s="411">
        <f t="shared" si="89"/>
        <v>0</v>
      </c>
      <c r="N235" s="411">
        <f t="shared" si="90"/>
        <v>0</v>
      </c>
      <c r="O235" s="411">
        <f t="shared" si="91"/>
        <v>0</v>
      </c>
      <c r="P235" s="78">
        <f>IF(AND(計分版!$T$244=0,計分版!$R$230=0),0,IF(I235&gt;LARGE(Y235:AC235,1),0,1))</f>
        <v>0</v>
      </c>
      <c r="Q235" s="413">
        <f t="shared" si="94"/>
        <v>0</v>
      </c>
      <c r="S235" s="78">
        <f t="shared" si="87"/>
        <v>0</v>
      </c>
      <c r="U235" s="411">
        <f>計分版!E$13</f>
        <v>1E-10</v>
      </c>
      <c r="V235" s="411">
        <f>計分版!F$13</f>
        <v>2.0000000000000001E-10</v>
      </c>
      <c r="W235" s="411">
        <f>計分版!G$13</f>
        <v>3E-10</v>
      </c>
      <c r="X235" s="411">
        <f>計分版!H$13</f>
        <v>4.0000000000000001E-10</v>
      </c>
      <c r="Y235" s="411">
        <f>計分版!I$13</f>
        <v>5.0000000000000003E-10</v>
      </c>
      <c r="Z235" s="411">
        <f>計分版!J$13</f>
        <v>6E-10</v>
      </c>
      <c r="AA235" s="411">
        <f>計分版!K$13</f>
        <v>6.9999999999999996E-10</v>
      </c>
      <c r="AB235" s="411">
        <f>計分版!L$13</f>
        <v>8.0000000000000003E-10</v>
      </c>
      <c r="AC235" s="411">
        <f>計分版!M$13</f>
        <v>8.9999999999999999E-10</v>
      </c>
      <c r="AD235" s="411">
        <f>計分版!N$13</f>
        <v>9.5000000000000003E-10</v>
      </c>
      <c r="AF235" s="413" t="s">
        <v>2308</v>
      </c>
    </row>
    <row r="236" spans="1:34">
      <c r="E236" s="423"/>
      <c r="F236" s="423"/>
      <c r="G236" s="423"/>
      <c r="H236" s="423"/>
      <c r="I236" s="423"/>
      <c r="J236" s="423"/>
      <c r="S236" s="2"/>
    </row>
    <row r="237" spans="1:34">
      <c r="A237" s="15" t="s">
        <v>389</v>
      </c>
      <c r="E237" s="419"/>
      <c r="F237" s="419"/>
      <c r="G237" s="419"/>
      <c r="H237" s="419"/>
      <c r="I237" s="419"/>
      <c r="J237" s="419"/>
    </row>
    <row r="238" spans="1:34">
      <c r="A238" s="12" t="s">
        <v>203</v>
      </c>
      <c r="B238" s="12" t="s">
        <v>367</v>
      </c>
      <c r="C238" s="12" t="s">
        <v>204</v>
      </c>
      <c r="D238" s="77" t="s">
        <v>361</v>
      </c>
      <c r="E238" s="422" t="s">
        <v>369</v>
      </c>
      <c r="F238" s="422" t="s">
        <v>370</v>
      </c>
      <c r="G238" s="422" t="s">
        <v>371</v>
      </c>
      <c r="H238" s="422" t="s">
        <v>372</v>
      </c>
      <c r="I238" s="422" t="s">
        <v>373</v>
      </c>
      <c r="J238" s="422" t="s">
        <v>374</v>
      </c>
      <c r="K238" s="78"/>
      <c r="L238" s="77" t="s">
        <v>369</v>
      </c>
      <c r="M238" s="77" t="s">
        <v>370</v>
      </c>
      <c r="N238" s="77" t="s">
        <v>371</v>
      </c>
      <c r="O238" s="77" t="s">
        <v>372</v>
      </c>
      <c r="P238" s="77" t="s">
        <v>373</v>
      </c>
      <c r="Q238" s="77" t="s">
        <v>374</v>
      </c>
      <c r="S238" s="2"/>
      <c r="U238" s="415" t="s">
        <v>2</v>
      </c>
      <c r="V238" s="415" t="s">
        <v>1</v>
      </c>
      <c r="W238" s="415" t="s">
        <v>3</v>
      </c>
      <c r="X238" s="415" t="s">
        <v>4</v>
      </c>
      <c r="Y238" s="415" t="s">
        <v>63</v>
      </c>
      <c r="Z238" s="415" t="str">
        <f>主頁!$B$15</f>
        <v>請選擇第一選修科</v>
      </c>
      <c r="AA238" s="415" t="str">
        <f>主頁!$B$16</f>
        <v>請選擇第二選修科</v>
      </c>
      <c r="AB238" s="415" t="str">
        <f>主頁!$B$17</f>
        <v>請選擇第三選修科</v>
      </c>
      <c r="AC238" s="415" t="str">
        <f>主頁!$B$18</f>
        <v>請選擇第四選修科</v>
      </c>
      <c r="AD238" s="416" t="str">
        <f>主頁!$B$19</f>
        <v>請選擇語言科目</v>
      </c>
      <c r="AE238" s="417" t="s">
        <v>360</v>
      </c>
      <c r="AF238" s="413" t="s">
        <v>2305</v>
      </c>
      <c r="AG238" s="413" t="s">
        <v>2306</v>
      </c>
      <c r="AH238" s="413" t="s">
        <v>2307</v>
      </c>
    </row>
    <row r="239" spans="1:34">
      <c r="A239" s="13" t="str">
        <f>HKU!A2</f>
        <v>JS6004</v>
      </c>
      <c r="B239" s="13" t="str">
        <f>HKU!C2</f>
        <v>建築學文學士</v>
      </c>
      <c r="C239" s="241" t="s">
        <v>58</v>
      </c>
      <c r="D239" s="77"/>
      <c r="E239" s="419">
        <v>3</v>
      </c>
      <c r="F239" s="419">
        <v>3</v>
      </c>
      <c r="G239" s="419">
        <v>2</v>
      </c>
      <c r="H239" s="419">
        <v>2</v>
      </c>
      <c r="I239" s="419">
        <v>3</v>
      </c>
      <c r="J239" s="419">
        <v>3</v>
      </c>
      <c r="K239" s="78"/>
      <c r="L239" s="411">
        <f t="shared" ref="L239" si="95">IF(E239&gt;U239,0,1)</f>
        <v>0</v>
      </c>
      <c r="M239" s="411">
        <f t="shared" ref="M239" si="96">IF(F239&gt;V239,0,1)</f>
        <v>0</v>
      </c>
      <c r="N239" s="411">
        <f t="shared" ref="N239" si="97">IF(G239&gt;W239,0,1)</f>
        <v>0</v>
      </c>
      <c r="O239" s="411">
        <f t="shared" ref="O239" si="98">IF(H239&gt;X239,0,1)</f>
        <v>0</v>
      </c>
      <c r="P239" s="78">
        <f>IF(I239&gt;LARGE(Z239:AD239,1),0,1)</f>
        <v>0</v>
      </c>
      <c r="Q239" s="78">
        <f>IF(J239&gt;LARGE(Z239:AD239,2),0,1)</f>
        <v>0</v>
      </c>
      <c r="S239" s="401">
        <f>IF(L239*M239*N239*O239*P239*Q239=0,0,2)</f>
        <v>0</v>
      </c>
      <c r="U239" s="411">
        <f>計分版!E$13</f>
        <v>1E-10</v>
      </c>
      <c r="V239" s="411">
        <f>計分版!F$13</f>
        <v>2.0000000000000001E-10</v>
      </c>
      <c r="W239" s="411">
        <f>計分版!G$13</f>
        <v>3E-10</v>
      </c>
      <c r="X239" s="411">
        <f>計分版!H$13</f>
        <v>4.0000000000000001E-10</v>
      </c>
      <c r="Y239" s="411">
        <f>計分版!I$13</f>
        <v>5.0000000000000003E-10</v>
      </c>
      <c r="Z239" s="411">
        <f>計分版!J$13</f>
        <v>6E-10</v>
      </c>
      <c r="AA239" s="411">
        <f>計分版!K$13</f>
        <v>6.9999999999999996E-10</v>
      </c>
      <c r="AB239" s="411">
        <f>計分版!L$13</f>
        <v>8.0000000000000003E-10</v>
      </c>
      <c r="AC239" s="411">
        <f>計分版!M$13</f>
        <v>8.9999999999999999E-10</v>
      </c>
      <c r="AD239" s="411">
        <f>計分版!N$13</f>
        <v>9.5000000000000003E-10</v>
      </c>
      <c r="AG239" s="413" t="s">
        <v>2309</v>
      </c>
    </row>
    <row r="240" spans="1:34">
      <c r="A240" s="179" t="str">
        <f>HKU!A3</f>
        <v>JS6016</v>
      </c>
      <c r="B240" s="179" t="str">
        <f>HKU!C3</f>
        <v>理學士(測量學)</v>
      </c>
      <c r="C240" s="241" t="s">
        <v>59</v>
      </c>
      <c r="D240" s="77"/>
      <c r="E240" s="419">
        <v>3</v>
      </c>
      <c r="F240" s="419">
        <v>3</v>
      </c>
      <c r="G240" s="419">
        <v>2</v>
      </c>
      <c r="H240" s="419">
        <v>2</v>
      </c>
      <c r="I240" s="419">
        <v>3</v>
      </c>
      <c r="J240" s="419">
        <v>3</v>
      </c>
      <c r="K240" s="78"/>
      <c r="L240" s="411">
        <f t="shared" ref="L240:M271" si="99">IF(E240&gt;U240,0,1)</f>
        <v>0</v>
      </c>
      <c r="M240" s="411">
        <f t="shared" ref="M240:M269" si="100">IF(F240&gt;V240,0,1)</f>
        <v>0</v>
      </c>
      <c r="N240" s="411">
        <f t="shared" ref="N240:N269" si="101">IF(G240&gt;W240,0,1)</f>
        <v>0</v>
      </c>
      <c r="O240" s="411">
        <f t="shared" ref="O240:O269" si="102">IF(H240&gt;X240,0,1)</f>
        <v>0</v>
      </c>
      <c r="P240" s="413">
        <f t="shared" ref="P240:P246" si="103">IF(I240&gt;LARGE(Z240:AD240,1),0,1)</f>
        <v>0</v>
      </c>
      <c r="Q240" s="413">
        <f t="shared" ref="Q240:Q246" si="104">IF(J240&gt;LARGE(Z240:AD240,2),0,1)</f>
        <v>0</v>
      </c>
      <c r="S240" s="78">
        <f t="shared" ref="S240:S276" si="105">L240*M240*N240*O240*P240*Q240</f>
        <v>0</v>
      </c>
      <c r="U240" s="411">
        <f>計分版!E$13</f>
        <v>1E-10</v>
      </c>
      <c r="V240" s="411">
        <f>計分版!F$13</f>
        <v>2.0000000000000001E-10</v>
      </c>
      <c r="W240" s="411">
        <f>計分版!G$13</f>
        <v>3E-10</v>
      </c>
      <c r="X240" s="411">
        <f>計分版!H$13</f>
        <v>4.0000000000000001E-10</v>
      </c>
      <c r="Y240" s="411">
        <f>計分版!I$13</f>
        <v>5.0000000000000003E-10</v>
      </c>
      <c r="Z240" s="411">
        <f>計分版!J$13</f>
        <v>6E-10</v>
      </c>
      <c r="AA240" s="411">
        <f>計分版!K$13</f>
        <v>6.9999999999999996E-10</v>
      </c>
      <c r="AB240" s="411">
        <f>計分版!L$13</f>
        <v>8.0000000000000003E-10</v>
      </c>
      <c r="AC240" s="411">
        <f>計分版!M$13</f>
        <v>8.9999999999999999E-10</v>
      </c>
      <c r="AD240" s="411">
        <f>計分版!N$13</f>
        <v>9.5000000000000003E-10</v>
      </c>
      <c r="AG240" s="413" t="s">
        <v>2309</v>
      </c>
    </row>
    <row r="241" spans="1:33">
      <c r="A241" s="179" t="str">
        <f>HKU!A4</f>
        <v>JS6028</v>
      </c>
      <c r="B241" s="179" t="str">
        <f>HKU!C4</f>
        <v>園境學文學士</v>
      </c>
      <c r="C241" s="241" t="s">
        <v>189</v>
      </c>
      <c r="D241" s="77"/>
      <c r="E241" s="419">
        <v>3</v>
      </c>
      <c r="F241" s="419">
        <v>3</v>
      </c>
      <c r="G241" s="419">
        <v>2</v>
      </c>
      <c r="H241" s="419">
        <v>2</v>
      </c>
      <c r="I241" s="419">
        <v>3</v>
      </c>
      <c r="J241" s="419">
        <v>3</v>
      </c>
      <c r="K241" s="78"/>
      <c r="L241" s="411">
        <f t="shared" si="99"/>
        <v>0</v>
      </c>
      <c r="M241" s="411">
        <f t="shared" si="100"/>
        <v>0</v>
      </c>
      <c r="N241" s="411">
        <f t="shared" si="101"/>
        <v>0</v>
      </c>
      <c r="O241" s="411">
        <f t="shared" si="102"/>
        <v>0</v>
      </c>
      <c r="P241" s="413">
        <f t="shared" si="103"/>
        <v>0</v>
      </c>
      <c r="Q241" s="413">
        <f t="shared" si="104"/>
        <v>0</v>
      </c>
      <c r="S241" s="78">
        <f t="shared" si="105"/>
        <v>0</v>
      </c>
      <c r="U241" s="411">
        <f>計分版!E$13</f>
        <v>1E-10</v>
      </c>
      <c r="V241" s="411">
        <f>計分版!F$13</f>
        <v>2.0000000000000001E-10</v>
      </c>
      <c r="W241" s="411">
        <f>計分版!G$13</f>
        <v>3E-10</v>
      </c>
      <c r="X241" s="411">
        <f>計分版!H$13</f>
        <v>4.0000000000000001E-10</v>
      </c>
      <c r="Y241" s="411">
        <f>計分版!I$13</f>
        <v>5.0000000000000003E-10</v>
      </c>
      <c r="Z241" s="411">
        <f>計分版!J$13</f>
        <v>6E-10</v>
      </c>
      <c r="AA241" s="411">
        <f>計分版!K$13</f>
        <v>6.9999999999999996E-10</v>
      </c>
      <c r="AB241" s="411">
        <f>計分版!L$13</f>
        <v>8.0000000000000003E-10</v>
      </c>
      <c r="AC241" s="411">
        <f>計分版!M$13</f>
        <v>8.9999999999999999E-10</v>
      </c>
      <c r="AD241" s="411">
        <f>計分版!N$13</f>
        <v>9.5000000000000003E-10</v>
      </c>
      <c r="AG241" s="413" t="s">
        <v>2309</v>
      </c>
    </row>
    <row r="242" spans="1:33">
      <c r="A242" s="179" t="str">
        <f>HKU!A5</f>
        <v>JS6042</v>
      </c>
      <c r="B242" s="179" t="str">
        <f>HKU!C5</f>
        <v>文學士(城市研究)</v>
      </c>
      <c r="C242" s="241" t="s">
        <v>189</v>
      </c>
      <c r="D242" s="77"/>
      <c r="E242" s="419">
        <v>3</v>
      </c>
      <c r="F242" s="419">
        <v>3</v>
      </c>
      <c r="G242" s="419">
        <v>2</v>
      </c>
      <c r="H242" s="419">
        <v>2</v>
      </c>
      <c r="I242" s="419">
        <v>3</v>
      </c>
      <c r="J242" s="419">
        <v>3</v>
      </c>
      <c r="K242" s="78"/>
      <c r="L242" s="411">
        <f t="shared" si="99"/>
        <v>0</v>
      </c>
      <c r="M242" s="411">
        <f t="shared" si="100"/>
        <v>0</v>
      </c>
      <c r="N242" s="411">
        <f t="shared" si="101"/>
        <v>0</v>
      </c>
      <c r="O242" s="411">
        <f t="shared" si="102"/>
        <v>0</v>
      </c>
      <c r="P242" s="413">
        <f t="shared" si="103"/>
        <v>0</v>
      </c>
      <c r="Q242" s="413">
        <f t="shared" si="104"/>
        <v>0</v>
      </c>
      <c r="S242" s="78">
        <f t="shared" si="105"/>
        <v>0</v>
      </c>
      <c r="U242" s="411">
        <f>計分版!E$13</f>
        <v>1E-10</v>
      </c>
      <c r="V242" s="411">
        <f>計分版!F$13</f>
        <v>2.0000000000000001E-10</v>
      </c>
      <c r="W242" s="411">
        <f>計分版!G$13</f>
        <v>3E-10</v>
      </c>
      <c r="X242" s="411">
        <f>計分版!H$13</f>
        <v>4.0000000000000001E-10</v>
      </c>
      <c r="Y242" s="411">
        <f>計分版!I$13</f>
        <v>5.0000000000000003E-10</v>
      </c>
      <c r="Z242" s="411">
        <f>計分版!J$13</f>
        <v>6E-10</v>
      </c>
      <c r="AA242" s="411">
        <f>計分版!K$13</f>
        <v>6.9999999999999996E-10</v>
      </c>
      <c r="AB242" s="411">
        <f>計分版!L$13</f>
        <v>8.0000000000000003E-10</v>
      </c>
      <c r="AC242" s="411">
        <f>計分版!M$13</f>
        <v>8.9999999999999999E-10</v>
      </c>
      <c r="AD242" s="411">
        <f>計分版!N$13</f>
        <v>9.5000000000000003E-10</v>
      </c>
      <c r="AG242" s="413" t="s">
        <v>2309</v>
      </c>
    </row>
    <row r="243" spans="1:33">
      <c r="A243" s="179" t="str">
        <f>HKU!A6</f>
        <v>JS6054</v>
      </c>
      <c r="B243" s="179" t="str">
        <f>HKU!C6</f>
        <v>文學士</v>
      </c>
      <c r="C243" s="241" t="s">
        <v>189</v>
      </c>
      <c r="D243" s="77"/>
      <c r="E243" s="419">
        <v>3</v>
      </c>
      <c r="F243" s="419">
        <v>3</v>
      </c>
      <c r="G243" s="419">
        <v>2</v>
      </c>
      <c r="H243" s="419">
        <v>2</v>
      </c>
      <c r="I243" s="419">
        <v>3</v>
      </c>
      <c r="J243" s="419">
        <v>3</v>
      </c>
      <c r="K243" s="78"/>
      <c r="L243" s="411">
        <f t="shared" si="99"/>
        <v>0</v>
      </c>
      <c r="M243" s="411">
        <f t="shared" si="100"/>
        <v>0</v>
      </c>
      <c r="N243" s="411">
        <f t="shared" si="101"/>
        <v>0</v>
      </c>
      <c r="O243" s="411">
        <f t="shared" si="102"/>
        <v>0</v>
      </c>
      <c r="P243" s="413">
        <f t="shared" si="103"/>
        <v>0</v>
      </c>
      <c r="Q243" s="413">
        <f t="shared" si="104"/>
        <v>0</v>
      </c>
      <c r="S243" s="78">
        <f t="shared" si="105"/>
        <v>0</v>
      </c>
      <c r="U243" s="411">
        <f>計分版!E$13</f>
        <v>1E-10</v>
      </c>
      <c r="V243" s="411">
        <f>計分版!F$13</f>
        <v>2.0000000000000001E-10</v>
      </c>
      <c r="W243" s="411">
        <f>計分版!G$13</f>
        <v>3E-10</v>
      </c>
      <c r="X243" s="411">
        <f>計分版!H$13</f>
        <v>4.0000000000000001E-10</v>
      </c>
      <c r="Y243" s="411">
        <f>計分版!I$13</f>
        <v>5.0000000000000003E-10</v>
      </c>
      <c r="Z243" s="411">
        <f>計分版!J$13</f>
        <v>6E-10</v>
      </c>
      <c r="AA243" s="411">
        <f>計分版!K$13</f>
        <v>6.9999999999999996E-10</v>
      </c>
      <c r="AB243" s="411">
        <f>計分版!L$13</f>
        <v>8.0000000000000003E-10</v>
      </c>
      <c r="AC243" s="411">
        <f>計分版!M$13</f>
        <v>8.9999999999999999E-10</v>
      </c>
      <c r="AD243" s="411">
        <f>計分版!N$13</f>
        <v>9.5000000000000003E-10</v>
      </c>
      <c r="AG243" s="413" t="s">
        <v>2309</v>
      </c>
    </row>
    <row r="244" spans="1:33">
      <c r="A244" s="179" t="str">
        <f>HKU!A7</f>
        <v>JS6767</v>
      </c>
      <c r="B244" s="179" t="str">
        <f>HKU!C7</f>
        <v>經濟學學士 / 經濟金融學學士</v>
      </c>
      <c r="C244" s="241" t="s">
        <v>58</v>
      </c>
      <c r="D244" s="260"/>
      <c r="E244" s="419">
        <v>3</v>
      </c>
      <c r="F244" s="419">
        <v>4</v>
      </c>
      <c r="G244" s="419">
        <v>3</v>
      </c>
      <c r="H244" s="419">
        <v>2</v>
      </c>
      <c r="I244" s="419">
        <v>3</v>
      </c>
      <c r="J244" s="419">
        <v>3</v>
      </c>
      <c r="K244" s="78"/>
      <c r="L244" s="411">
        <f t="shared" si="99"/>
        <v>0</v>
      </c>
      <c r="M244" s="411">
        <f t="shared" si="100"/>
        <v>0</v>
      </c>
      <c r="N244" s="411">
        <f t="shared" si="101"/>
        <v>0</v>
      </c>
      <c r="O244" s="411">
        <f t="shared" si="102"/>
        <v>0</v>
      </c>
      <c r="P244" s="413">
        <f t="shared" si="103"/>
        <v>0</v>
      </c>
      <c r="Q244" s="413">
        <f t="shared" si="104"/>
        <v>0</v>
      </c>
      <c r="S244" s="78">
        <f t="shared" si="105"/>
        <v>0</v>
      </c>
      <c r="U244" s="411">
        <f>計分版!E$13</f>
        <v>1E-10</v>
      </c>
      <c r="V244" s="411">
        <f>計分版!F$13</f>
        <v>2.0000000000000001E-10</v>
      </c>
      <c r="W244" s="411">
        <f>計分版!G$13</f>
        <v>3E-10</v>
      </c>
      <c r="X244" s="411">
        <f>計分版!H$13</f>
        <v>4.0000000000000001E-10</v>
      </c>
      <c r="Y244" s="411">
        <f>計分版!I$13</f>
        <v>5.0000000000000003E-10</v>
      </c>
      <c r="Z244" s="411">
        <f>計分版!J$13</f>
        <v>6E-10</v>
      </c>
      <c r="AA244" s="411">
        <f>計分版!K$13</f>
        <v>6.9999999999999996E-10</v>
      </c>
      <c r="AB244" s="411">
        <f>計分版!L$13</f>
        <v>8.0000000000000003E-10</v>
      </c>
      <c r="AC244" s="411">
        <f>計分版!M$13</f>
        <v>8.9999999999999999E-10</v>
      </c>
      <c r="AD244" s="411">
        <f>計分版!N$13</f>
        <v>9.5000000000000003E-10</v>
      </c>
      <c r="AG244" s="413" t="s">
        <v>2309</v>
      </c>
    </row>
    <row r="245" spans="1:33">
      <c r="A245" s="179" t="str">
        <f>HKU!A8</f>
        <v>JS6781</v>
      </c>
      <c r="B245" s="179" t="str">
        <f>HKU!C8</f>
        <v>工商管理學學士 / 工商管理學學士(會計及財務)</v>
      </c>
      <c r="C245" s="241" t="s">
        <v>58</v>
      </c>
      <c r="D245" s="260"/>
      <c r="E245" s="419">
        <v>3</v>
      </c>
      <c r="F245" s="419">
        <v>4</v>
      </c>
      <c r="G245" s="419">
        <v>3</v>
      </c>
      <c r="H245" s="419">
        <v>2</v>
      </c>
      <c r="I245" s="419">
        <v>3</v>
      </c>
      <c r="J245" s="419">
        <v>3</v>
      </c>
      <c r="K245" s="78"/>
      <c r="L245" s="411">
        <f t="shared" si="99"/>
        <v>0</v>
      </c>
      <c r="M245" s="411">
        <f t="shared" si="100"/>
        <v>0</v>
      </c>
      <c r="N245" s="411">
        <f t="shared" si="101"/>
        <v>0</v>
      </c>
      <c r="O245" s="411">
        <f t="shared" si="102"/>
        <v>0</v>
      </c>
      <c r="P245" s="413">
        <f t="shared" si="103"/>
        <v>0</v>
      </c>
      <c r="Q245" s="413">
        <f t="shared" si="104"/>
        <v>0</v>
      </c>
      <c r="S245" s="78">
        <f t="shared" si="105"/>
        <v>0</v>
      </c>
      <c r="U245" s="411">
        <f>計分版!E$13</f>
        <v>1E-10</v>
      </c>
      <c r="V245" s="411">
        <f>計分版!F$13</f>
        <v>2.0000000000000001E-10</v>
      </c>
      <c r="W245" s="411">
        <f>計分版!G$13</f>
        <v>3E-10</v>
      </c>
      <c r="X245" s="411">
        <f>計分版!H$13</f>
        <v>4.0000000000000001E-10</v>
      </c>
      <c r="Y245" s="411">
        <f>計分版!I$13</f>
        <v>5.0000000000000003E-10</v>
      </c>
      <c r="Z245" s="411">
        <f>計分版!J$13</f>
        <v>6E-10</v>
      </c>
      <c r="AA245" s="411">
        <f>計分版!K$13</f>
        <v>6.9999999999999996E-10</v>
      </c>
      <c r="AB245" s="411">
        <f>計分版!L$13</f>
        <v>8.0000000000000003E-10</v>
      </c>
      <c r="AC245" s="411">
        <f>計分版!M$13</f>
        <v>8.9999999999999999E-10</v>
      </c>
      <c r="AD245" s="411">
        <f>計分版!N$13</f>
        <v>9.5000000000000003E-10</v>
      </c>
      <c r="AG245" s="413" t="s">
        <v>2309</v>
      </c>
    </row>
    <row r="246" spans="1:33">
      <c r="A246" s="179" t="str">
        <f>HKU!A9</f>
        <v>JS6860</v>
      </c>
      <c r="B246" s="179" t="str">
        <f>HKU!C9</f>
        <v>金融學學士(資產管理及私人銀行)</v>
      </c>
      <c r="C246" s="241" t="s">
        <v>58</v>
      </c>
      <c r="D246" s="260"/>
      <c r="E246" s="419">
        <v>3</v>
      </c>
      <c r="F246" s="419">
        <v>4</v>
      </c>
      <c r="G246" s="419">
        <v>3</v>
      </c>
      <c r="H246" s="419">
        <v>2</v>
      </c>
      <c r="I246" s="419">
        <v>3</v>
      </c>
      <c r="J246" s="419">
        <v>3</v>
      </c>
      <c r="K246" s="78"/>
      <c r="L246" s="411">
        <f t="shared" si="99"/>
        <v>0</v>
      </c>
      <c r="M246" s="411">
        <f t="shared" si="100"/>
        <v>0</v>
      </c>
      <c r="N246" s="411">
        <f t="shared" si="101"/>
        <v>0</v>
      </c>
      <c r="O246" s="411">
        <f t="shared" si="102"/>
        <v>0</v>
      </c>
      <c r="P246" s="413">
        <f t="shared" si="103"/>
        <v>0</v>
      </c>
      <c r="Q246" s="413">
        <f t="shared" si="104"/>
        <v>0</v>
      </c>
      <c r="S246" s="78">
        <f t="shared" si="105"/>
        <v>0</v>
      </c>
      <c r="U246" s="411">
        <f>計分版!E$13</f>
        <v>1E-10</v>
      </c>
      <c r="V246" s="411">
        <f>計分版!F$13</f>
        <v>2.0000000000000001E-10</v>
      </c>
      <c r="W246" s="411">
        <f>計分版!G$13</f>
        <v>3E-10</v>
      </c>
      <c r="X246" s="411">
        <f>計分版!H$13</f>
        <v>4.0000000000000001E-10</v>
      </c>
      <c r="Y246" s="411">
        <f>計分版!I$13</f>
        <v>5.0000000000000003E-10</v>
      </c>
      <c r="Z246" s="411">
        <f>計分版!J$13</f>
        <v>6E-10</v>
      </c>
      <c r="AA246" s="411">
        <f>計分版!K$13</f>
        <v>6.9999999999999996E-10</v>
      </c>
      <c r="AB246" s="411">
        <f>計分版!L$13</f>
        <v>8.0000000000000003E-10</v>
      </c>
      <c r="AC246" s="411">
        <f>計分版!M$13</f>
        <v>8.9999999999999999E-10</v>
      </c>
      <c r="AD246" s="411">
        <f>計分版!N$13</f>
        <v>9.5000000000000003E-10</v>
      </c>
      <c r="AG246" s="413" t="s">
        <v>2309</v>
      </c>
    </row>
    <row r="247" spans="1:33">
      <c r="A247" s="179" t="str">
        <f>HKU!A10</f>
        <v>JS6793</v>
      </c>
      <c r="B247" s="179" t="str">
        <f>HKU!C10</f>
        <v>工商管理學學士(資訊系統)</v>
      </c>
      <c r="C247" s="241" t="s">
        <v>58</v>
      </c>
      <c r="D247" s="77"/>
      <c r="E247" s="419">
        <v>3</v>
      </c>
      <c r="F247" s="419">
        <v>4</v>
      </c>
      <c r="G247" s="419">
        <v>3</v>
      </c>
      <c r="H247" s="419">
        <v>2</v>
      </c>
      <c r="I247" s="419">
        <v>3</v>
      </c>
      <c r="J247" s="419">
        <v>3</v>
      </c>
      <c r="K247" s="78"/>
      <c r="L247" s="411">
        <f t="shared" si="99"/>
        <v>0</v>
      </c>
      <c r="M247" s="411">
        <f t="shared" si="100"/>
        <v>0</v>
      </c>
      <c r="N247" s="411">
        <f t="shared" si="101"/>
        <v>0</v>
      </c>
      <c r="O247" s="411">
        <f t="shared" si="102"/>
        <v>0</v>
      </c>
      <c r="P247" s="78">
        <f>IF(OR(I247&gt;LARGE(Z247:AD247,1),計分版!$P$261=0),0,1)</f>
        <v>0</v>
      </c>
      <c r="Q247" s="78">
        <f>IF(J247&gt;LARGE(Z247:AD247,2),0,IF(計分版!$I$13&lt;3,2,1))</f>
        <v>0</v>
      </c>
      <c r="S247" s="78">
        <f>L247*M247*N247*O247*P247*Q247</f>
        <v>0</v>
      </c>
      <c r="U247" s="411">
        <f>計分版!E$13</f>
        <v>1E-10</v>
      </c>
      <c r="V247" s="411">
        <f>計分版!F$13</f>
        <v>2.0000000000000001E-10</v>
      </c>
      <c r="W247" s="411">
        <f>計分版!G$13</f>
        <v>3E-10</v>
      </c>
      <c r="X247" s="411">
        <f>計分版!H$13</f>
        <v>4.0000000000000001E-10</v>
      </c>
      <c r="Y247" s="411">
        <f>計分版!I$13</f>
        <v>5.0000000000000003E-10</v>
      </c>
      <c r="Z247" s="411">
        <f>計分版!J$13</f>
        <v>6E-10</v>
      </c>
      <c r="AA247" s="411">
        <f>計分版!K$13</f>
        <v>6.9999999999999996E-10</v>
      </c>
      <c r="AB247" s="411">
        <f>計分版!L$13</f>
        <v>8.0000000000000003E-10</v>
      </c>
      <c r="AC247" s="411">
        <f>計分版!M$13</f>
        <v>8.9999999999999999E-10</v>
      </c>
      <c r="AD247" s="411">
        <f>計分版!N$13</f>
        <v>9.5000000000000003E-10</v>
      </c>
      <c r="AG247" s="413" t="s">
        <v>2309</v>
      </c>
    </row>
    <row r="248" spans="1:33">
      <c r="A248" s="179" t="str">
        <f>HKU!A11</f>
        <v>JS6808</v>
      </c>
      <c r="B248" s="179" t="str">
        <f>HKU!C11</f>
        <v>工商管理學學士(法學)及法學士 (雙學位課程)</v>
      </c>
      <c r="C248" s="241" t="s">
        <v>58</v>
      </c>
      <c r="D248" s="77"/>
      <c r="E248" s="419">
        <v>4</v>
      </c>
      <c r="F248" s="419">
        <v>5</v>
      </c>
      <c r="G248" s="419">
        <v>4</v>
      </c>
      <c r="H248" s="419">
        <v>2</v>
      </c>
      <c r="I248" s="419">
        <v>3</v>
      </c>
      <c r="J248" s="419">
        <v>3</v>
      </c>
      <c r="K248" s="78"/>
      <c r="L248" s="411">
        <f t="shared" si="99"/>
        <v>0</v>
      </c>
      <c r="M248" s="411">
        <f t="shared" si="100"/>
        <v>0</v>
      </c>
      <c r="N248" s="411">
        <f t="shared" si="101"/>
        <v>0</v>
      </c>
      <c r="O248" s="411">
        <f t="shared" si="102"/>
        <v>0</v>
      </c>
      <c r="P248" s="413">
        <f t="shared" ref="P248" si="106">IF(I248&gt;LARGE(Z248:AD248,1),0,1)</f>
        <v>0</v>
      </c>
      <c r="Q248" s="413">
        <f t="shared" ref="Q248" si="107">IF(J248&gt;LARGE(Z248:AD248,2),0,1)</f>
        <v>0</v>
      </c>
      <c r="S248" s="78">
        <f t="shared" si="105"/>
        <v>0</v>
      </c>
      <c r="U248" s="411">
        <f>計分版!E$13</f>
        <v>1E-10</v>
      </c>
      <c r="V248" s="411">
        <f>計分版!F$13</f>
        <v>2.0000000000000001E-10</v>
      </c>
      <c r="W248" s="411">
        <f>計分版!G$13</f>
        <v>3E-10</v>
      </c>
      <c r="X248" s="411">
        <f>計分版!H$13</f>
        <v>4.0000000000000001E-10</v>
      </c>
      <c r="Y248" s="411">
        <f>計分版!I$13</f>
        <v>5.0000000000000003E-10</v>
      </c>
      <c r="Z248" s="411">
        <f>計分版!J$13</f>
        <v>6E-10</v>
      </c>
      <c r="AA248" s="411">
        <f>計分版!K$13</f>
        <v>6.9999999999999996E-10</v>
      </c>
      <c r="AB248" s="411">
        <f>計分版!L$13</f>
        <v>8.0000000000000003E-10</v>
      </c>
      <c r="AC248" s="411">
        <f>計分版!M$13</f>
        <v>8.9999999999999999E-10</v>
      </c>
      <c r="AD248" s="411">
        <f>計分版!N$13</f>
        <v>9.5000000000000003E-10</v>
      </c>
      <c r="AG248" s="413" t="s">
        <v>2309</v>
      </c>
    </row>
    <row r="249" spans="1:33">
      <c r="A249" s="179" t="str">
        <f>HKU!A12</f>
        <v>JS6884</v>
      </c>
      <c r="B249" s="179" t="str">
        <f>HKU!C12</f>
        <v>理學士(計量金融)</v>
      </c>
      <c r="C249" s="241" t="s">
        <v>58</v>
      </c>
      <c r="D249" s="77"/>
      <c r="E249" s="419">
        <v>3</v>
      </c>
      <c r="F249" s="419">
        <v>4</v>
      </c>
      <c r="G249" s="419">
        <v>3</v>
      </c>
      <c r="H249" s="419">
        <v>2</v>
      </c>
      <c r="I249" s="419">
        <v>3</v>
      </c>
      <c r="J249" s="419">
        <v>3</v>
      </c>
      <c r="K249" s="78"/>
      <c r="L249" s="411">
        <f t="shared" si="99"/>
        <v>0</v>
      </c>
      <c r="M249" s="411">
        <f t="shared" si="100"/>
        <v>0</v>
      </c>
      <c r="N249" s="411">
        <f t="shared" si="101"/>
        <v>0</v>
      </c>
      <c r="O249" s="411">
        <f t="shared" si="102"/>
        <v>0</v>
      </c>
      <c r="P249" s="413">
        <f>IF(I249&gt;LARGE(Z249:AD249,1),0,1)</f>
        <v>0</v>
      </c>
      <c r="Q249" s="78">
        <f>IF(計分版!$I$13&lt;3,0,IF(J249&gt;LARGE(Z249:AD249,2),0,1))</f>
        <v>0</v>
      </c>
      <c r="S249" s="78">
        <f t="shared" si="105"/>
        <v>0</v>
      </c>
      <c r="U249" s="411">
        <f>計分版!E$13</f>
        <v>1E-10</v>
      </c>
      <c r="V249" s="411">
        <f>計分版!F$13</f>
        <v>2.0000000000000001E-10</v>
      </c>
      <c r="W249" s="411">
        <f>計分版!G$13</f>
        <v>3E-10</v>
      </c>
      <c r="X249" s="411">
        <f>計分版!H$13</f>
        <v>4.0000000000000001E-10</v>
      </c>
      <c r="Y249" s="411">
        <f>計分版!I$13</f>
        <v>5.0000000000000003E-10</v>
      </c>
      <c r="Z249" s="411">
        <f>計分版!J$13</f>
        <v>6E-10</v>
      </c>
      <c r="AA249" s="411">
        <f>計分版!K$13</f>
        <v>6.9999999999999996E-10</v>
      </c>
      <c r="AB249" s="411">
        <f>計分版!L$13</f>
        <v>8.0000000000000003E-10</v>
      </c>
      <c r="AC249" s="411">
        <f>計分版!M$13</f>
        <v>8.9999999999999999E-10</v>
      </c>
      <c r="AD249" s="411">
        <f>計分版!N$13</f>
        <v>9.5000000000000003E-10</v>
      </c>
      <c r="AG249" s="413" t="s">
        <v>2309</v>
      </c>
    </row>
    <row r="250" spans="1:33">
      <c r="A250" s="179" t="str">
        <f>HKU!A13</f>
        <v>JS6896</v>
      </c>
      <c r="B250" s="179" t="str">
        <f>HKU!C13</f>
        <v>工商管理學學士(國際商業及環球管理)</v>
      </c>
      <c r="C250" s="241" t="s">
        <v>58</v>
      </c>
      <c r="D250" s="77"/>
      <c r="E250" s="419">
        <v>3</v>
      </c>
      <c r="F250" s="419">
        <v>5</v>
      </c>
      <c r="G250" s="419">
        <v>4</v>
      </c>
      <c r="H250" s="419">
        <v>2</v>
      </c>
      <c r="I250" s="419">
        <v>3</v>
      </c>
      <c r="J250" s="419">
        <v>3</v>
      </c>
      <c r="K250" s="78"/>
      <c r="L250" s="411">
        <f t="shared" si="99"/>
        <v>0</v>
      </c>
      <c r="M250" s="411">
        <f t="shared" si="100"/>
        <v>0</v>
      </c>
      <c r="N250" s="411">
        <f t="shared" si="101"/>
        <v>0</v>
      </c>
      <c r="O250" s="411">
        <f t="shared" si="102"/>
        <v>0</v>
      </c>
      <c r="P250" s="413">
        <f t="shared" ref="P250" si="108">IF(I250&gt;LARGE(Z250:AD250,1),0,1)</f>
        <v>0</v>
      </c>
      <c r="Q250" s="413">
        <f t="shared" ref="Q250:Q251" si="109">IF(J250&gt;LARGE(Z250:AD250,2),0,1)</f>
        <v>0</v>
      </c>
      <c r="S250" s="78">
        <f t="shared" si="105"/>
        <v>0</v>
      </c>
      <c r="U250" s="411">
        <f>計分版!E$13</f>
        <v>1E-10</v>
      </c>
      <c r="V250" s="411">
        <f>計分版!F$13</f>
        <v>2.0000000000000001E-10</v>
      </c>
      <c r="W250" s="411">
        <f>計分版!G$13</f>
        <v>3E-10</v>
      </c>
      <c r="X250" s="411">
        <f>計分版!H$13</f>
        <v>4.0000000000000001E-10</v>
      </c>
      <c r="Y250" s="411">
        <f>計分版!I$13</f>
        <v>5.0000000000000003E-10</v>
      </c>
      <c r="Z250" s="411">
        <f>計分版!J$13</f>
        <v>6E-10</v>
      </c>
      <c r="AA250" s="411">
        <f>計分版!K$13</f>
        <v>6.9999999999999996E-10</v>
      </c>
      <c r="AB250" s="411">
        <f>計分版!L$13</f>
        <v>8.0000000000000003E-10</v>
      </c>
      <c r="AC250" s="411">
        <f>計分版!M$13</f>
        <v>8.9999999999999999E-10</v>
      </c>
      <c r="AD250" s="411">
        <f>計分版!N$13</f>
        <v>9.5000000000000003E-10</v>
      </c>
      <c r="AG250" s="413" t="s">
        <v>2309</v>
      </c>
    </row>
    <row r="251" spans="1:33">
      <c r="A251" s="179" t="str">
        <f>HKU!A14</f>
        <v>JS6107</v>
      </c>
      <c r="B251" s="179" t="str">
        <f>HKU!C14</f>
        <v>牙醫學士</v>
      </c>
      <c r="C251" s="241" t="s">
        <v>58</v>
      </c>
      <c r="D251" s="77"/>
      <c r="E251" s="419">
        <v>3</v>
      </c>
      <c r="F251" s="419">
        <v>4</v>
      </c>
      <c r="G251" s="419">
        <v>3</v>
      </c>
      <c r="H251" s="419">
        <v>3</v>
      </c>
      <c r="I251" s="419">
        <v>3</v>
      </c>
      <c r="J251" s="419">
        <v>3</v>
      </c>
      <c r="K251" s="78"/>
      <c r="L251" s="411">
        <f t="shared" si="99"/>
        <v>0</v>
      </c>
      <c r="M251" s="411">
        <f t="shared" si="100"/>
        <v>0</v>
      </c>
      <c r="N251" s="411">
        <f t="shared" si="101"/>
        <v>0</v>
      </c>
      <c r="O251" s="411">
        <f t="shared" si="102"/>
        <v>0</v>
      </c>
      <c r="P251" s="78">
        <f>IF(計分版!$P$259=0,0,IF(I251&gt;LARGE(Z251:AD251,1),0,1))</f>
        <v>0</v>
      </c>
      <c r="Q251" s="413">
        <f t="shared" si="109"/>
        <v>0</v>
      </c>
      <c r="S251" s="78">
        <f t="shared" si="105"/>
        <v>0</v>
      </c>
      <c r="U251" s="411">
        <f>計分版!E$13</f>
        <v>1E-10</v>
      </c>
      <c r="V251" s="411">
        <f>計分版!F$13</f>
        <v>2.0000000000000001E-10</v>
      </c>
      <c r="W251" s="411">
        <f>計分版!G$13</f>
        <v>3E-10</v>
      </c>
      <c r="X251" s="411">
        <f>計分版!H$13</f>
        <v>4.0000000000000001E-10</v>
      </c>
      <c r="Y251" s="411">
        <f>計分版!I$13</f>
        <v>5.0000000000000003E-10</v>
      </c>
      <c r="Z251" s="411">
        <f>計分版!J$13</f>
        <v>6E-10</v>
      </c>
      <c r="AA251" s="411">
        <f>計分版!K$13</f>
        <v>6.9999999999999996E-10</v>
      </c>
      <c r="AB251" s="411">
        <f>計分版!L$13</f>
        <v>8.0000000000000003E-10</v>
      </c>
      <c r="AC251" s="411">
        <f>計分版!M$13</f>
        <v>8.9999999999999999E-10</v>
      </c>
      <c r="AD251" s="411">
        <f>計分版!N$13</f>
        <v>9.5000000000000003E-10</v>
      </c>
      <c r="AG251" s="413" t="s">
        <v>2309</v>
      </c>
    </row>
    <row r="252" spans="1:33">
      <c r="A252" s="179" t="str">
        <f>HKU!A15</f>
        <v>JS6066</v>
      </c>
      <c r="B252" s="179" t="str">
        <f>HKU!C15</f>
        <v>文學士及教育學士(語文教育) - 英文教育 (雙學位課程)</v>
      </c>
      <c r="C252" s="241" t="s">
        <v>189</v>
      </c>
      <c r="D252" s="77"/>
      <c r="E252" s="419">
        <v>3</v>
      </c>
      <c r="F252" s="419">
        <v>3</v>
      </c>
      <c r="G252" s="419">
        <v>2</v>
      </c>
      <c r="H252" s="419">
        <v>2</v>
      </c>
      <c r="I252" s="419">
        <v>3</v>
      </c>
      <c r="J252" s="419">
        <v>3</v>
      </c>
      <c r="K252" s="78"/>
      <c r="L252" s="411">
        <f t="shared" si="99"/>
        <v>0</v>
      </c>
      <c r="M252" s="411">
        <f t="shared" si="100"/>
        <v>0</v>
      </c>
      <c r="N252" s="411">
        <f t="shared" si="101"/>
        <v>0</v>
      </c>
      <c r="O252" s="411">
        <f t="shared" si="102"/>
        <v>0</v>
      </c>
      <c r="P252" s="413">
        <f t="shared" ref="P252" si="110">IF(I252&gt;LARGE(Z252:AD252,1),0,1)</f>
        <v>0</v>
      </c>
      <c r="Q252" s="413">
        <f t="shared" ref="Q252" si="111">IF(J252&gt;LARGE(Z252:AD252,2),0,1)</f>
        <v>0</v>
      </c>
      <c r="S252" s="78">
        <f t="shared" si="105"/>
        <v>0</v>
      </c>
      <c r="U252" s="411">
        <f>計分版!E$13</f>
        <v>1E-10</v>
      </c>
      <c r="V252" s="411">
        <f>計分版!F$13</f>
        <v>2.0000000000000001E-10</v>
      </c>
      <c r="W252" s="411">
        <f>計分版!G$13</f>
        <v>3E-10</v>
      </c>
      <c r="X252" s="411">
        <f>計分版!H$13</f>
        <v>4.0000000000000001E-10</v>
      </c>
      <c r="Y252" s="411">
        <f>計分版!I$13</f>
        <v>5.0000000000000003E-10</v>
      </c>
      <c r="Z252" s="411">
        <f>計分版!J$13</f>
        <v>6E-10</v>
      </c>
      <c r="AA252" s="411">
        <f>計分版!K$13</f>
        <v>6.9999999999999996E-10</v>
      </c>
      <c r="AB252" s="411">
        <f>計分版!L$13</f>
        <v>8.0000000000000003E-10</v>
      </c>
      <c r="AC252" s="411">
        <f>計分版!M$13</f>
        <v>8.9999999999999999E-10</v>
      </c>
      <c r="AD252" s="411">
        <f>計分版!N$13</f>
        <v>9.5000000000000003E-10</v>
      </c>
      <c r="AG252" s="413" t="s">
        <v>2309</v>
      </c>
    </row>
    <row r="253" spans="1:33">
      <c r="A253" s="179" t="str">
        <f>HKU!A16</f>
        <v>JS6080</v>
      </c>
      <c r="B253" s="179" t="str">
        <f>HKU!C16</f>
        <v>文學士及教育學士(語文教育) - 中文教育 (雙學位課程)</v>
      </c>
      <c r="C253" s="241" t="s">
        <v>189</v>
      </c>
      <c r="D253" s="77"/>
      <c r="E253" s="419">
        <v>3</v>
      </c>
      <c r="F253" s="419">
        <v>3</v>
      </c>
      <c r="G253" s="419">
        <v>2</v>
      </c>
      <c r="H253" s="419">
        <v>2</v>
      </c>
      <c r="I253" s="419">
        <v>3</v>
      </c>
      <c r="J253" s="419">
        <v>3</v>
      </c>
      <c r="K253" s="78"/>
      <c r="L253" s="411">
        <f t="shared" si="99"/>
        <v>0</v>
      </c>
      <c r="M253" s="411">
        <f t="shared" si="100"/>
        <v>0</v>
      </c>
      <c r="N253" s="411">
        <f t="shared" si="101"/>
        <v>0</v>
      </c>
      <c r="O253" s="411">
        <f t="shared" si="102"/>
        <v>0</v>
      </c>
      <c r="P253" s="413">
        <f t="shared" ref="P253:P254" si="112">IF(I253&gt;LARGE(Z253:AD253,1),0,1)</f>
        <v>0</v>
      </c>
      <c r="Q253" s="413">
        <f t="shared" ref="Q253:Q257" si="113">IF(J253&gt;LARGE(Z253:AD253,2),0,1)</f>
        <v>0</v>
      </c>
      <c r="S253" s="78">
        <f t="shared" si="105"/>
        <v>0</v>
      </c>
      <c r="U253" s="411">
        <f>計分版!E$13</f>
        <v>1E-10</v>
      </c>
      <c r="V253" s="411">
        <f>計分版!F$13</f>
        <v>2.0000000000000001E-10</v>
      </c>
      <c r="W253" s="411">
        <f>計分版!G$13</f>
        <v>3E-10</v>
      </c>
      <c r="X253" s="411">
        <f>計分版!H$13</f>
        <v>4.0000000000000001E-10</v>
      </c>
      <c r="Y253" s="411">
        <f>計分版!I$13</f>
        <v>5.0000000000000003E-10</v>
      </c>
      <c r="Z253" s="411">
        <f>計分版!J$13</f>
        <v>6E-10</v>
      </c>
      <c r="AA253" s="411">
        <f>計分版!K$13</f>
        <v>6.9999999999999996E-10</v>
      </c>
      <c r="AB253" s="411">
        <f>計分版!L$13</f>
        <v>8.0000000000000003E-10</v>
      </c>
      <c r="AC253" s="411">
        <f>計分版!M$13</f>
        <v>8.9999999999999999E-10</v>
      </c>
      <c r="AD253" s="411">
        <f>計分版!N$13</f>
        <v>9.5000000000000003E-10</v>
      </c>
      <c r="AG253" s="413" t="s">
        <v>2309</v>
      </c>
    </row>
    <row r="254" spans="1:33">
      <c r="A254" s="179" t="str">
        <f>HKU!A17</f>
        <v>JS6092</v>
      </c>
      <c r="B254" s="179" t="str">
        <f>HKU!C17</f>
        <v>教育學士(幼兒教育及特殊教育)</v>
      </c>
      <c r="C254" s="241" t="s">
        <v>189</v>
      </c>
      <c r="D254" s="77"/>
      <c r="E254" s="419">
        <v>3</v>
      </c>
      <c r="F254" s="419">
        <v>3</v>
      </c>
      <c r="G254" s="419">
        <v>2</v>
      </c>
      <c r="H254" s="419">
        <v>2</v>
      </c>
      <c r="I254" s="419">
        <v>3</v>
      </c>
      <c r="J254" s="419">
        <v>3</v>
      </c>
      <c r="K254" s="78"/>
      <c r="L254" s="411">
        <f t="shared" si="99"/>
        <v>0</v>
      </c>
      <c r="M254" s="411">
        <f t="shared" si="100"/>
        <v>0</v>
      </c>
      <c r="N254" s="411">
        <f t="shared" si="101"/>
        <v>0</v>
      </c>
      <c r="O254" s="411">
        <f t="shared" si="102"/>
        <v>0</v>
      </c>
      <c r="P254" s="413">
        <f t="shared" si="112"/>
        <v>0</v>
      </c>
      <c r="Q254" s="413">
        <f t="shared" si="113"/>
        <v>0</v>
      </c>
      <c r="S254" s="78">
        <f t="shared" si="105"/>
        <v>0</v>
      </c>
      <c r="U254" s="411">
        <f>計分版!E$13</f>
        <v>1E-10</v>
      </c>
      <c r="V254" s="411">
        <f>計分版!F$13</f>
        <v>2.0000000000000001E-10</v>
      </c>
      <c r="W254" s="411">
        <f>計分版!G$13</f>
        <v>3E-10</v>
      </c>
      <c r="X254" s="411">
        <f>計分版!H$13</f>
        <v>4.0000000000000001E-10</v>
      </c>
      <c r="Y254" s="411">
        <f>計分版!I$13</f>
        <v>5.0000000000000003E-10</v>
      </c>
      <c r="Z254" s="411">
        <f>計分版!J$13</f>
        <v>6E-10</v>
      </c>
      <c r="AA254" s="411">
        <f>計分版!K$13</f>
        <v>6.9999999999999996E-10</v>
      </c>
      <c r="AB254" s="411">
        <f>計分版!L$13</f>
        <v>8.0000000000000003E-10</v>
      </c>
      <c r="AC254" s="411">
        <f>計分版!M$13</f>
        <v>8.9999999999999999E-10</v>
      </c>
      <c r="AD254" s="411">
        <f>計分版!N$13</f>
        <v>9.5000000000000003E-10</v>
      </c>
      <c r="AG254" s="413" t="s">
        <v>2309</v>
      </c>
    </row>
    <row r="255" spans="1:33">
      <c r="A255" s="179" t="str">
        <f>HKU!A18</f>
        <v>JS6119</v>
      </c>
      <c r="B255" s="179" t="str">
        <f>HKU!C18</f>
        <v>教育學士及理學士 (雙學位課程)</v>
      </c>
      <c r="C255" s="241" t="s">
        <v>189</v>
      </c>
      <c r="D255" s="77"/>
      <c r="E255" s="419">
        <v>3</v>
      </c>
      <c r="F255" s="419">
        <v>3</v>
      </c>
      <c r="G255" s="419">
        <v>2</v>
      </c>
      <c r="H255" s="419">
        <v>2</v>
      </c>
      <c r="I255" s="419">
        <v>3</v>
      </c>
      <c r="J255" s="419">
        <v>3</v>
      </c>
      <c r="K255" s="78"/>
      <c r="L255" s="411">
        <f t="shared" si="99"/>
        <v>0</v>
      </c>
      <c r="M255" s="411">
        <f t="shared" si="100"/>
        <v>0</v>
      </c>
      <c r="N255" s="411">
        <f t="shared" si="101"/>
        <v>0</v>
      </c>
      <c r="O255" s="411">
        <f t="shared" si="102"/>
        <v>0</v>
      </c>
      <c r="P255" s="78">
        <f>IF(計分版!$P$259=0,0,IF(I255&gt;LARGE(Z255:AD255,1),0,1))</f>
        <v>0</v>
      </c>
      <c r="Q255" s="413">
        <f t="shared" si="113"/>
        <v>0</v>
      </c>
      <c r="S255" s="78">
        <f t="shared" si="105"/>
        <v>0</v>
      </c>
      <c r="U255" s="411">
        <f>計分版!E$13</f>
        <v>1E-10</v>
      </c>
      <c r="V255" s="411">
        <f>計分版!F$13</f>
        <v>2.0000000000000001E-10</v>
      </c>
      <c r="W255" s="411">
        <f>計分版!G$13</f>
        <v>3E-10</v>
      </c>
      <c r="X255" s="411">
        <f>計分版!H$13</f>
        <v>4.0000000000000001E-10</v>
      </c>
      <c r="Y255" s="411">
        <f>計分版!I$13</f>
        <v>5.0000000000000003E-10</v>
      </c>
      <c r="Z255" s="411">
        <f>計分版!J$13</f>
        <v>6E-10</v>
      </c>
      <c r="AA255" s="411">
        <f>計分版!K$13</f>
        <v>6.9999999999999996E-10</v>
      </c>
      <c r="AB255" s="411">
        <f>計分版!L$13</f>
        <v>8.0000000000000003E-10</v>
      </c>
      <c r="AC255" s="411">
        <f>計分版!M$13</f>
        <v>8.9999999999999999E-10</v>
      </c>
      <c r="AD255" s="411">
        <f>計分版!N$13</f>
        <v>9.5000000000000003E-10</v>
      </c>
      <c r="AG255" s="413" t="s">
        <v>2309</v>
      </c>
    </row>
    <row r="256" spans="1:33">
      <c r="A256" s="179" t="str">
        <f>HKU!A19</f>
        <v>JS6157</v>
      </c>
      <c r="B256" s="179" t="str">
        <f>HKU!C19</f>
        <v>理學士(言語及聽覺科學)</v>
      </c>
      <c r="C256" s="241" t="s">
        <v>58</v>
      </c>
      <c r="D256" s="77"/>
      <c r="E256" s="419">
        <v>3</v>
      </c>
      <c r="F256" s="419">
        <v>3</v>
      </c>
      <c r="G256" s="419">
        <v>2</v>
      </c>
      <c r="H256" s="419">
        <v>2</v>
      </c>
      <c r="I256" s="419">
        <v>3</v>
      </c>
      <c r="J256" s="419">
        <v>3</v>
      </c>
      <c r="K256" s="78"/>
      <c r="L256" s="411">
        <f t="shared" si="99"/>
        <v>0</v>
      </c>
      <c r="M256" s="411">
        <f t="shared" si="100"/>
        <v>0</v>
      </c>
      <c r="N256" s="411">
        <f t="shared" si="101"/>
        <v>0</v>
      </c>
      <c r="O256" s="411">
        <f t="shared" si="102"/>
        <v>0</v>
      </c>
      <c r="P256" s="78">
        <f>IF(計分版!$P$267=0,0,IF(I256&gt;LARGE(Z256:AD256,1),0,1))</f>
        <v>0</v>
      </c>
      <c r="Q256" s="413">
        <f t="shared" si="113"/>
        <v>0</v>
      </c>
      <c r="S256" s="78">
        <f t="shared" si="105"/>
        <v>0</v>
      </c>
      <c r="U256" s="411">
        <f>計分版!E$13</f>
        <v>1E-10</v>
      </c>
      <c r="V256" s="411">
        <f>計分版!F$13</f>
        <v>2.0000000000000001E-10</v>
      </c>
      <c r="W256" s="411">
        <f>計分版!G$13</f>
        <v>3E-10</v>
      </c>
      <c r="X256" s="411">
        <f>計分版!H$13</f>
        <v>4.0000000000000001E-10</v>
      </c>
      <c r="Y256" s="411">
        <f>計分版!I$13</f>
        <v>5.0000000000000003E-10</v>
      </c>
      <c r="Z256" s="411">
        <f>計分版!J$13</f>
        <v>6E-10</v>
      </c>
      <c r="AA256" s="411">
        <f>計分版!K$13</f>
        <v>6.9999999999999996E-10</v>
      </c>
      <c r="AB256" s="411">
        <f>計分版!L$13</f>
        <v>8.0000000000000003E-10</v>
      </c>
      <c r="AC256" s="411">
        <f>計分版!M$13</f>
        <v>8.9999999999999999E-10</v>
      </c>
      <c r="AD256" s="411">
        <f>計分版!N$13</f>
        <v>9.5000000000000003E-10</v>
      </c>
      <c r="AG256" s="413" t="s">
        <v>2309</v>
      </c>
    </row>
    <row r="257" spans="1:39">
      <c r="A257" s="179" t="str">
        <f>HKU!A20</f>
        <v>JS6195</v>
      </c>
      <c r="B257" s="179" t="str">
        <f>HKU!C20</f>
        <v>教育學士及社會科學學士 (雙學位課程)</v>
      </c>
      <c r="C257" s="241" t="s">
        <v>189</v>
      </c>
      <c r="D257" s="77"/>
      <c r="E257" s="419">
        <v>3</v>
      </c>
      <c r="F257" s="419">
        <v>3</v>
      </c>
      <c r="G257" s="419">
        <v>2</v>
      </c>
      <c r="H257" s="419">
        <v>2</v>
      </c>
      <c r="I257" s="419">
        <v>3</v>
      </c>
      <c r="J257" s="419">
        <v>3</v>
      </c>
      <c r="K257" s="78"/>
      <c r="L257" s="411">
        <f t="shared" si="99"/>
        <v>0</v>
      </c>
      <c r="M257" s="411">
        <f t="shared" si="100"/>
        <v>0</v>
      </c>
      <c r="N257" s="411">
        <f t="shared" si="101"/>
        <v>0</v>
      </c>
      <c r="O257" s="411">
        <f t="shared" si="102"/>
        <v>0</v>
      </c>
      <c r="P257" s="436">
        <f>IF(I257&gt;LARGE(Z257:AD257,1),0,1)</f>
        <v>0</v>
      </c>
      <c r="Q257" s="413">
        <f t="shared" si="113"/>
        <v>0</v>
      </c>
      <c r="S257" s="78">
        <f t="shared" si="105"/>
        <v>0</v>
      </c>
      <c r="U257" s="411">
        <f>計分版!E$13</f>
        <v>1E-10</v>
      </c>
      <c r="V257" s="411">
        <f>計分版!F$13</f>
        <v>2.0000000000000001E-10</v>
      </c>
      <c r="W257" s="411">
        <f>計分版!G$13</f>
        <v>3E-10</v>
      </c>
      <c r="X257" s="411">
        <f>計分版!H$13</f>
        <v>4.0000000000000001E-10</v>
      </c>
      <c r="Y257" s="411">
        <f>計分版!I$13</f>
        <v>5.0000000000000003E-10</v>
      </c>
      <c r="Z257" s="411">
        <f>計分版!J$13</f>
        <v>6E-10</v>
      </c>
      <c r="AA257" s="411">
        <f>計分版!K$13</f>
        <v>6.9999999999999996E-10</v>
      </c>
      <c r="AB257" s="411">
        <f>計分版!L$13</f>
        <v>8.0000000000000003E-10</v>
      </c>
      <c r="AC257" s="411">
        <f>計分版!M$13</f>
        <v>8.9999999999999999E-10</v>
      </c>
      <c r="AD257" s="411">
        <f>計分版!N$13</f>
        <v>9.5000000000000003E-10</v>
      </c>
      <c r="AG257" s="413" t="s">
        <v>2309</v>
      </c>
    </row>
    <row r="258" spans="1:39">
      <c r="A258" s="179" t="str">
        <f>HKU!A21</f>
        <v>JS6925</v>
      </c>
      <c r="B258" s="179" t="str">
        <f>HKU!C21</f>
        <v>工學學士(生物醫學工程)</v>
      </c>
      <c r="C258" s="241" t="s">
        <v>189</v>
      </c>
      <c r="D258" s="77"/>
      <c r="E258" s="419">
        <v>3</v>
      </c>
      <c r="F258" s="419">
        <v>3</v>
      </c>
      <c r="G258" s="419">
        <v>2</v>
      </c>
      <c r="H258" s="419">
        <v>2</v>
      </c>
      <c r="I258" s="419">
        <v>3</v>
      </c>
      <c r="J258" s="419">
        <v>3</v>
      </c>
      <c r="K258" s="78"/>
      <c r="L258" s="411">
        <f t="shared" si="99"/>
        <v>0</v>
      </c>
      <c r="M258" s="411">
        <f t="shared" si="100"/>
        <v>0</v>
      </c>
      <c r="N258" s="411">
        <f t="shared" si="101"/>
        <v>0</v>
      </c>
      <c r="O258" s="411">
        <f t="shared" si="102"/>
        <v>0</v>
      </c>
      <c r="P258" s="78">
        <f>IF(計分版!$P$263=0,0,IF(I258&gt;LARGE(Z258:AD258,1),0,1))</f>
        <v>0</v>
      </c>
      <c r="Q258" s="78">
        <f>IF(J258&gt;LARGE(Z258:AD258,2),0,IF(計分版!$I$13&lt;3,2,1))</f>
        <v>0</v>
      </c>
      <c r="S258" s="78">
        <f t="shared" si="105"/>
        <v>0</v>
      </c>
      <c r="U258" s="411">
        <f>計分版!E$13</f>
        <v>1E-10</v>
      </c>
      <c r="V258" s="411">
        <f>計分版!F$13</f>
        <v>2.0000000000000001E-10</v>
      </c>
      <c r="W258" s="411">
        <f>計分版!G$13</f>
        <v>3E-10</v>
      </c>
      <c r="X258" s="411">
        <f>計分版!H$13</f>
        <v>4.0000000000000001E-10</v>
      </c>
      <c r="Y258" s="411">
        <f>計分版!I$13</f>
        <v>5.0000000000000003E-10</v>
      </c>
      <c r="Z258" s="411">
        <f>計分版!J$13</f>
        <v>6E-10</v>
      </c>
      <c r="AA258" s="411">
        <f>計分版!K$13</f>
        <v>6.9999999999999996E-10</v>
      </c>
      <c r="AB258" s="411">
        <f>計分版!L$13</f>
        <v>8.0000000000000003E-10</v>
      </c>
      <c r="AC258" s="411">
        <f>計分版!M$13</f>
        <v>8.9999999999999999E-10</v>
      </c>
      <c r="AD258" s="411">
        <f>計分版!N$13</f>
        <v>9.5000000000000003E-10</v>
      </c>
      <c r="AG258" s="413" t="s">
        <v>2309</v>
      </c>
    </row>
    <row r="259" spans="1:39">
      <c r="A259" s="179" t="str">
        <f>HKU!A22</f>
        <v>JS6937</v>
      </c>
      <c r="B259" s="179" t="str">
        <f>HKU!C22</f>
        <v>環球工程與商業課程</v>
      </c>
      <c r="C259" s="241" t="s">
        <v>189</v>
      </c>
      <c r="D259" s="77"/>
      <c r="E259" s="419">
        <v>3</v>
      </c>
      <c r="F259" s="419">
        <v>4</v>
      </c>
      <c r="G259" s="419">
        <v>4</v>
      </c>
      <c r="H259" s="419">
        <v>2</v>
      </c>
      <c r="I259" s="419">
        <v>3</v>
      </c>
      <c r="J259" s="419">
        <v>3</v>
      </c>
      <c r="K259" s="78"/>
      <c r="L259" s="411">
        <f t="shared" si="99"/>
        <v>0</v>
      </c>
      <c r="M259" s="411">
        <f t="shared" si="100"/>
        <v>0</v>
      </c>
      <c r="N259" s="411">
        <f t="shared" si="101"/>
        <v>0</v>
      </c>
      <c r="O259" s="411">
        <f t="shared" si="102"/>
        <v>0</v>
      </c>
      <c r="P259" s="78">
        <f>IF(計分版!$P$263=0,0,IF(I259&gt;LARGE(Z259:AD259,1),0,1))</f>
        <v>0</v>
      </c>
      <c r="Q259" s="78">
        <f>IF(J259&gt;LARGE(Z259:AD259,2),0,IF(計分版!$I$13&lt;3,2,1))</f>
        <v>0</v>
      </c>
      <c r="S259" s="78">
        <f t="shared" si="105"/>
        <v>0</v>
      </c>
      <c r="U259" s="411">
        <f>計分版!E$13</f>
        <v>1E-10</v>
      </c>
      <c r="V259" s="411">
        <f>計分版!F$13</f>
        <v>2.0000000000000001E-10</v>
      </c>
      <c r="W259" s="411">
        <f>計分版!G$13</f>
        <v>3E-10</v>
      </c>
      <c r="X259" s="411">
        <f>計分版!H$13</f>
        <v>4.0000000000000001E-10</v>
      </c>
      <c r="Y259" s="411">
        <f>計分版!I$13</f>
        <v>5.0000000000000003E-10</v>
      </c>
      <c r="Z259" s="411">
        <f>計分版!J$13</f>
        <v>6E-10</v>
      </c>
      <c r="AA259" s="411">
        <f>計分版!K$13</f>
        <v>6.9999999999999996E-10</v>
      </c>
      <c r="AB259" s="411">
        <f>計分版!L$13</f>
        <v>8.0000000000000003E-10</v>
      </c>
      <c r="AC259" s="411">
        <f>計分版!M$13</f>
        <v>8.9999999999999999E-10</v>
      </c>
      <c r="AD259" s="411">
        <f>計分版!N$13</f>
        <v>9.5000000000000003E-10</v>
      </c>
      <c r="AG259" s="413" t="s">
        <v>2309</v>
      </c>
    </row>
    <row r="260" spans="1:39">
      <c r="A260" s="179" t="str">
        <f>HKU!A23</f>
        <v>JS6951</v>
      </c>
      <c r="B260" s="179" t="str">
        <f>HKU!C23</f>
        <v>工學學士(工程科學)</v>
      </c>
      <c r="C260" s="241" t="s">
        <v>189</v>
      </c>
      <c r="D260" s="77"/>
      <c r="E260" s="419">
        <v>3</v>
      </c>
      <c r="F260" s="419">
        <v>3</v>
      </c>
      <c r="G260" s="419">
        <v>2</v>
      </c>
      <c r="H260" s="419">
        <v>2</v>
      </c>
      <c r="I260" s="419">
        <v>3</v>
      </c>
      <c r="J260" s="419">
        <v>3</v>
      </c>
      <c r="K260" s="78"/>
      <c r="L260" s="411">
        <f t="shared" si="99"/>
        <v>0</v>
      </c>
      <c r="M260" s="411">
        <f t="shared" si="100"/>
        <v>0</v>
      </c>
      <c r="N260" s="411">
        <f t="shared" si="101"/>
        <v>0</v>
      </c>
      <c r="O260" s="411">
        <f t="shared" si="102"/>
        <v>0</v>
      </c>
      <c r="P260" s="78">
        <f>IF(計分版!$P$263=0,0,IF(I260&gt;LARGE(Z260:AD260,1),0,1))</f>
        <v>0</v>
      </c>
      <c r="Q260" s="78">
        <f>IF(J260&gt;LARGE(Z260:AD260,2),0,IF(計分版!$I$13&lt;3,2,1))</f>
        <v>0</v>
      </c>
      <c r="S260" s="78">
        <f t="shared" si="105"/>
        <v>0</v>
      </c>
      <c r="U260" s="411">
        <f>計分版!E$13</f>
        <v>1E-10</v>
      </c>
      <c r="V260" s="411">
        <f>計分版!F$13</f>
        <v>2.0000000000000001E-10</v>
      </c>
      <c r="W260" s="411">
        <f>計分版!G$13</f>
        <v>3E-10</v>
      </c>
      <c r="X260" s="411">
        <f>計分版!H$13</f>
        <v>4.0000000000000001E-10</v>
      </c>
      <c r="Y260" s="411">
        <f>計分版!I$13</f>
        <v>5.0000000000000003E-10</v>
      </c>
      <c r="Z260" s="411">
        <f>計分版!J$13</f>
        <v>6E-10</v>
      </c>
      <c r="AA260" s="411">
        <f>計分版!K$13</f>
        <v>6.9999999999999996E-10</v>
      </c>
      <c r="AB260" s="411">
        <f>計分版!L$13</f>
        <v>8.0000000000000003E-10</v>
      </c>
      <c r="AC260" s="411">
        <f>計分版!M$13</f>
        <v>8.9999999999999999E-10</v>
      </c>
      <c r="AD260" s="411">
        <f>計分版!N$13</f>
        <v>9.5000000000000003E-10</v>
      </c>
      <c r="AG260" s="413" t="s">
        <v>2309</v>
      </c>
    </row>
    <row r="261" spans="1:39">
      <c r="A261" s="179" t="str">
        <f>HKU!A24</f>
        <v>JS6963</v>
      </c>
      <c r="B261" s="179" t="str">
        <f>HKU!C24</f>
        <v>工學學士</v>
      </c>
      <c r="C261" s="241" t="s">
        <v>189</v>
      </c>
      <c r="D261" s="77"/>
      <c r="E261" s="419">
        <v>3</v>
      </c>
      <c r="F261" s="419">
        <v>3</v>
      </c>
      <c r="G261" s="419">
        <v>2</v>
      </c>
      <c r="H261" s="419">
        <v>2</v>
      </c>
      <c r="I261" s="419">
        <v>3</v>
      </c>
      <c r="J261" s="419">
        <v>3</v>
      </c>
      <c r="K261" s="78"/>
      <c r="L261" s="411">
        <f t="shared" si="99"/>
        <v>0</v>
      </c>
      <c r="M261" s="411">
        <f t="shared" si="100"/>
        <v>0</v>
      </c>
      <c r="N261" s="411">
        <f t="shared" si="101"/>
        <v>0</v>
      </c>
      <c r="O261" s="411">
        <f t="shared" si="102"/>
        <v>0</v>
      </c>
      <c r="P261" s="78">
        <f>IF(計分版!$P$263=0,0,IF(I261&gt;LARGE(Z261:AD261,1),0,1))</f>
        <v>0</v>
      </c>
      <c r="Q261" s="78">
        <f>IF(J261&gt;LARGE(Z261:AD261,2),0,IF(計分版!$I$13&lt;3,2,1))</f>
        <v>0</v>
      </c>
      <c r="S261" s="78">
        <f t="shared" si="105"/>
        <v>0</v>
      </c>
      <c r="T261" s="104"/>
      <c r="U261" s="411">
        <f>計分版!E$13</f>
        <v>1E-10</v>
      </c>
      <c r="V261" s="411">
        <f>計分版!F$13</f>
        <v>2.0000000000000001E-10</v>
      </c>
      <c r="W261" s="411">
        <f>計分版!G$13</f>
        <v>3E-10</v>
      </c>
      <c r="X261" s="411">
        <f>計分版!H$13</f>
        <v>4.0000000000000001E-10</v>
      </c>
      <c r="Y261" s="411">
        <f>計分版!I$13</f>
        <v>5.0000000000000003E-10</v>
      </c>
      <c r="Z261" s="411">
        <f>計分版!J$13</f>
        <v>6E-10</v>
      </c>
      <c r="AA261" s="411">
        <f>計分版!K$13</f>
        <v>6.9999999999999996E-10</v>
      </c>
      <c r="AB261" s="411">
        <f>計分版!L$13</f>
        <v>8.0000000000000003E-10</v>
      </c>
      <c r="AC261" s="411">
        <f>計分版!M$13</f>
        <v>8.9999999999999999E-10</v>
      </c>
      <c r="AD261" s="411">
        <f>計分版!N$13</f>
        <v>9.5000000000000003E-10</v>
      </c>
      <c r="AG261" s="413" t="s">
        <v>2309</v>
      </c>
    </row>
    <row r="262" spans="1:39">
      <c r="A262" s="179" t="str">
        <f>HKU!A25</f>
        <v>JS6078</v>
      </c>
      <c r="B262" s="179" t="str">
        <f>HKU!C25</f>
        <v>文學士及法學士 (雙學位課程)</v>
      </c>
      <c r="C262" s="241" t="s">
        <v>58</v>
      </c>
      <c r="D262" s="77"/>
      <c r="E262" s="419">
        <v>4</v>
      </c>
      <c r="F262" s="419">
        <v>5</v>
      </c>
      <c r="G262" s="419">
        <v>3</v>
      </c>
      <c r="H262" s="419">
        <v>3</v>
      </c>
      <c r="I262" s="419">
        <v>3</v>
      </c>
      <c r="J262" s="419">
        <v>3</v>
      </c>
      <c r="K262" s="78"/>
      <c r="L262" s="411">
        <f t="shared" si="99"/>
        <v>0</v>
      </c>
      <c r="M262" s="411">
        <f t="shared" si="100"/>
        <v>0</v>
      </c>
      <c r="N262" s="411">
        <f t="shared" si="101"/>
        <v>0</v>
      </c>
      <c r="O262" s="411">
        <f t="shared" si="102"/>
        <v>0</v>
      </c>
      <c r="P262" s="78">
        <f>IF(I262&gt;LARGE(Z262:AD262,1),0,1)</f>
        <v>0</v>
      </c>
      <c r="Q262" s="78">
        <f t="shared" ref="Q262:Q268" si="114">IF(J262&gt;LARGE(Z262:AD262,2),0,1)</f>
        <v>0</v>
      </c>
      <c r="S262" s="78">
        <f t="shared" si="105"/>
        <v>0</v>
      </c>
      <c r="T262" s="104"/>
      <c r="U262" s="411">
        <f>計分版!E$13</f>
        <v>1E-10</v>
      </c>
      <c r="V262" s="411">
        <f>計分版!F$13</f>
        <v>2.0000000000000001E-10</v>
      </c>
      <c r="W262" s="411">
        <f>計分版!G$13</f>
        <v>3E-10</v>
      </c>
      <c r="X262" s="411">
        <f>計分版!H$13</f>
        <v>4.0000000000000001E-10</v>
      </c>
      <c r="Y262" s="411">
        <f>計分版!I$13</f>
        <v>5.0000000000000003E-10</v>
      </c>
      <c r="Z262" s="411">
        <f>計分版!J$13</f>
        <v>6E-10</v>
      </c>
      <c r="AA262" s="411">
        <f>計分版!K$13</f>
        <v>6.9999999999999996E-10</v>
      </c>
      <c r="AB262" s="411">
        <f>計分版!L$13</f>
        <v>8.0000000000000003E-10</v>
      </c>
      <c r="AC262" s="411">
        <f>計分版!M$13</f>
        <v>8.9999999999999999E-10</v>
      </c>
      <c r="AD262" s="411">
        <f>計分版!N$13</f>
        <v>9.5000000000000003E-10</v>
      </c>
      <c r="AG262" s="413" t="s">
        <v>2309</v>
      </c>
    </row>
    <row r="263" spans="1:39">
      <c r="A263" s="179" t="str">
        <f>HKU!A26</f>
        <v>JS6406</v>
      </c>
      <c r="B263" s="179" t="str">
        <f>HKU!C26</f>
        <v>法學士</v>
      </c>
      <c r="C263" s="241" t="s">
        <v>58</v>
      </c>
      <c r="D263" s="77"/>
      <c r="E263" s="419">
        <v>4</v>
      </c>
      <c r="F263" s="419">
        <v>5</v>
      </c>
      <c r="G263" s="419">
        <v>3</v>
      </c>
      <c r="H263" s="419">
        <v>3</v>
      </c>
      <c r="I263" s="419">
        <v>3</v>
      </c>
      <c r="J263" s="419">
        <v>3</v>
      </c>
      <c r="K263" s="78"/>
      <c r="L263" s="411">
        <f t="shared" si="99"/>
        <v>0</v>
      </c>
      <c r="M263" s="411">
        <f t="shared" si="100"/>
        <v>0</v>
      </c>
      <c r="N263" s="411">
        <f t="shared" si="101"/>
        <v>0</v>
      </c>
      <c r="O263" s="411">
        <f t="shared" si="102"/>
        <v>0</v>
      </c>
      <c r="P263" s="78">
        <f>IF(I263&gt;LARGE(Z263:AD263,1),0,1)</f>
        <v>0</v>
      </c>
      <c r="Q263" s="78">
        <f t="shared" si="114"/>
        <v>0</v>
      </c>
      <c r="S263" s="78">
        <f t="shared" si="105"/>
        <v>0</v>
      </c>
      <c r="U263" s="411">
        <f>計分版!E$13</f>
        <v>1E-10</v>
      </c>
      <c r="V263" s="411">
        <f>計分版!F$13</f>
        <v>2.0000000000000001E-10</v>
      </c>
      <c r="W263" s="411">
        <f>計分版!G$13</f>
        <v>3E-10</v>
      </c>
      <c r="X263" s="411">
        <f>計分版!H$13</f>
        <v>4.0000000000000001E-10</v>
      </c>
      <c r="Y263" s="411">
        <f>計分版!I$13</f>
        <v>5.0000000000000003E-10</v>
      </c>
      <c r="Z263" s="411">
        <f>計分版!J$13</f>
        <v>6E-10</v>
      </c>
      <c r="AA263" s="411">
        <f>計分版!K$13</f>
        <v>6.9999999999999996E-10</v>
      </c>
      <c r="AB263" s="411">
        <f>計分版!L$13</f>
        <v>8.0000000000000003E-10</v>
      </c>
      <c r="AC263" s="411">
        <f>計分版!M$13</f>
        <v>8.9999999999999999E-10</v>
      </c>
      <c r="AD263" s="411">
        <f>計分版!N$13</f>
        <v>9.5000000000000003E-10</v>
      </c>
      <c r="AG263" s="413" t="s">
        <v>2309</v>
      </c>
    </row>
    <row r="264" spans="1:39" s="174" customFormat="1">
      <c r="A264" s="179" t="str">
        <f>HKU!A27</f>
        <v>JS6418</v>
      </c>
      <c r="B264" s="179" t="str">
        <f>HKU!C27</f>
        <v>護理學學士菁英領袖培育專修組別</v>
      </c>
      <c r="C264" s="241" t="s">
        <v>189</v>
      </c>
      <c r="D264" s="257"/>
      <c r="E264" s="419">
        <v>3</v>
      </c>
      <c r="F264" s="419">
        <v>3</v>
      </c>
      <c r="G264" s="419">
        <v>2</v>
      </c>
      <c r="H264" s="419">
        <v>2</v>
      </c>
      <c r="I264" s="419">
        <v>3</v>
      </c>
      <c r="J264" s="419">
        <v>3</v>
      </c>
      <c r="K264" s="321"/>
      <c r="L264" s="411">
        <f t="shared" si="99"/>
        <v>0</v>
      </c>
      <c r="M264" s="411">
        <f t="shared" si="100"/>
        <v>0</v>
      </c>
      <c r="N264" s="411">
        <f t="shared" si="101"/>
        <v>0</v>
      </c>
      <c r="O264" s="411">
        <f t="shared" si="102"/>
        <v>0</v>
      </c>
      <c r="P264" s="321">
        <f>IF(I264&gt;LARGE(Z264:AD264,1),0,1)</f>
        <v>0</v>
      </c>
      <c r="Q264" s="321">
        <f t="shared" si="114"/>
        <v>0</v>
      </c>
      <c r="S264" s="321">
        <f t="shared" si="105"/>
        <v>0</v>
      </c>
      <c r="T264" s="321"/>
      <c r="U264" s="411">
        <f>計分版!E$13</f>
        <v>1E-10</v>
      </c>
      <c r="V264" s="411">
        <f>計分版!F$13</f>
        <v>2.0000000000000001E-10</v>
      </c>
      <c r="W264" s="411">
        <f>計分版!G$13</f>
        <v>3E-10</v>
      </c>
      <c r="X264" s="411">
        <f>計分版!H$13</f>
        <v>4.0000000000000001E-10</v>
      </c>
      <c r="Y264" s="411">
        <f>計分版!I$13</f>
        <v>5.0000000000000003E-10</v>
      </c>
      <c r="Z264" s="411">
        <f>計分版!J$13</f>
        <v>6E-10</v>
      </c>
      <c r="AA264" s="411">
        <f>計分版!K$13</f>
        <v>6.9999999999999996E-10</v>
      </c>
      <c r="AB264" s="411">
        <f>計分版!L$13</f>
        <v>8.0000000000000003E-10</v>
      </c>
      <c r="AC264" s="411">
        <f>計分版!M$13</f>
        <v>8.9999999999999999E-10</v>
      </c>
      <c r="AD264" s="411">
        <f>計分版!N$13</f>
        <v>9.5000000000000003E-10</v>
      </c>
      <c r="AE264" s="182"/>
      <c r="AF264" s="413"/>
      <c r="AG264" s="413" t="s">
        <v>2309</v>
      </c>
      <c r="AH264" s="413"/>
      <c r="AI264" s="413"/>
      <c r="AJ264" s="413"/>
      <c r="AK264" s="413"/>
      <c r="AL264" s="413"/>
      <c r="AM264" s="413"/>
    </row>
    <row r="265" spans="1:39">
      <c r="A265" s="179" t="str">
        <f>HKU!A28</f>
        <v>JS6456</v>
      </c>
      <c r="B265" s="179" t="str">
        <f>HKU!C28</f>
        <v>內外全科醫學士</v>
      </c>
      <c r="C265" s="241" t="s">
        <v>58</v>
      </c>
      <c r="D265" s="77"/>
      <c r="E265" s="419">
        <v>3</v>
      </c>
      <c r="F265" s="419">
        <v>4</v>
      </c>
      <c r="G265" s="419">
        <v>2</v>
      </c>
      <c r="H265" s="419">
        <v>2</v>
      </c>
      <c r="I265" s="419">
        <v>3</v>
      </c>
      <c r="J265" s="419">
        <v>3</v>
      </c>
      <c r="K265" s="78"/>
      <c r="L265" s="411">
        <f t="shared" si="99"/>
        <v>0</v>
      </c>
      <c r="M265" s="411">
        <f t="shared" si="100"/>
        <v>0</v>
      </c>
      <c r="N265" s="411">
        <f t="shared" si="101"/>
        <v>0</v>
      </c>
      <c r="O265" s="411">
        <f t="shared" si="102"/>
        <v>0</v>
      </c>
      <c r="P265" s="78">
        <f>IF(計分版!P265=0,0,IF(I265&gt;LARGE(Z265:AD265,1),0,1))</f>
        <v>0</v>
      </c>
      <c r="Q265" s="78">
        <f t="shared" si="114"/>
        <v>0</v>
      </c>
      <c r="S265" s="78">
        <f t="shared" si="105"/>
        <v>0</v>
      </c>
      <c r="U265" s="411">
        <f>計分版!E$13</f>
        <v>1E-10</v>
      </c>
      <c r="V265" s="411">
        <f>計分版!F$13</f>
        <v>2.0000000000000001E-10</v>
      </c>
      <c r="W265" s="411">
        <f>計分版!G$13</f>
        <v>3E-10</v>
      </c>
      <c r="X265" s="411">
        <f>計分版!H$13</f>
        <v>4.0000000000000001E-10</v>
      </c>
      <c r="Y265" s="411">
        <f>計分版!I$13</f>
        <v>5.0000000000000003E-10</v>
      </c>
      <c r="Z265" s="411">
        <f>計分版!J$13</f>
        <v>6E-10</v>
      </c>
      <c r="AA265" s="411">
        <f>計分版!K$13</f>
        <v>6.9999999999999996E-10</v>
      </c>
      <c r="AB265" s="411">
        <f>計分版!L$13</f>
        <v>8.0000000000000003E-10</v>
      </c>
      <c r="AC265" s="411">
        <f>計分版!M$13</f>
        <v>8.9999999999999999E-10</v>
      </c>
      <c r="AD265" s="411">
        <f>計分版!N$13</f>
        <v>9.5000000000000003E-10</v>
      </c>
      <c r="AG265" s="413" t="s">
        <v>2309</v>
      </c>
    </row>
    <row r="266" spans="1:39">
      <c r="A266" s="179" t="str">
        <f>HKU!A29</f>
        <v>JS6468</v>
      </c>
      <c r="B266" s="179" t="str">
        <f>HKU!C29</f>
        <v>護理學學士</v>
      </c>
      <c r="C266" s="241" t="s">
        <v>189</v>
      </c>
      <c r="D266" s="77"/>
      <c r="E266" s="419">
        <v>3</v>
      </c>
      <c r="F266" s="419">
        <v>3</v>
      </c>
      <c r="G266" s="419">
        <v>2</v>
      </c>
      <c r="H266" s="419">
        <v>2</v>
      </c>
      <c r="I266" s="419">
        <v>3</v>
      </c>
      <c r="J266" s="419">
        <v>3</v>
      </c>
      <c r="K266" s="78"/>
      <c r="L266" s="411">
        <f t="shared" si="99"/>
        <v>0</v>
      </c>
      <c r="M266" s="411">
        <f t="shared" si="100"/>
        <v>0</v>
      </c>
      <c r="N266" s="411">
        <f t="shared" si="101"/>
        <v>0</v>
      </c>
      <c r="O266" s="411">
        <f t="shared" si="102"/>
        <v>0</v>
      </c>
      <c r="P266" s="78">
        <f>IF(I266&gt;LARGE(Z266:AD266,1),0,1)</f>
        <v>0</v>
      </c>
      <c r="Q266" s="78">
        <f t="shared" si="114"/>
        <v>0</v>
      </c>
      <c r="S266" s="78">
        <f t="shared" si="105"/>
        <v>0</v>
      </c>
      <c r="U266" s="411">
        <f>計分版!E$13</f>
        <v>1E-10</v>
      </c>
      <c r="V266" s="411">
        <f>計分版!F$13</f>
        <v>2.0000000000000001E-10</v>
      </c>
      <c r="W266" s="411">
        <f>計分版!G$13</f>
        <v>3E-10</v>
      </c>
      <c r="X266" s="411">
        <f>計分版!H$13</f>
        <v>4.0000000000000001E-10</v>
      </c>
      <c r="Y266" s="411">
        <f>計分版!I$13</f>
        <v>5.0000000000000003E-10</v>
      </c>
      <c r="Z266" s="411">
        <f>計分版!J$13</f>
        <v>6E-10</v>
      </c>
      <c r="AA266" s="411">
        <f>計分版!K$13</f>
        <v>6.9999999999999996E-10</v>
      </c>
      <c r="AB266" s="411">
        <f>計分版!L$13</f>
        <v>8.0000000000000003E-10</v>
      </c>
      <c r="AC266" s="411">
        <f>計分版!M$13</f>
        <v>8.9999999999999999E-10</v>
      </c>
      <c r="AD266" s="411">
        <f>計分版!N$13</f>
        <v>9.5000000000000003E-10</v>
      </c>
      <c r="AG266" s="413" t="s">
        <v>2309</v>
      </c>
    </row>
    <row r="267" spans="1:39">
      <c r="A267" s="179" t="str">
        <f>HKU!A30</f>
        <v>JS6482</v>
      </c>
      <c r="B267" s="179" t="str">
        <f>HKU!C30</f>
        <v>中醫全科學士</v>
      </c>
      <c r="C267" s="241" t="s">
        <v>189</v>
      </c>
      <c r="D267" s="77"/>
      <c r="E267" s="419">
        <v>3</v>
      </c>
      <c r="F267" s="419">
        <v>3</v>
      </c>
      <c r="G267" s="419">
        <v>2</v>
      </c>
      <c r="H267" s="419">
        <v>2</v>
      </c>
      <c r="I267" s="419">
        <v>3</v>
      </c>
      <c r="J267" s="419">
        <v>3</v>
      </c>
      <c r="K267" s="78"/>
      <c r="L267" s="411">
        <f t="shared" si="99"/>
        <v>0</v>
      </c>
      <c r="M267" s="411">
        <f t="shared" si="100"/>
        <v>0</v>
      </c>
      <c r="N267" s="411">
        <f t="shared" si="101"/>
        <v>0</v>
      </c>
      <c r="O267" s="411">
        <f t="shared" si="102"/>
        <v>0</v>
      </c>
      <c r="P267" s="78">
        <f>IF(計分版!$P$259=0,0,IF(I266&gt;LARGE(Z267:AD267,1),0,1))</f>
        <v>0</v>
      </c>
      <c r="Q267" s="78">
        <f t="shared" si="114"/>
        <v>0</v>
      </c>
      <c r="S267" s="78">
        <f t="shared" ref="S267:S272" si="115">L267*M267*N267*O267*P267*Q267</f>
        <v>0</v>
      </c>
      <c r="U267" s="411">
        <f>計分版!E$13</f>
        <v>1E-10</v>
      </c>
      <c r="V267" s="411">
        <f>計分版!F$13</f>
        <v>2.0000000000000001E-10</v>
      </c>
      <c r="W267" s="411">
        <f>計分版!G$13</f>
        <v>3E-10</v>
      </c>
      <c r="X267" s="411">
        <f>計分版!H$13</f>
        <v>4.0000000000000001E-10</v>
      </c>
      <c r="Y267" s="411">
        <f>計分版!I$13</f>
        <v>5.0000000000000003E-10</v>
      </c>
      <c r="Z267" s="411">
        <f>計分版!J$13</f>
        <v>6E-10</v>
      </c>
      <c r="AA267" s="411">
        <f>計分版!K$13</f>
        <v>6.9999999999999996E-10</v>
      </c>
      <c r="AB267" s="411">
        <f>計分版!L$13</f>
        <v>8.0000000000000003E-10</v>
      </c>
      <c r="AC267" s="411">
        <f>計分版!M$13</f>
        <v>8.9999999999999999E-10</v>
      </c>
      <c r="AD267" s="411">
        <f>計分版!N$13</f>
        <v>9.5000000000000003E-10</v>
      </c>
      <c r="AG267" s="413" t="s">
        <v>2309</v>
      </c>
    </row>
    <row r="268" spans="1:39">
      <c r="A268" s="179" t="str">
        <f>HKU!A31</f>
        <v>JS6494</v>
      </c>
      <c r="B268" s="179" t="str">
        <f>HKU!C31</f>
        <v>藥劑學學士</v>
      </c>
      <c r="C268" s="241" t="s">
        <v>58</v>
      </c>
      <c r="D268" s="77"/>
      <c r="E268" s="419">
        <v>3</v>
      </c>
      <c r="F268" s="419">
        <v>4</v>
      </c>
      <c r="G268" s="419">
        <v>2</v>
      </c>
      <c r="H268" s="419">
        <v>2</v>
      </c>
      <c r="I268" s="419">
        <v>3</v>
      </c>
      <c r="J268" s="419">
        <v>3</v>
      </c>
      <c r="K268" s="78"/>
      <c r="L268" s="411">
        <f t="shared" si="99"/>
        <v>0</v>
      </c>
      <c r="M268" s="411">
        <f t="shared" si="100"/>
        <v>0</v>
      </c>
      <c r="N268" s="411">
        <f t="shared" si="101"/>
        <v>0</v>
      </c>
      <c r="O268" s="411">
        <f t="shared" si="102"/>
        <v>0</v>
      </c>
      <c r="P268" s="78">
        <f>IF(計分版!P265=0,0,IF(I268&gt;LARGE(Z268:AD268,1),0,1))</f>
        <v>0</v>
      </c>
      <c r="Q268" s="78">
        <f t="shared" si="114"/>
        <v>0</v>
      </c>
      <c r="S268" s="78">
        <f t="shared" si="115"/>
        <v>0</v>
      </c>
      <c r="U268" s="411">
        <f>計分版!E$13</f>
        <v>1E-10</v>
      </c>
      <c r="V268" s="411">
        <f>計分版!F$13</f>
        <v>2.0000000000000001E-10</v>
      </c>
      <c r="W268" s="411">
        <f>計分版!G$13</f>
        <v>3E-10</v>
      </c>
      <c r="X268" s="411">
        <f>計分版!H$13</f>
        <v>4.0000000000000001E-10</v>
      </c>
      <c r="Y268" s="411">
        <f>計分版!I$13</f>
        <v>5.0000000000000003E-10</v>
      </c>
      <c r="Z268" s="411">
        <f>計分版!J$13</f>
        <v>6E-10</v>
      </c>
      <c r="AA268" s="411">
        <f>計分版!K$13</f>
        <v>6.9999999999999996E-10</v>
      </c>
      <c r="AB268" s="411">
        <f>計分版!L$13</f>
        <v>8.0000000000000003E-10</v>
      </c>
      <c r="AC268" s="411">
        <f>計分版!M$13</f>
        <v>8.9999999999999999E-10</v>
      </c>
      <c r="AD268" s="411">
        <f>計分版!N$13</f>
        <v>9.5000000000000003E-10</v>
      </c>
      <c r="AG268" s="413" t="s">
        <v>2309</v>
      </c>
    </row>
    <row r="269" spans="1:39">
      <c r="A269" s="179" t="str">
        <f>HKU!A32</f>
        <v>JS6949</v>
      </c>
      <c r="B269" s="179" t="str">
        <f>HKU!C32</f>
        <v>生物醫學學士</v>
      </c>
      <c r="C269" s="241" t="s">
        <v>58</v>
      </c>
      <c r="D269" s="77"/>
      <c r="E269" s="419">
        <v>3</v>
      </c>
      <c r="F269" s="419">
        <v>4</v>
      </c>
      <c r="G269" s="419">
        <v>2</v>
      </c>
      <c r="H269" s="419">
        <v>2</v>
      </c>
      <c r="I269" s="419">
        <v>3</v>
      </c>
      <c r="J269" s="419">
        <v>3</v>
      </c>
      <c r="K269" s="78"/>
      <c r="L269" s="411">
        <f t="shared" si="99"/>
        <v>0</v>
      </c>
      <c r="M269" s="411">
        <f t="shared" si="100"/>
        <v>0</v>
      </c>
      <c r="N269" s="411">
        <f t="shared" si="101"/>
        <v>0</v>
      </c>
      <c r="O269" s="411">
        <f t="shared" si="102"/>
        <v>0</v>
      </c>
      <c r="P269" s="78">
        <f>IF(計分版!$P$269=0,0,IF(I269&gt;LARGE(Z269:AD269,1),0,1))</f>
        <v>0</v>
      </c>
      <c r="Q269" s="78">
        <f>IF(J269&gt;LARGE(計分版!$I$13:$N$13,2),0,1)</f>
        <v>0</v>
      </c>
      <c r="S269" s="78">
        <f t="shared" si="115"/>
        <v>0</v>
      </c>
      <c r="U269" s="411">
        <f>計分版!E$13</f>
        <v>1E-10</v>
      </c>
      <c r="V269" s="411">
        <f>計分版!F$13</f>
        <v>2.0000000000000001E-10</v>
      </c>
      <c r="W269" s="411">
        <f>計分版!G$13</f>
        <v>3E-10</v>
      </c>
      <c r="X269" s="411">
        <f>計分版!H$13</f>
        <v>4.0000000000000001E-10</v>
      </c>
      <c r="Y269" s="411">
        <f>計分版!I$13</f>
        <v>5.0000000000000003E-10</v>
      </c>
      <c r="Z269" s="411">
        <f>計分版!J$13</f>
        <v>6E-10</v>
      </c>
      <c r="AA269" s="411">
        <f>計分版!K$13</f>
        <v>6.9999999999999996E-10</v>
      </c>
      <c r="AB269" s="411">
        <f>計分版!L$13</f>
        <v>8.0000000000000003E-10</v>
      </c>
      <c r="AC269" s="411">
        <f>計分版!M$13</f>
        <v>8.9999999999999999E-10</v>
      </c>
      <c r="AD269" s="411">
        <f>計分版!N$13</f>
        <v>9.5000000000000003E-10</v>
      </c>
      <c r="AG269" s="413" t="s">
        <v>2309</v>
      </c>
    </row>
    <row r="270" spans="1:39">
      <c r="A270" s="179" t="str">
        <f>HKU!A33</f>
        <v>JS6688</v>
      </c>
      <c r="B270" s="179" t="str">
        <f>HKU!C33</f>
        <v>科研專才啟導課程</v>
      </c>
      <c r="C270" s="242" t="s">
        <v>58</v>
      </c>
      <c r="D270" s="196"/>
      <c r="E270" s="419">
        <v>3</v>
      </c>
      <c r="F270" s="419">
        <v>5</v>
      </c>
      <c r="G270" s="419">
        <v>4</v>
      </c>
      <c r="H270" s="419">
        <v>2</v>
      </c>
      <c r="I270" s="419">
        <v>3</v>
      </c>
      <c r="J270" s="419">
        <v>3</v>
      </c>
      <c r="K270" s="191"/>
      <c r="L270" s="411">
        <f t="shared" si="99"/>
        <v>0</v>
      </c>
      <c r="M270" s="411">
        <f>IF(V270&gt;5,1,IF(V270&gt;4,2,0))</f>
        <v>0</v>
      </c>
      <c r="N270" s="411">
        <f t="shared" ref="N270:N281" si="116">IF(G270&gt;W270,0,1)</f>
        <v>0</v>
      </c>
      <c r="O270" s="411">
        <f t="shared" ref="O270:O281" si="117">IF(H270&gt;X270,0,1)</f>
        <v>0</v>
      </c>
      <c r="P270" s="191">
        <f>IF(OR(計分版!R256&lt;3,計分版!T256&lt;3),0,1)</f>
        <v>0</v>
      </c>
      <c r="Q270" s="191">
        <f>IF(計分版!$I$13&lt;4,0,1)</f>
        <v>0</v>
      </c>
      <c r="R270" s="174"/>
      <c r="S270" s="191">
        <f t="shared" si="115"/>
        <v>0</v>
      </c>
      <c r="U270" s="411">
        <f>計分版!E$13</f>
        <v>1E-10</v>
      </c>
      <c r="V270" s="411">
        <f>計分版!F$13</f>
        <v>2.0000000000000001E-10</v>
      </c>
      <c r="W270" s="411">
        <f>計分版!G$13</f>
        <v>3E-10</v>
      </c>
      <c r="X270" s="411">
        <f>計分版!H$13</f>
        <v>4.0000000000000001E-10</v>
      </c>
      <c r="Y270" s="411">
        <f>計分版!I$13</f>
        <v>5.0000000000000003E-10</v>
      </c>
      <c r="Z270" s="411">
        <f>計分版!J$13</f>
        <v>6E-10</v>
      </c>
      <c r="AA270" s="411">
        <f>計分版!K$13</f>
        <v>6.9999999999999996E-10</v>
      </c>
      <c r="AB270" s="411">
        <f>計分版!L$13</f>
        <v>8.0000000000000003E-10</v>
      </c>
      <c r="AC270" s="411">
        <f>計分版!M$13</f>
        <v>8.9999999999999999E-10</v>
      </c>
      <c r="AD270" s="411">
        <f>計分版!N$13</f>
        <v>9.5000000000000003E-10</v>
      </c>
      <c r="AG270" s="413" t="s">
        <v>2309</v>
      </c>
    </row>
    <row r="271" spans="1:39">
      <c r="A271" s="179" t="str">
        <f>HKU!A34</f>
        <v>JS6729</v>
      </c>
      <c r="B271" s="179" t="str">
        <f>HKU!C34</f>
        <v>理學士(精算學)</v>
      </c>
      <c r="C271" s="241" t="s">
        <v>58</v>
      </c>
      <c r="D271" s="77"/>
      <c r="E271" s="419">
        <v>3</v>
      </c>
      <c r="F271" s="419">
        <v>3</v>
      </c>
      <c r="G271" s="419">
        <v>4</v>
      </c>
      <c r="H271" s="419">
        <v>2</v>
      </c>
      <c r="I271" s="419">
        <v>3</v>
      </c>
      <c r="J271" s="419">
        <v>3</v>
      </c>
      <c r="K271" s="78"/>
      <c r="L271" s="411">
        <f t="shared" si="99"/>
        <v>0</v>
      </c>
      <c r="M271" s="411">
        <f t="shared" si="99"/>
        <v>0</v>
      </c>
      <c r="N271" s="411">
        <f t="shared" si="116"/>
        <v>0</v>
      </c>
      <c r="O271" s="411">
        <f t="shared" si="117"/>
        <v>0</v>
      </c>
      <c r="P271" s="78">
        <f>IF(I271&gt;LARGE(Z271:AD271,1),0,1)</f>
        <v>0</v>
      </c>
      <c r="Q271" s="78">
        <f>IF(計分版!$I$13&lt;3,0,IF(J271&gt;LARGE(Z271:AD271,2),0,1))</f>
        <v>0</v>
      </c>
      <c r="S271" s="78">
        <f t="shared" si="115"/>
        <v>0</v>
      </c>
      <c r="U271" s="411">
        <f>計分版!E$13</f>
        <v>1E-10</v>
      </c>
      <c r="V271" s="411">
        <f>計分版!F$13</f>
        <v>2.0000000000000001E-10</v>
      </c>
      <c r="W271" s="411">
        <f>計分版!G$13</f>
        <v>3E-10</v>
      </c>
      <c r="X271" s="411">
        <f>計分版!H$13</f>
        <v>4.0000000000000001E-10</v>
      </c>
      <c r="Y271" s="411">
        <f>計分版!I$13</f>
        <v>5.0000000000000003E-10</v>
      </c>
      <c r="Z271" s="411">
        <f>計分版!J$13</f>
        <v>6E-10</v>
      </c>
      <c r="AA271" s="411">
        <f>計分版!K$13</f>
        <v>6.9999999999999996E-10</v>
      </c>
      <c r="AB271" s="411">
        <f>計分版!L$13</f>
        <v>8.0000000000000003E-10</v>
      </c>
      <c r="AC271" s="411">
        <f>計分版!M$13</f>
        <v>8.9999999999999999E-10</v>
      </c>
      <c r="AD271" s="411">
        <f>計分版!N$13</f>
        <v>9.5000000000000003E-10</v>
      </c>
      <c r="AG271" s="413" t="s">
        <v>2309</v>
      </c>
    </row>
    <row r="272" spans="1:39">
      <c r="A272" s="179" t="str">
        <f>HKU!A35</f>
        <v>JS6901</v>
      </c>
      <c r="B272" s="179" t="str">
        <f>HKU!C35</f>
        <v>理學士</v>
      </c>
      <c r="C272" s="241" t="s">
        <v>59</v>
      </c>
      <c r="D272" s="77"/>
      <c r="E272" s="419">
        <v>3</v>
      </c>
      <c r="F272" s="419">
        <v>3</v>
      </c>
      <c r="G272" s="419">
        <v>2</v>
      </c>
      <c r="H272" s="419">
        <v>2</v>
      </c>
      <c r="I272" s="419">
        <v>3</v>
      </c>
      <c r="J272" s="419">
        <v>3</v>
      </c>
      <c r="K272" s="78"/>
      <c r="L272" s="411">
        <f t="shared" ref="L272:L275" si="118">IF(E272&gt;U272,0,1)</f>
        <v>0</v>
      </c>
      <c r="M272" s="411">
        <f t="shared" ref="M272:M275" si="119">IF(F272&gt;V272,0,1)</f>
        <v>0</v>
      </c>
      <c r="N272" s="411">
        <f t="shared" ref="N272:N275" si="120">IF(G272&gt;W272,0,1)</f>
        <v>0</v>
      </c>
      <c r="O272" s="411">
        <f t="shared" ref="O272:O275" si="121">IF(H272&gt;X272,0,1)</f>
        <v>0</v>
      </c>
      <c r="P272" s="78">
        <f>IF(計分版!$P$259=0,0,IF(I271&gt;LARGE(Z272:AD272,1),0,1))</f>
        <v>0</v>
      </c>
      <c r="Q272" s="78">
        <f>IF(J272&gt;LARGE(Z272:AD272,2),0,1)</f>
        <v>0</v>
      </c>
      <c r="S272" s="78">
        <f t="shared" si="115"/>
        <v>0</v>
      </c>
      <c r="U272" s="411">
        <f>計分版!E$13</f>
        <v>1E-10</v>
      </c>
      <c r="V272" s="411">
        <f>計分版!F$13</f>
        <v>2.0000000000000001E-10</v>
      </c>
      <c r="W272" s="411">
        <f>計分版!G$13</f>
        <v>3E-10</v>
      </c>
      <c r="X272" s="411">
        <f>計分版!H$13</f>
        <v>4.0000000000000001E-10</v>
      </c>
      <c r="Y272" s="411">
        <f>計分版!I$13</f>
        <v>5.0000000000000003E-10</v>
      </c>
      <c r="Z272" s="411">
        <f>計分版!J$13</f>
        <v>6E-10</v>
      </c>
      <c r="AA272" s="411">
        <f>計分版!K$13</f>
        <v>6.9999999999999996E-10</v>
      </c>
      <c r="AB272" s="411">
        <f>計分版!L$13</f>
        <v>8.0000000000000003E-10</v>
      </c>
      <c r="AC272" s="411">
        <f>計分版!M$13</f>
        <v>8.9999999999999999E-10</v>
      </c>
      <c r="AD272" s="411">
        <f>計分版!N$13</f>
        <v>9.5000000000000003E-10</v>
      </c>
      <c r="AG272" s="413" t="s">
        <v>2309</v>
      </c>
    </row>
    <row r="273" spans="1:39">
      <c r="A273" s="179" t="str">
        <f>HKU!A36</f>
        <v>JS6717</v>
      </c>
      <c r="B273" s="179" t="str">
        <f>HKU!C36</f>
        <v>社會科學學士</v>
      </c>
      <c r="C273" s="241" t="s">
        <v>189</v>
      </c>
      <c r="D273" s="77"/>
      <c r="E273" s="419">
        <v>3</v>
      </c>
      <c r="F273" s="419">
        <v>3</v>
      </c>
      <c r="G273" s="419">
        <v>2</v>
      </c>
      <c r="H273" s="419">
        <v>2</v>
      </c>
      <c r="I273" s="419">
        <v>3</v>
      </c>
      <c r="J273" s="419">
        <v>3</v>
      </c>
      <c r="K273" s="78"/>
      <c r="L273" s="411">
        <f t="shared" si="118"/>
        <v>0</v>
      </c>
      <c r="M273" s="411">
        <f t="shared" si="119"/>
        <v>0</v>
      </c>
      <c r="N273" s="411">
        <f t="shared" si="120"/>
        <v>0</v>
      </c>
      <c r="O273" s="411">
        <f t="shared" si="121"/>
        <v>0</v>
      </c>
      <c r="P273" s="78">
        <f>IF(I273&gt;LARGE(Z273:AD273,1),0,1)</f>
        <v>0</v>
      </c>
      <c r="Q273" s="78">
        <f>IF(J273&gt;LARGE(Z273:AD273,2),0,1)</f>
        <v>0</v>
      </c>
      <c r="S273" s="78">
        <f t="shared" si="105"/>
        <v>0</v>
      </c>
      <c r="U273" s="411">
        <f>計分版!E$13</f>
        <v>1E-10</v>
      </c>
      <c r="V273" s="411">
        <f>計分版!F$13</f>
        <v>2.0000000000000001E-10</v>
      </c>
      <c r="W273" s="411">
        <f>計分版!G$13</f>
        <v>3E-10</v>
      </c>
      <c r="X273" s="411">
        <f>計分版!H$13</f>
        <v>4.0000000000000001E-10</v>
      </c>
      <c r="Y273" s="411">
        <f>計分版!I$13</f>
        <v>5.0000000000000003E-10</v>
      </c>
      <c r="Z273" s="411">
        <f>計分版!J$13</f>
        <v>6E-10</v>
      </c>
      <c r="AA273" s="411">
        <f>計分版!K$13</f>
        <v>6.9999999999999996E-10</v>
      </c>
      <c r="AB273" s="411">
        <f>計分版!L$13</f>
        <v>8.0000000000000003E-10</v>
      </c>
      <c r="AC273" s="411">
        <f>計分版!M$13</f>
        <v>8.9999999999999999E-10</v>
      </c>
      <c r="AD273" s="411">
        <f>計分版!N$13</f>
        <v>9.5000000000000003E-10</v>
      </c>
      <c r="AG273" s="413" t="s">
        <v>2309</v>
      </c>
    </row>
    <row r="274" spans="1:39">
      <c r="A274" s="179" t="str">
        <f>HKU!A37</f>
        <v>JS6731</v>
      </c>
      <c r="B274" s="179" t="str">
        <f>HKU!C37</f>
        <v>社會工作學學士</v>
      </c>
      <c r="C274" s="241" t="s">
        <v>189</v>
      </c>
      <c r="D274" s="77"/>
      <c r="E274" s="419">
        <v>3</v>
      </c>
      <c r="F274" s="419">
        <v>3</v>
      </c>
      <c r="G274" s="419">
        <v>2</v>
      </c>
      <c r="H274" s="419">
        <v>2</v>
      </c>
      <c r="I274" s="419">
        <v>3</v>
      </c>
      <c r="J274" s="419">
        <v>3</v>
      </c>
      <c r="K274" s="78"/>
      <c r="L274" s="411">
        <f t="shared" si="118"/>
        <v>0</v>
      </c>
      <c r="M274" s="411">
        <f t="shared" si="119"/>
        <v>0</v>
      </c>
      <c r="N274" s="411">
        <f t="shared" si="120"/>
        <v>0</v>
      </c>
      <c r="O274" s="411">
        <f t="shared" si="121"/>
        <v>0</v>
      </c>
      <c r="P274" s="78">
        <f>IF(I274&gt;LARGE(Z274:AD274,1),0,1)</f>
        <v>0</v>
      </c>
      <c r="Q274" s="78">
        <f>IF(J274&gt;LARGE(Z274:AD274,2),0,1)</f>
        <v>0</v>
      </c>
      <c r="S274" s="78">
        <f t="shared" si="105"/>
        <v>0</v>
      </c>
      <c r="U274" s="411">
        <f>計分版!E$13</f>
        <v>1E-10</v>
      </c>
      <c r="V274" s="411">
        <f>計分版!F$13</f>
        <v>2.0000000000000001E-10</v>
      </c>
      <c r="W274" s="411">
        <f>計分版!G$13</f>
        <v>3E-10</v>
      </c>
      <c r="X274" s="411">
        <f>計分版!H$13</f>
        <v>4.0000000000000001E-10</v>
      </c>
      <c r="Y274" s="411">
        <f>計分版!I$13</f>
        <v>5.0000000000000003E-10</v>
      </c>
      <c r="Z274" s="411">
        <f>計分版!J$13</f>
        <v>6E-10</v>
      </c>
      <c r="AA274" s="411">
        <f>計分版!K$13</f>
        <v>6.9999999999999996E-10</v>
      </c>
      <c r="AB274" s="411">
        <f>計分版!L$13</f>
        <v>8.0000000000000003E-10</v>
      </c>
      <c r="AC274" s="411">
        <f>計分版!M$13</f>
        <v>8.9999999999999999E-10</v>
      </c>
      <c r="AD274" s="411">
        <f>計分版!N$13</f>
        <v>9.5000000000000003E-10</v>
      </c>
      <c r="AG274" s="413" t="s">
        <v>2309</v>
      </c>
    </row>
    <row r="275" spans="1:39">
      <c r="A275" s="179" t="str">
        <f>HKU!A38</f>
        <v>JS6810</v>
      </c>
      <c r="B275" s="179" t="str">
        <f>HKU!C38</f>
        <v>社會科學學士(政治學與法學)及法學士 (雙學位課程)</v>
      </c>
      <c r="C275" s="241" t="s">
        <v>58</v>
      </c>
      <c r="D275" s="77"/>
      <c r="E275" s="419">
        <v>4</v>
      </c>
      <c r="F275" s="419">
        <v>5</v>
      </c>
      <c r="G275" s="419">
        <v>3</v>
      </c>
      <c r="H275" s="419">
        <v>3</v>
      </c>
      <c r="I275" s="419">
        <v>3</v>
      </c>
      <c r="J275" s="419">
        <v>3</v>
      </c>
      <c r="K275" s="78"/>
      <c r="L275" s="411">
        <f t="shared" si="118"/>
        <v>0</v>
      </c>
      <c r="M275" s="411">
        <f t="shared" si="119"/>
        <v>0</v>
      </c>
      <c r="N275" s="411">
        <f t="shared" si="120"/>
        <v>0</v>
      </c>
      <c r="O275" s="411">
        <f t="shared" si="121"/>
        <v>0</v>
      </c>
      <c r="P275" s="413">
        <f t="shared" ref="P275:P281" si="122">IF(I275&gt;LARGE(Z275:AD275,1),0,1)</f>
        <v>0</v>
      </c>
      <c r="Q275" s="78">
        <f>IF(J275&gt;LARGE(Z275:AD275,2),0,1)</f>
        <v>0</v>
      </c>
      <c r="S275" s="78">
        <f t="shared" si="105"/>
        <v>0</v>
      </c>
      <c r="U275" s="411">
        <f>計分版!E$13</f>
        <v>1E-10</v>
      </c>
      <c r="V275" s="411">
        <f>計分版!F$13</f>
        <v>2.0000000000000001E-10</v>
      </c>
      <c r="W275" s="411">
        <f>計分版!G$13</f>
        <v>3E-10</v>
      </c>
      <c r="X275" s="411">
        <f>計分版!H$13</f>
        <v>4.0000000000000001E-10</v>
      </c>
      <c r="Y275" s="411">
        <f>計分版!I$13</f>
        <v>5.0000000000000003E-10</v>
      </c>
      <c r="Z275" s="411">
        <f>計分版!J$13</f>
        <v>6E-10</v>
      </c>
      <c r="AA275" s="411">
        <f>計分版!K$13</f>
        <v>6.9999999999999996E-10</v>
      </c>
      <c r="AB275" s="411">
        <f>計分版!L$13</f>
        <v>8.0000000000000003E-10</v>
      </c>
      <c r="AC275" s="411">
        <f>計分版!M$13</f>
        <v>8.9999999999999999E-10</v>
      </c>
      <c r="AD275" s="411">
        <f>計分版!N$13</f>
        <v>9.5000000000000003E-10</v>
      </c>
      <c r="AG275" s="413" t="s">
        <v>2309</v>
      </c>
    </row>
    <row r="276" spans="1:39">
      <c r="A276" s="179" t="str">
        <f>HKU!A39</f>
        <v>JS6822</v>
      </c>
      <c r="B276" s="179" t="str">
        <f>HKU!C39</f>
        <v>新聞學學士</v>
      </c>
      <c r="C276" s="241" t="s">
        <v>189</v>
      </c>
      <c r="D276" s="77"/>
      <c r="E276" s="419">
        <v>3</v>
      </c>
      <c r="F276" s="419">
        <v>3</v>
      </c>
      <c r="G276" s="419">
        <v>2</v>
      </c>
      <c r="H276" s="419">
        <v>2</v>
      </c>
      <c r="I276" s="419">
        <v>3</v>
      </c>
      <c r="J276" s="419">
        <v>3</v>
      </c>
      <c r="K276" s="78"/>
      <c r="L276" s="411">
        <f t="shared" ref="L276:L281" si="123">IF(E276&gt;U276,0,1)</f>
        <v>0</v>
      </c>
      <c r="M276" s="411">
        <f t="shared" ref="M276" si="124">IF(F276&gt;V276,0,1)</f>
        <v>0</v>
      </c>
      <c r="N276" s="411">
        <f t="shared" ref="N276" si="125">IF(G276&gt;W276,0,1)</f>
        <v>0</v>
      </c>
      <c r="O276" s="411">
        <f t="shared" ref="O276" si="126">IF(H276&gt;X276,0,1)</f>
        <v>0</v>
      </c>
      <c r="P276" s="413">
        <f t="shared" si="122"/>
        <v>0</v>
      </c>
      <c r="Q276" s="413">
        <f>IF(J276&gt;LARGE(Z276:AD276,2),0,1)</f>
        <v>0</v>
      </c>
      <c r="S276" s="78">
        <f t="shared" si="105"/>
        <v>0</v>
      </c>
      <c r="U276" s="411">
        <f>計分版!E$13</f>
        <v>1E-10</v>
      </c>
      <c r="V276" s="411">
        <f>計分版!F$13</f>
        <v>2.0000000000000001E-10</v>
      </c>
      <c r="W276" s="411">
        <f>計分版!G$13</f>
        <v>3E-10</v>
      </c>
      <c r="X276" s="411">
        <f>計分版!H$13</f>
        <v>4.0000000000000001E-10</v>
      </c>
      <c r="Y276" s="411">
        <f>計分版!I$13</f>
        <v>5.0000000000000003E-10</v>
      </c>
      <c r="Z276" s="411">
        <f>計分版!J$13</f>
        <v>6E-10</v>
      </c>
      <c r="AA276" s="411">
        <f>計分版!K$13</f>
        <v>6.9999999999999996E-10</v>
      </c>
      <c r="AB276" s="411">
        <f>計分版!L$13</f>
        <v>8.0000000000000003E-10</v>
      </c>
      <c r="AC276" s="411">
        <f>計分版!M$13</f>
        <v>8.9999999999999999E-10</v>
      </c>
      <c r="AD276" s="411">
        <f>計分版!N$13</f>
        <v>9.5000000000000003E-10</v>
      </c>
      <c r="AG276" s="413" t="s">
        <v>2309</v>
      </c>
    </row>
    <row r="277" spans="1:39">
      <c r="A277" s="179" t="str">
        <f>HKU!A40</f>
        <v>JS6212</v>
      </c>
      <c r="B277" s="179" t="str">
        <f>HKU!C40</f>
        <v>文理學士</v>
      </c>
      <c r="C277" s="241" t="s">
        <v>189</v>
      </c>
      <c r="D277" s="77"/>
      <c r="E277" s="419">
        <v>3</v>
      </c>
      <c r="F277" s="419">
        <v>5</v>
      </c>
      <c r="G277" s="419">
        <v>2</v>
      </c>
      <c r="H277" s="419">
        <v>2</v>
      </c>
      <c r="I277" s="419">
        <v>3</v>
      </c>
      <c r="J277" s="419">
        <v>3</v>
      </c>
      <c r="K277" s="78"/>
      <c r="L277" s="411">
        <f t="shared" si="123"/>
        <v>0</v>
      </c>
      <c r="M277" s="411">
        <f>IF(V277&gt;5,1,IF(V277&gt;4,2,0))</f>
        <v>0</v>
      </c>
      <c r="N277" s="411">
        <f t="shared" si="116"/>
        <v>0</v>
      </c>
      <c r="O277" s="411">
        <f t="shared" si="117"/>
        <v>0</v>
      </c>
      <c r="P277" s="413">
        <f t="shared" si="122"/>
        <v>0</v>
      </c>
      <c r="Q277" s="78">
        <f>IF(J277&gt;LARGE(Z277:AD277,2),0,IF(計分版!$I$13&lt;3,2,1))</f>
        <v>0</v>
      </c>
      <c r="S277" s="78">
        <f>IF(L277*M277*N277*O277*P277*Q277=4,2,L277*M277*N277*O277*P277*Q277)</f>
        <v>0</v>
      </c>
      <c r="U277" s="411">
        <f>計分版!E$13</f>
        <v>1E-10</v>
      </c>
      <c r="V277" s="411">
        <f>計分版!F$13</f>
        <v>2.0000000000000001E-10</v>
      </c>
      <c r="W277" s="411">
        <f>計分版!G$13</f>
        <v>3E-10</v>
      </c>
      <c r="X277" s="411">
        <f>計分版!H$13</f>
        <v>4.0000000000000001E-10</v>
      </c>
      <c r="Y277" s="411">
        <f>計分版!I$13</f>
        <v>5.0000000000000003E-10</v>
      </c>
      <c r="Z277" s="411">
        <f>計分版!J$13</f>
        <v>6E-10</v>
      </c>
      <c r="AA277" s="411">
        <f>計分版!K$13</f>
        <v>6.9999999999999996E-10</v>
      </c>
      <c r="AB277" s="411">
        <f>計分版!L$13</f>
        <v>8.0000000000000003E-10</v>
      </c>
      <c r="AC277" s="411">
        <f>計分版!M$13</f>
        <v>8.9999999999999999E-10</v>
      </c>
      <c r="AD277" s="411">
        <f>計分版!N$13</f>
        <v>9.5000000000000003E-10</v>
      </c>
      <c r="AG277" s="413" t="s">
        <v>2309</v>
      </c>
    </row>
    <row r="278" spans="1:39">
      <c r="A278" s="179" t="str">
        <f>HKU!A41</f>
        <v>JS6224</v>
      </c>
      <c r="B278" s="179" t="str">
        <f>HKU!C41</f>
        <v>文理學士(應用人工智能)</v>
      </c>
      <c r="C278" s="241" t="s">
        <v>58</v>
      </c>
      <c r="D278" s="77"/>
      <c r="E278" s="419">
        <v>3</v>
      </c>
      <c r="F278" s="419">
        <v>5</v>
      </c>
      <c r="G278" s="419">
        <v>4</v>
      </c>
      <c r="H278" s="419">
        <v>2</v>
      </c>
      <c r="I278" s="419">
        <v>3</v>
      </c>
      <c r="J278" s="419">
        <v>3</v>
      </c>
      <c r="K278" s="78"/>
      <c r="L278" s="411">
        <f t="shared" si="123"/>
        <v>0</v>
      </c>
      <c r="M278" s="411">
        <f t="shared" ref="M278:M281" si="127">IF(V278&gt;5,1,IF(V278&gt;4,2,0))</f>
        <v>0</v>
      </c>
      <c r="N278" s="411">
        <f t="shared" si="116"/>
        <v>0</v>
      </c>
      <c r="O278" s="411">
        <f t="shared" si="117"/>
        <v>0</v>
      </c>
      <c r="P278" s="413">
        <f t="shared" si="122"/>
        <v>0</v>
      </c>
      <c r="Q278" s="78">
        <f>IF(計分版!$I$13&lt;3,0,IF(J278&gt;LARGE(Z278:AD278,2),0,1))</f>
        <v>0</v>
      </c>
      <c r="S278" s="78">
        <f t="shared" ref="S278:S281" si="128">IF(L278*M278*N278*O278*P278*Q278=4,2,L278*M278*N278*O278*P278*Q278)</f>
        <v>0</v>
      </c>
      <c r="U278" s="411">
        <f>計分版!E$13</f>
        <v>1E-10</v>
      </c>
      <c r="V278" s="411">
        <f>計分版!F$13</f>
        <v>2.0000000000000001E-10</v>
      </c>
      <c r="W278" s="411">
        <f>計分版!G$13</f>
        <v>3E-10</v>
      </c>
      <c r="X278" s="411">
        <f>計分版!H$13</f>
        <v>4.0000000000000001E-10</v>
      </c>
      <c r="Y278" s="411">
        <f>計分版!I$13</f>
        <v>5.0000000000000003E-10</v>
      </c>
      <c r="Z278" s="411">
        <f>計分版!J$13</f>
        <v>6E-10</v>
      </c>
      <c r="AA278" s="411">
        <f>計分版!K$13</f>
        <v>6.9999999999999996E-10</v>
      </c>
      <c r="AB278" s="411">
        <f>計分版!L$13</f>
        <v>8.0000000000000003E-10</v>
      </c>
      <c r="AC278" s="411">
        <f>計分版!M$13</f>
        <v>8.9999999999999999E-10</v>
      </c>
      <c r="AD278" s="411">
        <f>計分版!N$13</f>
        <v>9.5000000000000003E-10</v>
      </c>
      <c r="AG278" s="413" t="s">
        <v>2309</v>
      </c>
    </row>
    <row r="279" spans="1:39">
      <c r="A279" s="179" t="str">
        <f>HKU!A42</f>
        <v>JS6236</v>
      </c>
      <c r="B279" s="179" t="str">
        <f>HKU!C42</f>
        <v>文理學士(設計＋)</v>
      </c>
      <c r="C279" s="241" t="s">
        <v>58</v>
      </c>
      <c r="D279" s="77"/>
      <c r="E279" s="419">
        <v>3</v>
      </c>
      <c r="F279" s="419">
        <v>5</v>
      </c>
      <c r="G279" s="419">
        <v>2</v>
      </c>
      <c r="H279" s="419">
        <v>2</v>
      </c>
      <c r="I279" s="419">
        <v>3</v>
      </c>
      <c r="J279" s="419">
        <v>3</v>
      </c>
      <c r="K279" s="78"/>
      <c r="L279" s="411">
        <f t="shared" si="123"/>
        <v>0</v>
      </c>
      <c r="M279" s="411">
        <f t="shared" si="127"/>
        <v>0</v>
      </c>
      <c r="N279" s="411">
        <f t="shared" si="116"/>
        <v>0</v>
      </c>
      <c r="O279" s="411">
        <f t="shared" si="117"/>
        <v>0</v>
      </c>
      <c r="P279" s="413">
        <f t="shared" si="122"/>
        <v>0</v>
      </c>
      <c r="Q279" s="78">
        <f>IF(J279&gt;LARGE(Z279:AD279,2),0,1)</f>
        <v>0</v>
      </c>
      <c r="S279" s="401">
        <f>IF(L279*M279*N279*O279*P279*Q279=0,0,2)</f>
        <v>0</v>
      </c>
      <c r="U279" s="411">
        <f>計分版!E$13</f>
        <v>1E-10</v>
      </c>
      <c r="V279" s="411">
        <f>計分版!F$13</f>
        <v>2.0000000000000001E-10</v>
      </c>
      <c r="W279" s="411">
        <f>計分版!G$13</f>
        <v>3E-10</v>
      </c>
      <c r="X279" s="411">
        <f>計分版!H$13</f>
        <v>4.0000000000000001E-10</v>
      </c>
      <c r="Y279" s="411">
        <f>計分版!I$13</f>
        <v>5.0000000000000003E-10</v>
      </c>
      <c r="Z279" s="411">
        <f>計分版!J$13</f>
        <v>6E-10</v>
      </c>
      <c r="AA279" s="411">
        <f>計分版!K$13</f>
        <v>6.9999999999999996E-10</v>
      </c>
      <c r="AB279" s="411">
        <f>計分版!L$13</f>
        <v>8.0000000000000003E-10</v>
      </c>
      <c r="AC279" s="411">
        <f>計分版!M$13</f>
        <v>8.9999999999999999E-10</v>
      </c>
      <c r="AD279" s="411">
        <f>計分版!N$13</f>
        <v>9.5000000000000003E-10</v>
      </c>
      <c r="AG279" s="413" t="s">
        <v>2309</v>
      </c>
    </row>
    <row r="280" spans="1:39">
      <c r="A280" s="179" t="str">
        <f>HKU!A43</f>
        <v>JS6248</v>
      </c>
      <c r="B280" s="179" t="str">
        <f>HKU!C43</f>
        <v>文理學士(金融科技)</v>
      </c>
      <c r="C280" s="241" t="s">
        <v>58</v>
      </c>
      <c r="D280" s="77"/>
      <c r="E280" s="419">
        <v>3</v>
      </c>
      <c r="F280" s="419">
        <v>5</v>
      </c>
      <c r="G280" s="419">
        <v>3</v>
      </c>
      <c r="H280" s="419">
        <v>2</v>
      </c>
      <c r="I280" s="419">
        <v>3</v>
      </c>
      <c r="J280" s="419">
        <v>3</v>
      </c>
      <c r="K280" s="78"/>
      <c r="L280" s="411">
        <f t="shared" si="123"/>
        <v>0</v>
      </c>
      <c r="M280" s="411">
        <f t="shared" si="127"/>
        <v>0</v>
      </c>
      <c r="N280" s="411">
        <f t="shared" si="116"/>
        <v>0</v>
      </c>
      <c r="O280" s="411">
        <f t="shared" si="117"/>
        <v>0</v>
      </c>
      <c r="P280" s="413">
        <f t="shared" si="122"/>
        <v>0</v>
      </c>
      <c r="Q280" s="492">
        <f>IF(J280&gt;LARGE(Z280:AD280,2),0,1)</f>
        <v>0</v>
      </c>
      <c r="S280" s="78">
        <f t="shared" si="128"/>
        <v>0</v>
      </c>
      <c r="U280" s="411">
        <f>計分版!E$13</f>
        <v>1E-10</v>
      </c>
      <c r="V280" s="411">
        <f>計分版!F$13</f>
        <v>2.0000000000000001E-10</v>
      </c>
      <c r="W280" s="411">
        <f>計分版!G$13</f>
        <v>3E-10</v>
      </c>
      <c r="X280" s="411">
        <f>計分版!H$13</f>
        <v>4.0000000000000001E-10</v>
      </c>
      <c r="Y280" s="411">
        <f>計分版!I$13</f>
        <v>5.0000000000000003E-10</v>
      </c>
      <c r="Z280" s="411">
        <f>計分版!J$13</f>
        <v>6E-10</v>
      </c>
      <c r="AA280" s="411">
        <f>計分版!K$13</f>
        <v>6.9999999999999996E-10</v>
      </c>
      <c r="AB280" s="411">
        <f>計分版!L$13</f>
        <v>8.0000000000000003E-10</v>
      </c>
      <c r="AC280" s="411">
        <f>計分版!M$13</f>
        <v>8.9999999999999999E-10</v>
      </c>
      <c r="AD280" s="411">
        <f>計分版!N$13</f>
        <v>9.5000000000000003E-10</v>
      </c>
      <c r="AG280" s="413" t="s">
        <v>2309</v>
      </c>
    </row>
    <row r="281" spans="1:39">
      <c r="A281" s="179" t="str">
        <f>HKU!A44</f>
        <v>JS6250</v>
      </c>
      <c r="B281" s="179" t="str">
        <f>HKU!C44</f>
        <v>文理學士(環球衞生及發展)</v>
      </c>
      <c r="C281" s="241" t="s">
        <v>59</v>
      </c>
      <c r="D281" s="77"/>
      <c r="E281" s="419">
        <v>3</v>
      </c>
      <c r="F281" s="419">
        <v>5</v>
      </c>
      <c r="G281" s="419">
        <v>2</v>
      </c>
      <c r="H281" s="419">
        <v>2</v>
      </c>
      <c r="I281" s="419">
        <v>3</v>
      </c>
      <c r="J281" s="419">
        <v>3</v>
      </c>
      <c r="K281" s="78"/>
      <c r="L281" s="411">
        <f t="shared" si="123"/>
        <v>0</v>
      </c>
      <c r="M281" s="411">
        <f t="shared" si="127"/>
        <v>0</v>
      </c>
      <c r="N281" s="411">
        <f t="shared" si="116"/>
        <v>0</v>
      </c>
      <c r="O281" s="411">
        <f t="shared" si="117"/>
        <v>0</v>
      </c>
      <c r="P281" s="413">
        <f t="shared" si="122"/>
        <v>0</v>
      </c>
      <c r="Q281" s="78">
        <f>IF(J281&gt;LARGE(Z281:AD281,2),0,1)</f>
        <v>0</v>
      </c>
      <c r="S281" s="78">
        <f t="shared" si="128"/>
        <v>0</v>
      </c>
      <c r="U281" s="411">
        <f>計分版!E$13</f>
        <v>1E-10</v>
      </c>
      <c r="V281" s="411">
        <f>計分版!F$13</f>
        <v>2.0000000000000001E-10</v>
      </c>
      <c r="W281" s="411">
        <f>計分版!G$13</f>
        <v>3E-10</v>
      </c>
      <c r="X281" s="411">
        <f>計分版!H$13</f>
        <v>4.0000000000000001E-10</v>
      </c>
      <c r="Y281" s="411">
        <f>計分版!I$13</f>
        <v>5.0000000000000003E-10</v>
      </c>
      <c r="Z281" s="411">
        <f>計分版!J$13</f>
        <v>6E-10</v>
      </c>
      <c r="AA281" s="411">
        <f>計分版!K$13</f>
        <v>6.9999999999999996E-10</v>
      </c>
      <c r="AB281" s="411">
        <f>計分版!L$13</f>
        <v>8.0000000000000003E-10</v>
      </c>
      <c r="AC281" s="411">
        <f>計分版!M$13</f>
        <v>8.9999999999999999E-10</v>
      </c>
      <c r="AD281" s="411">
        <f>計分版!N$13</f>
        <v>9.5000000000000003E-10</v>
      </c>
      <c r="AG281" s="413" t="s">
        <v>2309</v>
      </c>
    </row>
    <row r="282" spans="1:39">
      <c r="E282" s="423"/>
      <c r="F282" s="423"/>
      <c r="G282" s="423"/>
      <c r="H282" s="423"/>
      <c r="I282" s="423"/>
      <c r="J282" s="423"/>
      <c r="S282" s="2"/>
    </row>
    <row r="283" spans="1:39" s="174" customFormat="1">
      <c r="A283" s="15" t="s">
        <v>839</v>
      </c>
      <c r="E283" s="423"/>
      <c r="F283" s="423"/>
      <c r="G283" s="423"/>
      <c r="H283" s="423"/>
      <c r="I283" s="423"/>
      <c r="J283" s="423"/>
      <c r="T283" s="258"/>
      <c r="U283" s="411"/>
      <c r="V283" s="411"/>
      <c r="W283" s="411"/>
      <c r="X283" s="411"/>
      <c r="Y283" s="411"/>
      <c r="Z283" s="411"/>
      <c r="AA283" s="411"/>
      <c r="AB283" s="411"/>
      <c r="AC283" s="411"/>
      <c r="AD283" s="411"/>
      <c r="AE283" s="182"/>
      <c r="AF283" s="413"/>
      <c r="AG283" s="413"/>
      <c r="AH283" s="413"/>
      <c r="AI283" s="413"/>
      <c r="AJ283" s="413"/>
      <c r="AK283" s="413"/>
      <c r="AL283" s="413"/>
      <c r="AM283" s="413"/>
    </row>
    <row r="284" spans="1:39">
      <c r="A284" s="12" t="s">
        <v>203</v>
      </c>
      <c r="B284" s="12" t="s">
        <v>367</v>
      </c>
      <c r="C284" s="12" t="s">
        <v>204</v>
      </c>
      <c r="D284" s="257" t="s">
        <v>361</v>
      </c>
      <c r="E284" s="422" t="s">
        <v>369</v>
      </c>
      <c r="F284" s="422" t="s">
        <v>370</v>
      </c>
      <c r="G284" s="422" t="s">
        <v>371</v>
      </c>
      <c r="H284" s="422" t="s">
        <v>372</v>
      </c>
      <c r="I284" s="422" t="s">
        <v>373</v>
      </c>
      <c r="J284" s="422" t="s">
        <v>374</v>
      </c>
      <c r="K284" s="258"/>
      <c r="L284" s="257" t="s">
        <v>369</v>
      </c>
      <c r="M284" s="257" t="s">
        <v>370</v>
      </c>
      <c r="N284" s="257" t="s">
        <v>371</v>
      </c>
      <c r="O284" s="257" t="s">
        <v>372</v>
      </c>
      <c r="P284" s="257" t="s">
        <v>373</v>
      </c>
      <c r="Q284" s="257" t="s">
        <v>374</v>
      </c>
      <c r="R284" s="15"/>
      <c r="U284" s="415" t="s">
        <v>2</v>
      </c>
      <c r="V284" s="415" t="s">
        <v>1</v>
      </c>
      <c r="W284" s="415" t="s">
        <v>3</v>
      </c>
      <c r="X284" s="415" t="s">
        <v>4</v>
      </c>
      <c r="Y284" s="415" t="s">
        <v>63</v>
      </c>
      <c r="Z284" s="415" t="str">
        <f>主頁!$B$15</f>
        <v>請選擇第一選修科</v>
      </c>
      <c r="AA284" s="415" t="str">
        <f>主頁!$B$16</f>
        <v>請選擇第二選修科</v>
      </c>
      <c r="AB284" s="415" t="str">
        <f>主頁!$B$17</f>
        <v>請選擇第三選修科</v>
      </c>
      <c r="AC284" s="415" t="str">
        <f>主頁!$B$18</f>
        <v>請選擇第四選修科</v>
      </c>
      <c r="AD284" s="416" t="str">
        <f>主頁!$B$19</f>
        <v>請選擇語言科目</v>
      </c>
      <c r="AE284" s="417" t="s">
        <v>360</v>
      </c>
      <c r="AF284" s="413" t="s">
        <v>2305</v>
      </c>
      <c r="AG284" s="413" t="s">
        <v>2306</v>
      </c>
      <c r="AH284" s="413" t="s">
        <v>2307</v>
      </c>
    </row>
    <row r="285" spans="1:39">
      <c r="A285" s="2" t="s">
        <v>866</v>
      </c>
      <c r="B285" s="2" t="s">
        <v>842</v>
      </c>
      <c r="C285" s="26" t="s">
        <v>189</v>
      </c>
      <c r="D285" s="78">
        <v>46</v>
      </c>
      <c r="E285" s="419">
        <v>3</v>
      </c>
      <c r="F285" s="419">
        <v>3</v>
      </c>
      <c r="G285" s="419">
        <v>2</v>
      </c>
      <c r="H285" s="419">
        <v>2</v>
      </c>
      <c r="I285" s="419">
        <v>2</v>
      </c>
      <c r="J285" s="419"/>
      <c r="L285" s="411">
        <f t="shared" ref="L285" si="129">IF(E285&gt;U285,0,1)</f>
        <v>0</v>
      </c>
      <c r="M285" s="411">
        <f t="shared" ref="M285" si="130">IF(F285&gt;V285,0,1)</f>
        <v>0</v>
      </c>
      <c r="N285" s="411">
        <f t="shared" ref="N285" si="131">IF(G285&gt;W285,0,1)</f>
        <v>0</v>
      </c>
      <c r="O285" s="411">
        <f t="shared" ref="O285" si="132">IF(H285&gt;X285,0,1)</f>
        <v>0</v>
      </c>
      <c r="P285" s="78">
        <f>IF(I285&gt;LARGE(Z285:AD285,1),0,1)</f>
        <v>0</v>
      </c>
      <c r="Q285" s="78"/>
      <c r="R285" s="78"/>
      <c r="S285" s="78">
        <f t="shared" ref="S285:S296" si="133">L285*M285*N285*O285*P285</f>
        <v>0</v>
      </c>
      <c r="U285" s="411">
        <f>計分版!E$13</f>
        <v>1E-10</v>
      </c>
      <c r="V285" s="411">
        <f>計分版!F$13</f>
        <v>2.0000000000000001E-10</v>
      </c>
      <c r="W285" s="411">
        <f>計分版!G$13</f>
        <v>3E-10</v>
      </c>
      <c r="X285" s="411">
        <f>計分版!H$13</f>
        <v>4.0000000000000001E-10</v>
      </c>
      <c r="Y285" s="411">
        <f>計分版!I$13</f>
        <v>5.0000000000000003E-10</v>
      </c>
      <c r="Z285" s="411">
        <f>計分版!J$13</f>
        <v>6E-10</v>
      </c>
      <c r="AA285" s="411">
        <f>計分版!K$13</f>
        <v>6.9999999999999996E-10</v>
      </c>
      <c r="AB285" s="411">
        <f>計分版!L$13</f>
        <v>8.0000000000000003E-10</v>
      </c>
      <c r="AC285" s="411">
        <f>計分版!M$13</f>
        <v>8.9999999999999999E-10</v>
      </c>
      <c r="AD285" s="411">
        <f>計分版!N$13</f>
        <v>9.5000000000000003E-10</v>
      </c>
      <c r="AG285" s="413" t="s">
        <v>2309</v>
      </c>
    </row>
    <row r="286" spans="1:39">
      <c r="A286" s="2" t="s">
        <v>877</v>
      </c>
      <c r="B286" s="2" t="s">
        <v>854</v>
      </c>
      <c r="C286" s="26" t="s">
        <v>189</v>
      </c>
      <c r="D286" s="78">
        <v>20</v>
      </c>
      <c r="E286" s="419">
        <v>3</v>
      </c>
      <c r="F286" s="419">
        <v>3</v>
      </c>
      <c r="G286" s="419">
        <v>2</v>
      </c>
      <c r="H286" s="419">
        <v>2</v>
      </c>
      <c r="I286" s="419">
        <v>2</v>
      </c>
      <c r="J286" s="419"/>
      <c r="L286" s="411">
        <f t="shared" ref="L286:L296" si="134">IF(E286&gt;U286,0,1)</f>
        <v>0</v>
      </c>
      <c r="M286" s="411">
        <f t="shared" ref="M286:M296" si="135">IF(F286&gt;V286,0,1)</f>
        <v>0</v>
      </c>
      <c r="N286" s="411">
        <f t="shared" ref="N286:N296" si="136">IF(G286&gt;W286,0,1)</f>
        <v>0</v>
      </c>
      <c r="O286" s="411">
        <f t="shared" ref="O286:O296" si="137">IF(H286&gt;X286,0,1)</f>
        <v>0</v>
      </c>
      <c r="P286" s="413">
        <f t="shared" ref="P286:P296" si="138">IF(I286&gt;LARGE(Z286:AD286,1),0,1)</f>
        <v>0</v>
      </c>
      <c r="Q286" s="78"/>
      <c r="R286" s="78"/>
      <c r="S286" s="78">
        <f t="shared" si="133"/>
        <v>0</v>
      </c>
      <c r="U286" s="411">
        <f>計分版!E$13</f>
        <v>1E-10</v>
      </c>
      <c r="V286" s="411">
        <f>計分版!F$13</f>
        <v>2.0000000000000001E-10</v>
      </c>
      <c r="W286" s="411">
        <f>計分版!G$13</f>
        <v>3E-10</v>
      </c>
      <c r="X286" s="411">
        <f>計分版!H$13</f>
        <v>4.0000000000000001E-10</v>
      </c>
      <c r="Y286" s="411">
        <f>計分版!I$13</f>
        <v>5.0000000000000003E-10</v>
      </c>
      <c r="Z286" s="411">
        <f>計分版!J$13</f>
        <v>6E-10</v>
      </c>
      <c r="AA286" s="411">
        <f>計分版!K$13</f>
        <v>6.9999999999999996E-10</v>
      </c>
      <c r="AB286" s="411">
        <f>計分版!L$13</f>
        <v>8.0000000000000003E-10</v>
      </c>
      <c r="AC286" s="411">
        <f>計分版!M$13</f>
        <v>8.9999999999999999E-10</v>
      </c>
      <c r="AD286" s="411">
        <f>計分版!N$13</f>
        <v>9.5000000000000003E-10</v>
      </c>
      <c r="AG286" s="413" t="s">
        <v>2309</v>
      </c>
    </row>
    <row r="287" spans="1:39">
      <c r="A287" s="2" t="s">
        <v>867</v>
      </c>
      <c r="B287" s="2" t="s">
        <v>843</v>
      </c>
      <c r="C287" s="26" t="s">
        <v>189</v>
      </c>
      <c r="D287" s="78">
        <v>41</v>
      </c>
      <c r="E287" s="419">
        <v>3</v>
      </c>
      <c r="F287" s="419">
        <v>3</v>
      </c>
      <c r="G287" s="419">
        <v>2</v>
      </c>
      <c r="H287" s="419">
        <v>2</v>
      </c>
      <c r="I287" s="419">
        <v>2</v>
      </c>
      <c r="J287" s="419"/>
      <c r="L287" s="411">
        <f t="shared" si="134"/>
        <v>0</v>
      </c>
      <c r="M287" s="411">
        <f t="shared" si="135"/>
        <v>0</v>
      </c>
      <c r="N287" s="411">
        <f t="shared" si="136"/>
        <v>0</v>
      </c>
      <c r="O287" s="411">
        <f t="shared" si="137"/>
        <v>0</v>
      </c>
      <c r="P287" s="413">
        <f t="shared" si="138"/>
        <v>0</v>
      </c>
      <c r="Q287" s="78"/>
      <c r="R287" s="78"/>
      <c r="S287" s="78">
        <f t="shared" si="133"/>
        <v>0</v>
      </c>
      <c r="U287" s="411">
        <f>計分版!E$13</f>
        <v>1E-10</v>
      </c>
      <c r="V287" s="411">
        <f>計分版!F$13</f>
        <v>2.0000000000000001E-10</v>
      </c>
      <c r="W287" s="411">
        <f>計分版!G$13</f>
        <v>3E-10</v>
      </c>
      <c r="X287" s="411">
        <f>計分版!H$13</f>
        <v>4.0000000000000001E-10</v>
      </c>
      <c r="Y287" s="411">
        <f>計分版!I$13</f>
        <v>5.0000000000000003E-10</v>
      </c>
      <c r="Z287" s="411">
        <f>計分版!J$13</f>
        <v>6E-10</v>
      </c>
      <c r="AA287" s="411">
        <f>計分版!K$13</f>
        <v>6.9999999999999996E-10</v>
      </c>
      <c r="AB287" s="411">
        <f>計分版!L$13</f>
        <v>8.0000000000000003E-10</v>
      </c>
      <c r="AC287" s="411">
        <f>計分版!M$13</f>
        <v>8.9999999999999999E-10</v>
      </c>
      <c r="AD287" s="411">
        <f>計分版!N$13</f>
        <v>9.5000000000000003E-10</v>
      </c>
      <c r="AG287" s="413" t="s">
        <v>2309</v>
      </c>
    </row>
    <row r="288" spans="1:39">
      <c r="A288" s="2" t="s">
        <v>873</v>
      </c>
      <c r="B288" s="2" t="s">
        <v>849</v>
      </c>
      <c r="C288" s="26" t="s">
        <v>189</v>
      </c>
      <c r="D288" s="78">
        <v>144</v>
      </c>
      <c r="E288" s="419">
        <v>3</v>
      </c>
      <c r="F288" s="419">
        <v>3</v>
      </c>
      <c r="G288" s="419">
        <v>2</v>
      </c>
      <c r="H288" s="419">
        <v>2</v>
      </c>
      <c r="I288" s="419">
        <v>2</v>
      </c>
      <c r="J288" s="419"/>
      <c r="L288" s="411">
        <f t="shared" si="134"/>
        <v>0</v>
      </c>
      <c r="M288" s="411">
        <f t="shared" si="135"/>
        <v>0</v>
      </c>
      <c r="N288" s="411">
        <f t="shared" si="136"/>
        <v>0</v>
      </c>
      <c r="O288" s="411">
        <f t="shared" si="137"/>
        <v>0</v>
      </c>
      <c r="P288" s="413">
        <f t="shared" si="138"/>
        <v>0</v>
      </c>
      <c r="Q288" s="78"/>
      <c r="R288" s="78"/>
      <c r="S288" s="78">
        <f t="shared" si="133"/>
        <v>0</v>
      </c>
      <c r="U288" s="411">
        <f>計分版!E$13</f>
        <v>1E-10</v>
      </c>
      <c r="V288" s="411">
        <f>計分版!F$13</f>
        <v>2.0000000000000001E-10</v>
      </c>
      <c r="W288" s="411">
        <f>計分版!G$13</f>
        <v>3E-10</v>
      </c>
      <c r="X288" s="411">
        <f>計分版!H$13</f>
        <v>4.0000000000000001E-10</v>
      </c>
      <c r="Y288" s="411">
        <f>計分版!I$13</f>
        <v>5.0000000000000003E-10</v>
      </c>
      <c r="Z288" s="411">
        <f>計分版!J$13</f>
        <v>6E-10</v>
      </c>
      <c r="AA288" s="411">
        <f>計分版!K$13</f>
        <v>6.9999999999999996E-10</v>
      </c>
      <c r="AB288" s="411">
        <f>計分版!L$13</f>
        <v>8.0000000000000003E-10</v>
      </c>
      <c r="AC288" s="411">
        <f>計分版!M$13</f>
        <v>8.9999999999999999E-10</v>
      </c>
      <c r="AD288" s="411">
        <f>計分版!N$13</f>
        <v>9.5000000000000003E-10</v>
      </c>
      <c r="AG288" s="413" t="s">
        <v>2309</v>
      </c>
    </row>
    <row r="289" spans="1:39">
      <c r="A289" s="2" t="s">
        <v>874</v>
      </c>
      <c r="B289" s="2" t="s">
        <v>850</v>
      </c>
      <c r="C289" s="26" t="s">
        <v>189</v>
      </c>
      <c r="D289" s="78">
        <v>25</v>
      </c>
      <c r="E289" s="419">
        <v>3</v>
      </c>
      <c r="F289" s="419">
        <v>3</v>
      </c>
      <c r="G289" s="419">
        <v>2</v>
      </c>
      <c r="H289" s="419">
        <v>2</v>
      </c>
      <c r="I289" s="419">
        <v>2</v>
      </c>
      <c r="J289" s="419"/>
      <c r="L289" s="411">
        <f t="shared" si="134"/>
        <v>0</v>
      </c>
      <c r="M289" s="411">
        <f t="shared" si="135"/>
        <v>0</v>
      </c>
      <c r="N289" s="411">
        <f t="shared" si="136"/>
        <v>0</v>
      </c>
      <c r="O289" s="411">
        <f t="shared" si="137"/>
        <v>0</v>
      </c>
      <c r="P289" s="413">
        <f t="shared" si="138"/>
        <v>0</v>
      </c>
      <c r="Q289" s="78"/>
      <c r="R289" s="78"/>
      <c r="S289" s="78">
        <f t="shared" si="133"/>
        <v>0</v>
      </c>
      <c r="U289" s="411">
        <f>計分版!E$13</f>
        <v>1E-10</v>
      </c>
      <c r="V289" s="411">
        <f>計分版!F$13</f>
        <v>2.0000000000000001E-10</v>
      </c>
      <c r="W289" s="411">
        <f>計分版!G$13</f>
        <v>3E-10</v>
      </c>
      <c r="X289" s="411">
        <f>計分版!H$13</f>
        <v>4.0000000000000001E-10</v>
      </c>
      <c r="Y289" s="411">
        <f>計分版!I$13</f>
        <v>5.0000000000000003E-10</v>
      </c>
      <c r="Z289" s="411">
        <f>計分版!J$13</f>
        <v>6E-10</v>
      </c>
      <c r="AA289" s="411">
        <f>計分版!K$13</f>
        <v>6.9999999999999996E-10</v>
      </c>
      <c r="AB289" s="411">
        <f>計分版!L$13</f>
        <v>8.0000000000000003E-10</v>
      </c>
      <c r="AC289" s="411">
        <f>計分版!M$13</f>
        <v>8.9999999999999999E-10</v>
      </c>
      <c r="AD289" s="411">
        <f>計分版!N$13</f>
        <v>9.5000000000000003E-10</v>
      </c>
      <c r="AG289" s="413" t="s">
        <v>2309</v>
      </c>
    </row>
    <row r="290" spans="1:39">
      <c r="A290" s="2" t="s">
        <v>875</v>
      </c>
      <c r="B290" s="2" t="s">
        <v>851</v>
      </c>
      <c r="C290" s="26" t="s">
        <v>189</v>
      </c>
      <c r="D290" s="78">
        <v>25</v>
      </c>
      <c r="E290" s="419">
        <v>3</v>
      </c>
      <c r="F290" s="419">
        <v>3</v>
      </c>
      <c r="G290" s="419">
        <v>3</v>
      </c>
      <c r="H290" s="419">
        <v>2</v>
      </c>
      <c r="I290" s="419">
        <v>2</v>
      </c>
      <c r="J290" s="419"/>
      <c r="L290" s="411">
        <f t="shared" si="134"/>
        <v>0</v>
      </c>
      <c r="M290" s="411">
        <f t="shared" si="135"/>
        <v>0</v>
      </c>
      <c r="N290" s="411">
        <f t="shared" si="136"/>
        <v>0</v>
      </c>
      <c r="O290" s="411">
        <f t="shared" si="137"/>
        <v>0</v>
      </c>
      <c r="P290" s="413">
        <f t="shared" si="138"/>
        <v>0</v>
      </c>
      <c r="Q290" s="78"/>
      <c r="R290" s="78"/>
      <c r="S290" s="78">
        <f t="shared" si="133"/>
        <v>0</v>
      </c>
      <c r="U290" s="411">
        <f>計分版!E$13</f>
        <v>1E-10</v>
      </c>
      <c r="V290" s="411">
        <f>計分版!F$13</f>
        <v>2.0000000000000001E-10</v>
      </c>
      <c r="W290" s="411">
        <f>計分版!G$13</f>
        <v>3E-10</v>
      </c>
      <c r="X290" s="411">
        <f>計分版!H$13</f>
        <v>4.0000000000000001E-10</v>
      </c>
      <c r="Y290" s="411">
        <f>計分版!I$13</f>
        <v>5.0000000000000003E-10</v>
      </c>
      <c r="Z290" s="411">
        <f>計分版!J$13</f>
        <v>6E-10</v>
      </c>
      <c r="AA290" s="411">
        <f>計分版!K$13</f>
        <v>6.9999999999999996E-10</v>
      </c>
      <c r="AB290" s="411">
        <f>計分版!L$13</f>
        <v>8.0000000000000003E-10</v>
      </c>
      <c r="AC290" s="411">
        <f>計分版!M$13</f>
        <v>8.9999999999999999E-10</v>
      </c>
      <c r="AD290" s="411">
        <f>計分版!N$13</f>
        <v>9.5000000000000003E-10</v>
      </c>
      <c r="AG290" s="413" t="s">
        <v>2309</v>
      </c>
    </row>
    <row r="291" spans="1:39">
      <c r="A291" s="2" t="s">
        <v>876</v>
      </c>
      <c r="B291" s="2" t="s">
        <v>852</v>
      </c>
      <c r="C291" s="26" t="s">
        <v>189</v>
      </c>
      <c r="D291" s="78">
        <v>98</v>
      </c>
      <c r="E291" s="419">
        <v>3</v>
      </c>
      <c r="F291" s="419">
        <v>3</v>
      </c>
      <c r="G291" s="419">
        <v>2</v>
      </c>
      <c r="H291" s="419">
        <v>2</v>
      </c>
      <c r="I291" s="419">
        <v>2</v>
      </c>
      <c r="J291" s="419"/>
      <c r="L291" s="411">
        <f t="shared" si="134"/>
        <v>0</v>
      </c>
      <c r="M291" s="411">
        <f t="shared" si="135"/>
        <v>0</v>
      </c>
      <c r="N291" s="411">
        <f t="shared" si="136"/>
        <v>0</v>
      </c>
      <c r="O291" s="411">
        <f t="shared" si="137"/>
        <v>0</v>
      </c>
      <c r="P291" s="413">
        <f t="shared" si="138"/>
        <v>0</v>
      </c>
      <c r="Q291" s="78"/>
      <c r="R291" s="78"/>
      <c r="S291" s="78">
        <f t="shared" si="133"/>
        <v>0</v>
      </c>
      <c r="U291" s="411">
        <f>計分版!E$13</f>
        <v>1E-10</v>
      </c>
      <c r="V291" s="411">
        <f>計分版!F$13</f>
        <v>2.0000000000000001E-10</v>
      </c>
      <c r="W291" s="411">
        <f>計分版!G$13</f>
        <v>3E-10</v>
      </c>
      <c r="X291" s="411">
        <f>計分版!H$13</f>
        <v>4.0000000000000001E-10</v>
      </c>
      <c r="Y291" s="411">
        <f>計分版!I$13</f>
        <v>5.0000000000000003E-10</v>
      </c>
      <c r="Z291" s="411">
        <f>計分版!J$13</f>
        <v>6E-10</v>
      </c>
      <c r="AA291" s="411">
        <f>計分版!K$13</f>
        <v>6.9999999999999996E-10</v>
      </c>
      <c r="AB291" s="411">
        <f>計分版!L$13</f>
        <v>8.0000000000000003E-10</v>
      </c>
      <c r="AC291" s="411">
        <f>計分版!M$13</f>
        <v>8.9999999999999999E-10</v>
      </c>
      <c r="AD291" s="411">
        <f>計分版!N$13</f>
        <v>9.5000000000000003E-10</v>
      </c>
      <c r="AG291" s="413" t="s">
        <v>2309</v>
      </c>
    </row>
    <row r="292" spans="1:39">
      <c r="A292" s="2" t="s">
        <v>868</v>
      </c>
      <c r="B292" s="2" t="s">
        <v>844</v>
      </c>
      <c r="C292" s="26" t="s">
        <v>189</v>
      </c>
      <c r="D292" s="78">
        <v>29</v>
      </c>
      <c r="E292" s="419">
        <v>3</v>
      </c>
      <c r="F292" s="419">
        <v>3</v>
      </c>
      <c r="G292" s="419">
        <v>2</v>
      </c>
      <c r="H292" s="419">
        <v>2</v>
      </c>
      <c r="I292" s="419">
        <v>2</v>
      </c>
      <c r="J292" s="419"/>
      <c r="L292" s="411">
        <f t="shared" si="134"/>
        <v>0</v>
      </c>
      <c r="M292" s="411">
        <f t="shared" si="135"/>
        <v>0</v>
      </c>
      <c r="N292" s="411">
        <f t="shared" si="136"/>
        <v>0</v>
      </c>
      <c r="O292" s="411">
        <f t="shared" si="137"/>
        <v>0</v>
      </c>
      <c r="P292" s="413">
        <f t="shared" si="138"/>
        <v>0</v>
      </c>
      <c r="Q292" s="78"/>
      <c r="R292" s="78"/>
      <c r="S292" s="78">
        <f t="shared" si="133"/>
        <v>0</v>
      </c>
      <c r="U292" s="411">
        <f>計分版!E$13</f>
        <v>1E-10</v>
      </c>
      <c r="V292" s="411">
        <f>計分版!F$13</f>
        <v>2.0000000000000001E-10</v>
      </c>
      <c r="W292" s="411">
        <f>計分版!G$13</f>
        <v>3E-10</v>
      </c>
      <c r="X292" s="411">
        <f>計分版!H$13</f>
        <v>4.0000000000000001E-10</v>
      </c>
      <c r="Y292" s="411">
        <f>計分版!I$13</f>
        <v>5.0000000000000003E-10</v>
      </c>
      <c r="Z292" s="411">
        <f>計分版!J$13</f>
        <v>6E-10</v>
      </c>
      <c r="AA292" s="411">
        <f>計分版!K$13</f>
        <v>6.9999999999999996E-10</v>
      </c>
      <c r="AB292" s="411">
        <f>計分版!L$13</f>
        <v>8.0000000000000003E-10</v>
      </c>
      <c r="AC292" s="411">
        <f>計分版!M$13</f>
        <v>8.9999999999999999E-10</v>
      </c>
      <c r="AD292" s="411">
        <f>計分版!N$13</f>
        <v>9.5000000000000003E-10</v>
      </c>
      <c r="AG292" s="413" t="s">
        <v>2309</v>
      </c>
    </row>
    <row r="293" spans="1:39">
      <c r="A293" s="2" t="s">
        <v>869</v>
      </c>
      <c r="B293" s="2" t="s">
        <v>845</v>
      </c>
      <c r="C293" s="26" t="s">
        <v>189</v>
      </c>
      <c r="D293" s="78">
        <v>28</v>
      </c>
      <c r="E293" s="419">
        <v>3</v>
      </c>
      <c r="F293" s="419">
        <v>3</v>
      </c>
      <c r="G293" s="419">
        <v>2</v>
      </c>
      <c r="H293" s="419">
        <v>2</v>
      </c>
      <c r="I293" s="419">
        <v>2</v>
      </c>
      <c r="J293" s="419"/>
      <c r="L293" s="411">
        <f t="shared" si="134"/>
        <v>0</v>
      </c>
      <c r="M293" s="411">
        <f t="shared" si="135"/>
        <v>0</v>
      </c>
      <c r="N293" s="411">
        <f t="shared" si="136"/>
        <v>0</v>
      </c>
      <c r="O293" s="411">
        <f t="shared" si="137"/>
        <v>0</v>
      </c>
      <c r="P293" s="413">
        <f t="shared" si="138"/>
        <v>0</v>
      </c>
      <c r="Q293" s="78"/>
      <c r="R293" s="78"/>
      <c r="S293" s="78">
        <f t="shared" si="133"/>
        <v>0</v>
      </c>
      <c r="U293" s="411">
        <f>計分版!E$13</f>
        <v>1E-10</v>
      </c>
      <c r="V293" s="411">
        <f>計分版!F$13</f>
        <v>2.0000000000000001E-10</v>
      </c>
      <c r="W293" s="411">
        <f>計分版!G$13</f>
        <v>3E-10</v>
      </c>
      <c r="X293" s="411">
        <f>計分版!H$13</f>
        <v>4.0000000000000001E-10</v>
      </c>
      <c r="Y293" s="411">
        <f>計分版!I$13</f>
        <v>5.0000000000000003E-10</v>
      </c>
      <c r="Z293" s="411">
        <f>計分版!J$13</f>
        <v>6E-10</v>
      </c>
      <c r="AA293" s="411">
        <f>計分版!K$13</f>
        <v>6.9999999999999996E-10</v>
      </c>
      <c r="AB293" s="411">
        <f>計分版!L$13</f>
        <v>8.0000000000000003E-10</v>
      </c>
      <c r="AC293" s="411">
        <f>計分版!M$13</f>
        <v>8.9999999999999999E-10</v>
      </c>
      <c r="AD293" s="411">
        <f>計分版!N$13</f>
        <v>9.5000000000000003E-10</v>
      </c>
      <c r="AG293" s="413" t="s">
        <v>2309</v>
      </c>
    </row>
    <row r="294" spans="1:39">
      <c r="A294" s="2" t="s">
        <v>870</v>
      </c>
      <c r="B294" s="2" t="s">
        <v>846</v>
      </c>
      <c r="C294" s="26" t="s">
        <v>189</v>
      </c>
      <c r="D294" s="78">
        <v>31</v>
      </c>
      <c r="E294" s="419">
        <v>3</v>
      </c>
      <c r="F294" s="419">
        <v>3</v>
      </c>
      <c r="G294" s="419">
        <v>2</v>
      </c>
      <c r="H294" s="419">
        <v>2</v>
      </c>
      <c r="I294" s="419">
        <v>2</v>
      </c>
      <c r="J294" s="419"/>
      <c r="L294" s="411">
        <f t="shared" si="134"/>
        <v>0</v>
      </c>
      <c r="M294" s="411">
        <f t="shared" si="135"/>
        <v>0</v>
      </c>
      <c r="N294" s="411">
        <f t="shared" si="136"/>
        <v>0</v>
      </c>
      <c r="O294" s="411">
        <f t="shared" si="137"/>
        <v>0</v>
      </c>
      <c r="P294" s="413">
        <f t="shared" si="138"/>
        <v>0</v>
      </c>
      <c r="Q294" s="78"/>
      <c r="R294" s="78"/>
      <c r="S294" s="78">
        <f t="shared" si="133"/>
        <v>0</v>
      </c>
      <c r="U294" s="411">
        <f>計分版!E$13</f>
        <v>1E-10</v>
      </c>
      <c r="V294" s="411">
        <f>計分版!F$13</f>
        <v>2.0000000000000001E-10</v>
      </c>
      <c r="W294" s="411">
        <f>計分版!G$13</f>
        <v>3E-10</v>
      </c>
      <c r="X294" s="411">
        <f>計分版!H$13</f>
        <v>4.0000000000000001E-10</v>
      </c>
      <c r="Y294" s="411">
        <f>計分版!I$13</f>
        <v>5.0000000000000003E-10</v>
      </c>
      <c r="Z294" s="411">
        <f>計分版!J$13</f>
        <v>6E-10</v>
      </c>
      <c r="AA294" s="411">
        <f>計分版!K$13</f>
        <v>6.9999999999999996E-10</v>
      </c>
      <c r="AB294" s="411">
        <f>計分版!L$13</f>
        <v>8.0000000000000003E-10</v>
      </c>
      <c r="AC294" s="411">
        <f>計分版!M$13</f>
        <v>8.9999999999999999E-10</v>
      </c>
      <c r="AD294" s="411">
        <f>計分版!N$13</f>
        <v>9.5000000000000003E-10</v>
      </c>
      <c r="AG294" s="413" t="s">
        <v>2309</v>
      </c>
    </row>
    <row r="295" spans="1:39">
      <c r="A295" s="2" t="s">
        <v>871</v>
      </c>
      <c r="B295" s="2" t="s">
        <v>847</v>
      </c>
      <c r="C295" s="26" t="s">
        <v>189</v>
      </c>
      <c r="D295" s="78">
        <v>28</v>
      </c>
      <c r="E295" s="419">
        <v>3</v>
      </c>
      <c r="F295" s="419">
        <v>3</v>
      </c>
      <c r="G295" s="419">
        <v>2</v>
      </c>
      <c r="H295" s="419">
        <v>2</v>
      </c>
      <c r="I295" s="419">
        <v>2</v>
      </c>
      <c r="J295" s="419"/>
      <c r="L295" s="411">
        <f t="shared" si="134"/>
        <v>0</v>
      </c>
      <c r="M295" s="411">
        <f t="shared" si="135"/>
        <v>0</v>
      </c>
      <c r="N295" s="411">
        <f t="shared" si="136"/>
        <v>0</v>
      </c>
      <c r="O295" s="411">
        <f t="shared" si="137"/>
        <v>0</v>
      </c>
      <c r="P295" s="413">
        <f t="shared" si="138"/>
        <v>0</v>
      </c>
      <c r="Q295" s="78"/>
      <c r="R295" s="78"/>
      <c r="S295" s="78">
        <f t="shared" si="133"/>
        <v>0</v>
      </c>
      <c r="U295" s="411">
        <f>計分版!E$13</f>
        <v>1E-10</v>
      </c>
      <c r="V295" s="411">
        <f>計分版!F$13</f>
        <v>2.0000000000000001E-10</v>
      </c>
      <c r="W295" s="411">
        <f>計分版!G$13</f>
        <v>3E-10</v>
      </c>
      <c r="X295" s="411">
        <f>計分版!H$13</f>
        <v>4.0000000000000001E-10</v>
      </c>
      <c r="Y295" s="411">
        <f>計分版!I$13</f>
        <v>5.0000000000000003E-10</v>
      </c>
      <c r="Z295" s="411">
        <f>計分版!J$13</f>
        <v>6E-10</v>
      </c>
      <c r="AA295" s="411">
        <f>計分版!K$13</f>
        <v>6.9999999999999996E-10</v>
      </c>
      <c r="AB295" s="411">
        <f>計分版!L$13</f>
        <v>8.0000000000000003E-10</v>
      </c>
      <c r="AC295" s="411">
        <f>計分版!M$13</f>
        <v>8.9999999999999999E-10</v>
      </c>
      <c r="AD295" s="411">
        <f>計分版!N$13</f>
        <v>9.5000000000000003E-10</v>
      </c>
      <c r="AG295" s="413" t="s">
        <v>2309</v>
      </c>
    </row>
    <row r="296" spans="1:39">
      <c r="A296" s="2" t="s">
        <v>872</v>
      </c>
      <c r="B296" s="2" t="s">
        <v>848</v>
      </c>
      <c r="C296" s="26" t="s">
        <v>189</v>
      </c>
      <c r="D296" s="78">
        <v>26</v>
      </c>
      <c r="E296" s="419">
        <v>3</v>
      </c>
      <c r="F296" s="419">
        <v>3</v>
      </c>
      <c r="G296" s="419">
        <v>2</v>
      </c>
      <c r="H296" s="419">
        <v>2</v>
      </c>
      <c r="I296" s="419">
        <v>2</v>
      </c>
      <c r="J296" s="419"/>
      <c r="L296" s="411">
        <f t="shared" si="134"/>
        <v>0</v>
      </c>
      <c r="M296" s="411">
        <f t="shared" si="135"/>
        <v>0</v>
      </c>
      <c r="N296" s="411">
        <f t="shared" si="136"/>
        <v>0</v>
      </c>
      <c r="O296" s="411">
        <f t="shared" si="137"/>
        <v>0</v>
      </c>
      <c r="P296" s="413">
        <f t="shared" si="138"/>
        <v>0</v>
      </c>
      <c r="Q296" s="78"/>
      <c r="R296" s="78"/>
      <c r="S296" s="78">
        <f t="shared" si="133"/>
        <v>0</v>
      </c>
      <c r="U296" s="411">
        <f>計分版!E$13</f>
        <v>1E-10</v>
      </c>
      <c r="V296" s="411">
        <f>計分版!F$13</f>
        <v>2.0000000000000001E-10</v>
      </c>
      <c r="W296" s="411">
        <f>計分版!G$13</f>
        <v>3E-10</v>
      </c>
      <c r="X296" s="411">
        <f>計分版!H$13</f>
        <v>4.0000000000000001E-10</v>
      </c>
      <c r="Y296" s="411">
        <f>計分版!I$13</f>
        <v>5.0000000000000003E-10</v>
      </c>
      <c r="Z296" s="411">
        <f>計分版!J$13</f>
        <v>6E-10</v>
      </c>
      <c r="AA296" s="411">
        <f>計分版!K$13</f>
        <v>6.9999999999999996E-10</v>
      </c>
      <c r="AB296" s="411">
        <f>計分版!L$13</f>
        <v>8.0000000000000003E-10</v>
      </c>
      <c r="AC296" s="411">
        <f>計分版!M$13</f>
        <v>8.9999999999999999E-10</v>
      </c>
      <c r="AD296" s="411">
        <f>計分版!N$13</f>
        <v>9.5000000000000003E-10</v>
      </c>
      <c r="AG296" s="413" t="s">
        <v>2309</v>
      </c>
    </row>
    <row r="297" spans="1:39">
      <c r="E297" s="419"/>
      <c r="F297" s="419"/>
      <c r="G297" s="419"/>
      <c r="H297" s="419"/>
      <c r="I297" s="419"/>
      <c r="J297" s="419"/>
    </row>
    <row r="298" spans="1:39" s="174" customFormat="1">
      <c r="A298" s="15" t="s">
        <v>1464</v>
      </c>
      <c r="E298" s="419"/>
      <c r="F298" s="419"/>
      <c r="G298" s="419"/>
      <c r="H298" s="419"/>
      <c r="I298" s="419"/>
      <c r="J298" s="419"/>
      <c r="S298" s="258"/>
      <c r="T298" s="258"/>
      <c r="U298" s="411"/>
      <c r="V298" s="411"/>
      <c r="W298" s="411"/>
      <c r="X298" s="411"/>
      <c r="Y298" s="411"/>
      <c r="Z298" s="411"/>
      <c r="AA298" s="411"/>
      <c r="AB298" s="411"/>
      <c r="AC298" s="411"/>
      <c r="AD298" s="411"/>
      <c r="AE298" s="182"/>
      <c r="AF298" s="413"/>
      <c r="AG298" s="413"/>
      <c r="AH298" s="413"/>
      <c r="AI298" s="413"/>
      <c r="AJ298" s="413"/>
      <c r="AK298" s="413"/>
      <c r="AL298" s="413"/>
      <c r="AM298" s="413"/>
    </row>
    <row r="299" spans="1:39">
      <c r="A299" s="12" t="s">
        <v>203</v>
      </c>
      <c r="B299" s="12" t="s">
        <v>367</v>
      </c>
      <c r="C299" s="12" t="s">
        <v>204</v>
      </c>
      <c r="D299" s="257" t="s">
        <v>361</v>
      </c>
      <c r="E299" s="422" t="s">
        <v>369</v>
      </c>
      <c r="F299" s="422" t="s">
        <v>370</v>
      </c>
      <c r="G299" s="422" t="s">
        <v>371</v>
      </c>
      <c r="H299" s="422" t="s">
        <v>372</v>
      </c>
      <c r="I299" s="422" t="s">
        <v>373</v>
      </c>
      <c r="J299" s="422"/>
      <c r="K299" s="258"/>
      <c r="L299" s="257" t="s">
        <v>369</v>
      </c>
      <c r="M299" s="257" t="s">
        <v>370</v>
      </c>
      <c r="N299" s="257" t="s">
        <v>371</v>
      </c>
      <c r="O299" s="257" t="s">
        <v>372</v>
      </c>
      <c r="P299" s="257" t="s">
        <v>373</v>
      </c>
      <c r="Q299" s="257"/>
      <c r="U299" s="415" t="s">
        <v>2</v>
      </c>
      <c r="V299" s="415" t="s">
        <v>1</v>
      </c>
      <c r="W299" s="415" t="s">
        <v>3</v>
      </c>
      <c r="X299" s="415" t="s">
        <v>4</v>
      </c>
      <c r="Y299" s="415" t="s">
        <v>63</v>
      </c>
      <c r="Z299" s="415" t="str">
        <f>主頁!$B$15</f>
        <v>請選擇第一選修科</v>
      </c>
      <c r="AA299" s="415" t="str">
        <f>主頁!$B$16</f>
        <v>請選擇第二選修科</v>
      </c>
      <c r="AB299" s="415" t="str">
        <f>主頁!$B$17</f>
        <v>請選擇第三選修科</v>
      </c>
      <c r="AC299" s="415" t="str">
        <f>主頁!$B$18</f>
        <v>請選擇第四選修科</v>
      </c>
      <c r="AD299" s="416" t="str">
        <f>主頁!$B$19</f>
        <v>請選擇語言科目</v>
      </c>
      <c r="AE299" s="417" t="s">
        <v>360</v>
      </c>
      <c r="AF299" s="413" t="s">
        <v>2305</v>
      </c>
      <c r="AG299" s="413" t="s">
        <v>2306</v>
      </c>
      <c r="AH299" s="413" t="s">
        <v>2307</v>
      </c>
    </row>
    <row r="300" spans="1:39">
      <c r="A300" s="2" t="s">
        <v>793</v>
      </c>
      <c r="B300" s="2" t="s">
        <v>794</v>
      </c>
      <c r="C300" s="26" t="s">
        <v>189</v>
      </c>
      <c r="D300" s="78"/>
      <c r="E300" s="419">
        <v>3</v>
      </c>
      <c r="F300" s="419">
        <v>3</v>
      </c>
      <c r="G300" s="419">
        <v>2</v>
      </c>
      <c r="H300" s="419">
        <v>2</v>
      </c>
      <c r="I300" s="419">
        <v>2</v>
      </c>
      <c r="J300" s="419"/>
      <c r="L300" s="411">
        <f>IF(E300&gt;U300,0,IF(U300&lt;5,2,1))</f>
        <v>0</v>
      </c>
      <c r="M300" s="411">
        <f t="shared" ref="L300:M301" si="139">IF(F300&gt;V300,0,1)</f>
        <v>0</v>
      </c>
      <c r="N300" s="411">
        <f t="shared" ref="N300" si="140">IF(G300&gt;W300,0,1)</f>
        <v>0</v>
      </c>
      <c r="O300" s="411">
        <f t="shared" ref="O300" si="141">IF(H300&gt;X300,0,1)</f>
        <v>0</v>
      </c>
      <c r="P300" s="122">
        <f>IF(I300&gt;LARGE(Y300:AD300,1),0,1)</f>
        <v>0</v>
      </c>
      <c r="S300" s="78">
        <f t="shared" ref="S300:S322" si="142">L300*M300*N300*O300*P300</f>
        <v>0</v>
      </c>
      <c r="U300" s="411">
        <f>計分版!E$13</f>
        <v>1E-10</v>
      </c>
      <c r="V300" s="411">
        <f>計分版!F$13</f>
        <v>2.0000000000000001E-10</v>
      </c>
      <c r="W300" s="411">
        <f>計分版!G$13</f>
        <v>3E-10</v>
      </c>
      <c r="X300" s="411">
        <f>計分版!H$13</f>
        <v>4.0000000000000001E-10</v>
      </c>
      <c r="Y300" s="411">
        <f>計分版!I$13</f>
        <v>5.0000000000000003E-10</v>
      </c>
      <c r="Z300" s="411">
        <f>計分版!J$13</f>
        <v>6E-10</v>
      </c>
      <c r="AA300" s="411">
        <f>計分版!K$13</f>
        <v>6.9999999999999996E-10</v>
      </c>
      <c r="AB300" s="411">
        <f>計分版!L$13</f>
        <v>8.0000000000000003E-10</v>
      </c>
      <c r="AC300" s="411">
        <f>計分版!M$13</f>
        <v>8.9999999999999999E-10</v>
      </c>
      <c r="AD300" s="411">
        <f>計分版!N$13</f>
        <v>9.5000000000000003E-10</v>
      </c>
      <c r="AF300" s="413" t="s">
        <v>2308</v>
      </c>
      <c r="AG300" s="413" t="s">
        <v>2309</v>
      </c>
    </row>
    <row r="301" spans="1:39">
      <c r="A301" s="2" t="s">
        <v>795</v>
      </c>
      <c r="B301" s="2" t="s">
        <v>796</v>
      </c>
      <c r="C301" s="26" t="s">
        <v>189</v>
      </c>
      <c r="D301" s="78"/>
      <c r="E301" s="419">
        <v>3</v>
      </c>
      <c r="F301" s="419">
        <v>3</v>
      </c>
      <c r="G301" s="419">
        <v>2</v>
      </c>
      <c r="H301" s="419">
        <v>2</v>
      </c>
      <c r="I301" s="419">
        <v>2</v>
      </c>
      <c r="J301" s="419"/>
      <c r="L301" s="411">
        <f t="shared" si="139"/>
        <v>0</v>
      </c>
      <c r="M301" s="122">
        <f>IF(F301&gt;V301,0,IF(V301&lt;5,2,1))</f>
        <v>0</v>
      </c>
      <c r="N301" s="411">
        <f t="shared" ref="N301:N322" si="143">IF(G301&gt;W301,0,1)</f>
        <v>0</v>
      </c>
      <c r="O301" s="411">
        <f t="shared" ref="O301:O322" si="144">IF(H301&gt;X301,0,1)</f>
        <v>0</v>
      </c>
      <c r="P301" s="122">
        <f>IF(I301&gt;LARGE(計分版!$I$13:$N$13,1),0,1)</f>
        <v>0</v>
      </c>
      <c r="S301" s="78">
        <f t="shared" si="142"/>
        <v>0</v>
      </c>
      <c r="U301" s="411">
        <f>計分版!E$13</f>
        <v>1E-10</v>
      </c>
      <c r="V301" s="411">
        <f>計分版!F$13</f>
        <v>2.0000000000000001E-10</v>
      </c>
      <c r="W301" s="411">
        <f>計分版!G$13</f>
        <v>3E-10</v>
      </c>
      <c r="X301" s="411">
        <f>計分版!H$13</f>
        <v>4.0000000000000001E-10</v>
      </c>
      <c r="Y301" s="411">
        <f>計分版!I$13</f>
        <v>5.0000000000000003E-10</v>
      </c>
      <c r="Z301" s="411">
        <f>計分版!J$13</f>
        <v>6E-10</v>
      </c>
      <c r="AA301" s="411">
        <f>計分版!K$13</f>
        <v>6.9999999999999996E-10</v>
      </c>
      <c r="AB301" s="411">
        <f>計分版!L$13</f>
        <v>8.0000000000000003E-10</v>
      </c>
      <c r="AC301" s="411">
        <f>計分版!M$13</f>
        <v>8.9999999999999999E-10</v>
      </c>
      <c r="AD301" s="411">
        <f>計分版!N$13</f>
        <v>9.5000000000000003E-10</v>
      </c>
      <c r="AF301" s="413" t="s">
        <v>2308</v>
      </c>
      <c r="AG301" s="413" t="s">
        <v>2309</v>
      </c>
    </row>
    <row r="302" spans="1:39">
      <c r="A302" s="2" t="s">
        <v>797</v>
      </c>
      <c r="B302" s="2" t="s">
        <v>798</v>
      </c>
      <c r="C302" s="26" t="s">
        <v>189</v>
      </c>
      <c r="D302" s="78"/>
      <c r="E302" s="419">
        <v>3</v>
      </c>
      <c r="F302" s="419">
        <v>3</v>
      </c>
      <c r="G302" s="419">
        <v>2</v>
      </c>
      <c r="H302" s="419">
        <v>2</v>
      </c>
      <c r="I302" s="419">
        <v>2</v>
      </c>
      <c r="J302" s="419"/>
      <c r="L302" s="411">
        <f>IF(E302&gt;U302,0,1)</f>
        <v>0</v>
      </c>
      <c r="M302" s="411">
        <f t="shared" ref="M302" si="145">IF(F302&gt;V302,0,1)</f>
        <v>0</v>
      </c>
      <c r="N302" s="411">
        <f t="shared" si="143"/>
        <v>0</v>
      </c>
      <c r="O302" s="411">
        <f t="shared" si="144"/>
        <v>0</v>
      </c>
      <c r="P302" s="122">
        <f>IF(I302&gt;LARGE(計分版!$I$13:$N$13,1),0,1)</f>
        <v>0</v>
      </c>
      <c r="S302" s="78">
        <f t="shared" si="142"/>
        <v>0</v>
      </c>
      <c r="U302" s="411">
        <f>計分版!E$13</f>
        <v>1E-10</v>
      </c>
      <c r="V302" s="411">
        <f>計分版!F$13</f>
        <v>2.0000000000000001E-10</v>
      </c>
      <c r="W302" s="411">
        <f>計分版!G$13</f>
        <v>3E-10</v>
      </c>
      <c r="X302" s="411">
        <f>計分版!H$13</f>
        <v>4.0000000000000001E-10</v>
      </c>
      <c r="Y302" s="411">
        <f>計分版!I$13</f>
        <v>5.0000000000000003E-10</v>
      </c>
      <c r="Z302" s="411">
        <f>計分版!J$13</f>
        <v>6E-10</v>
      </c>
      <c r="AA302" s="411">
        <f>計分版!K$13</f>
        <v>6.9999999999999996E-10</v>
      </c>
      <c r="AB302" s="411">
        <f>計分版!L$13</f>
        <v>8.0000000000000003E-10</v>
      </c>
      <c r="AC302" s="411">
        <f>計分版!M$13</f>
        <v>8.9999999999999999E-10</v>
      </c>
      <c r="AD302" s="411">
        <f>計分版!N$13</f>
        <v>9.5000000000000003E-10</v>
      </c>
      <c r="AF302" s="413" t="s">
        <v>2308</v>
      </c>
      <c r="AG302" s="413" t="s">
        <v>2309</v>
      </c>
    </row>
    <row r="303" spans="1:39">
      <c r="A303" s="2" t="s">
        <v>799</v>
      </c>
      <c r="B303" s="2" t="s">
        <v>800</v>
      </c>
      <c r="C303" s="26" t="s">
        <v>189</v>
      </c>
      <c r="D303" s="78"/>
      <c r="E303" s="419">
        <v>3</v>
      </c>
      <c r="F303" s="419">
        <v>3</v>
      </c>
      <c r="G303" s="419">
        <v>3</v>
      </c>
      <c r="H303" s="419">
        <v>2</v>
      </c>
      <c r="I303" s="419">
        <v>2</v>
      </c>
      <c r="J303" s="419"/>
      <c r="L303" s="411">
        <f t="shared" ref="L303:L311" si="146">IF(E303&gt;U303,0,1)</f>
        <v>0</v>
      </c>
      <c r="M303" s="411">
        <f t="shared" ref="M303:M312" si="147">IF(F303&gt;V303,0,1)</f>
        <v>0</v>
      </c>
      <c r="N303" s="411">
        <f t="shared" ref="N303:N313" si="148">IF(G303&gt;W303,0,1)</f>
        <v>0</v>
      </c>
      <c r="O303" s="411">
        <f t="shared" ref="O303:O313" si="149">IF(H303&gt;X303,0,1)</f>
        <v>0</v>
      </c>
      <c r="P303" s="122">
        <f>IF(AND(W303&gt;3,Y303&gt;2),1,IF(W303&gt;5,2,0))</f>
        <v>0</v>
      </c>
      <c r="S303" s="78">
        <f t="shared" si="142"/>
        <v>0</v>
      </c>
      <c r="U303" s="411">
        <f>計分版!E$13</f>
        <v>1E-10</v>
      </c>
      <c r="V303" s="411">
        <f>計分版!F$13</f>
        <v>2.0000000000000001E-10</v>
      </c>
      <c r="W303" s="411">
        <f>計分版!G$13</f>
        <v>3E-10</v>
      </c>
      <c r="X303" s="411">
        <f>計分版!H$13</f>
        <v>4.0000000000000001E-10</v>
      </c>
      <c r="Y303" s="411">
        <f>計分版!I$13</f>
        <v>5.0000000000000003E-10</v>
      </c>
      <c r="Z303" s="411">
        <f>計分版!J$13</f>
        <v>6E-10</v>
      </c>
      <c r="AA303" s="411">
        <f>計分版!K$13</f>
        <v>6.9999999999999996E-10</v>
      </c>
      <c r="AB303" s="411">
        <f>計分版!L$13</f>
        <v>8.0000000000000003E-10</v>
      </c>
      <c r="AC303" s="411">
        <f>計分版!M$13</f>
        <v>8.9999999999999999E-10</v>
      </c>
      <c r="AD303" s="411">
        <f>計分版!N$13</f>
        <v>9.5000000000000003E-10</v>
      </c>
      <c r="AF303" s="413" t="s">
        <v>2308</v>
      </c>
      <c r="AG303" s="413" t="s">
        <v>2309</v>
      </c>
    </row>
    <row r="304" spans="1:39">
      <c r="A304" s="2" t="s">
        <v>801</v>
      </c>
      <c r="B304" s="2" t="s">
        <v>802</v>
      </c>
      <c r="C304" s="26" t="s">
        <v>189</v>
      </c>
      <c r="D304" s="78"/>
      <c r="E304" s="419">
        <v>3</v>
      </c>
      <c r="F304" s="419">
        <v>3</v>
      </c>
      <c r="G304" s="419">
        <v>2</v>
      </c>
      <c r="H304" s="419">
        <v>2</v>
      </c>
      <c r="I304" s="419">
        <v>2</v>
      </c>
      <c r="J304" s="419"/>
      <c r="L304" s="411">
        <f t="shared" si="146"/>
        <v>0</v>
      </c>
      <c r="M304" s="411">
        <f t="shared" si="147"/>
        <v>0</v>
      </c>
      <c r="N304" s="411">
        <f t="shared" si="148"/>
        <v>0</v>
      </c>
      <c r="O304" s="411">
        <f t="shared" si="149"/>
        <v>0</v>
      </c>
      <c r="P304" s="122">
        <f>IF(I304&gt;LARGE(Y304:AD304,1),0,1)</f>
        <v>0</v>
      </c>
      <c r="S304" s="405">
        <f>IF(L304*M304*N304*O304*P304=0,0,2)</f>
        <v>0</v>
      </c>
      <c r="U304" s="411">
        <f>計分版!E$13</f>
        <v>1E-10</v>
      </c>
      <c r="V304" s="411">
        <f>計分版!F$13</f>
        <v>2.0000000000000001E-10</v>
      </c>
      <c r="W304" s="411">
        <f>計分版!G$13</f>
        <v>3E-10</v>
      </c>
      <c r="X304" s="411">
        <f>計分版!H$13</f>
        <v>4.0000000000000001E-10</v>
      </c>
      <c r="Y304" s="411">
        <f>計分版!I$13</f>
        <v>5.0000000000000003E-10</v>
      </c>
      <c r="Z304" s="411">
        <f>計分版!J$13</f>
        <v>6E-10</v>
      </c>
      <c r="AA304" s="411">
        <f>計分版!K$13</f>
        <v>6.9999999999999996E-10</v>
      </c>
      <c r="AB304" s="411">
        <f>計分版!L$13</f>
        <v>8.0000000000000003E-10</v>
      </c>
      <c r="AC304" s="411">
        <f>計分版!M$13</f>
        <v>8.9999999999999999E-10</v>
      </c>
      <c r="AD304" s="411">
        <f>計分版!N$13</f>
        <v>9.5000000000000003E-10</v>
      </c>
      <c r="AF304" s="413" t="s">
        <v>2308</v>
      </c>
      <c r="AG304" s="413" t="s">
        <v>2309</v>
      </c>
    </row>
    <row r="305" spans="1:33">
      <c r="A305" s="2" t="s">
        <v>803</v>
      </c>
      <c r="B305" s="2" t="s">
        <v>804</v>
      </c>
      <c r="C305" s="26" t="s">
        <v>189</v>
      </c>
      <c r="D305" s="78"/>
      <c r="E305" s="419">
        <v>3</v>
      </c>
      <c r="F305" s="419">
        <v>3</v>
      </c>
      <c r="G305" s="419">
        <v>2</v>
      </c>
      <c r="H305" s="419">
        <v>2</v>
      </c>
      <c r="I305" s="419">
        <v>2</v>
      </c>
      <c r="J305" s="419"/>
      <c r="L305" s="411">
        <f t="shared" si="146"/>
        <v>0</v>
      </c>
      <c r="M305" s="411">
        <f t="shared" si="147"/>
        <v>0</v>
      </c>
      <c r="N305" s="411">
        <f t="shared" si="148"/>
        <v>0</v>
      </c>
      <c r="O305" s="411">
        <f t="shared" si="149"/>
        <v>0</v>
      </c>
      <c r="P305" s="122">
        <f>IF(OR(計分版!R27&gt;2,計分版!T244&gt;2),1,0)</f>
        <v>0</v>
      </c>
      <c r="S305" s="405">
        <f t="shared" si="142"/>
        <v>0</v>
      </c>
      <c r="U305" s="411">
        <f>計分版!E$13</f>
        <v>1E-10</v>
      </c>
      <c r="V305" s="411">
        <f>計分版!F$13</f>
        <v>2.0000000000000001E-10</v>
      </c>
      <c r="W305" s="411">
        <f>計分版!G$13</f>
        <v>3E-10</v>
      </c>
      <c r="X305" s="411">
        <f>計分版!H$13</f>
        <v>4.0000000000000001E-10</v>
      </c>
      <c r="Y305" s="411">
        <f>計分版!I$13</f>
        <v>5.0000000000000003E-10</v>
      </c>
      <c r="Z305" s="411">
        <f>計分版!J$13</f>
        <v>6E-10</v>
      </c>
      <c r="AA305" s="411">
        <f>計分版!K$13</f>
        <v>6.9999999999999996E-10</v>
      </c>
      <c r="AB305" s="411">
        <f>計分版!L$13</f>
        <v>8.0000000000000003E-10</v>
      </c>
      <c r="AC305" s="411">
        <f>計分版!M$13</f>
        <v>8.9999999999999999E-10</v>
      </c>
      <c r="AD305" s="411">
        <f>計分版!N$13</f>
        <v>9.5000000000000003E-10</v>
      </c>
      <c r="AF305" s="413" t="s">
        <v>2308</v>
      </c>
      <c r="AG305" s="413" t="s">
        <v>2309</v>
      </c>
    </row>
    <row r="306" spans="1:33">
      <c r="A306" s="2" t="s">
        <v>805</v>
      </c>
      <c r="B306" s="2" t="s">
        <v>806</v>
      </c>
      <c r="C306" s="26" t="s">
        <v>189</v>
      </c>
      <c r="D306" s="78"/>
      <c r="E306" s="419">
        <v>3</v>
      </c>
      <c r="F306" s="419">
        <v>3</v>
      </c>
      <c r="G306" s="419">
        <v>2</v>
      </c>
      <c r="H306" s="419">
        <v>2</v>
      </c>
      <c r="I306" s="419">
        <v>2</v>
      </c>
      <c r="J306" s="419"/>
      <c r="L306" s="411">
        <f t="shared" si="146"/>
        <v>0</v>
      </c>
      <c r="M306" s="411">
        <f t="shared" si="147"/>
        <v>0</v>
      </c>
      <c r="N306" s="411">
        <f t="shared" si="148"/>
        <v>0</v>
      </c>
      <c r="O306" s="411">
        <f t="shared" si="149"/>
        <v>0</v>
      </c>
      <c r="P306" s="122">
        <f>IF(I306&gt;LARGE(Y306:AD306,1),0,1)</f>
        <v>0</v>
      </c>
      <c r="S306" s="78">
        <f t="shared" si="142"/>
        <v>0</v>
      </c>
      <c r="U306" s="411">
        <f>計分版!E$13</f>
        <v>1E-10</v>
      </c>
      <c r="V306" s="411">
        <f>計分版!F$13</f>
        <v>2.0000000000000001E-10</v>
      </c>
      <c r="W306" s="411">
        <f>計分版!G$13</f>
        <v>3E-10</v>
      </c>
      <c r="X306" s="411">
        <f>計分版!H$13</f>
        <v>4.0000000000000001E-10</v>
      </c>
      <c r="Y306" s="411">
        <f>計分版!I$13</f>
        <v>5.0000000000000003E-10</v>
      </c>
      <c r="Z306" s="411">
        <f>計分版!J$13</f>
        <v>6E-10</v>
      </c>
      <c r="AA306" s="411">
        <f>計分版!K$13</f>
        <v>6.9999999999999996E-10</v>
      </c>
      <c r="AB306" s="411">
        <f>計分版!L$13</f>
        <v>8.0000000000000003E-10</v>
      </c>
      <c r="AC306" s="411">
        <f>計分版!M$13</f>
        <v>8.9999999999999999E-10</v>
      </c>
      <c r="AD306" s="411">
        <f>計分版!N$13</f>
        <v>9.5000000000000003E-10</v>
      </c>
      <c r="AF306" s="413" t="s">
        <v>2308</v>
      </c>
      <c r="AG306" s="413" t="s">
        <v>2309</v>
      </c>
    </row>
    <row r="307" spans="1:33">
      <c r="A307" s="2" t="s">
        <v>807</v>
      </c>
      <c r="B307" s="2" t="s">
        <v>808</v>
      </c>
      <c r="C307" s="26" t="s">
        <v>189</v>
      </c>
      <c r="D307" s="78"/>
      <c r="E307" s="419">
        <v>3</v>
      </c>
      <c r="F307" s="419">
        <v>3</v>
      </c>
      <c r="G307" s="419">
        <v>3</v>
      </c>
      <c r="H307" s="419">
        <v>2</v>
      </c>
      <c r="I307" s="419">
        <v>2</v>
      </c>
      <c r="J307" s="419"/>
      <c r="L307" s="411">
        <f t="shared" si="146"/>
        <v>0</v>
      </c>
      <c r="M307" s="411">
        <f t="shared" si="147"/>
        <v>0</v>
      </c>
      <c r="N307" s="411">
        <f t="shared" si="148"/>
        <v>0</v>
      </c>
      <c r="O307" s="411">
        <f t="shared" si="149"/>
        <v>0</v>
      </c>
      <c r="P307" s="122">
        <f>IF(AND(W307&gt;3,Y307&gt;2),1,IF(W307&gt;5,2,0))</f>
        <v>0</v>
      </c>
      <c r="S307" s="78">
        <f t="shared" si="142"/>
        <v>0</v>
      </c>
      <c r="U307" s="411">
        <f>計分版!E$13</f>
        <v>1E-10</v>
      </c>
      <c r="V307" s="411">
        <f>計分版!F$13</f>
        <v>2.0000000000000001E-10</v>
      </c>
      <c r="W307" s="411">
        <f>計分版!G$13</f>
        <v>3E-10</v>
      </c>
      <c r="X307" s="411">
        <f>計分版!H$13</f>
        <v>4.0000000000000001E-10</v>
      </c>
      <c r="Y307" s="411">
        <f>計分版!I$13</f>
        <v>5.0000000000000003E-10</v>
      </c>
      <c r="Z307" s="411">
        <f>計分版!J$13</f>
        <v>6E-10</v>
      </c>
      <c r="AA307" s="411">
        <f>計分版!K$13</f>
        <v>6.9999999999999996E-10</v>
      </c>
      <c r="AB307" s="411">
        <f>計分版!L$13</f>
        <v>8.0000000000000003E-10</v>
      </c>
      <c r="AC307" s="411">
        <f>計分版!M$13</f>
        <v>8.9999999999999999E-10</v>
      </c>
      <c r="AD307" s="411">
        <f>計分版!N$13</f>
        <v>9.5000000000000003E-10</v>
      </c>
      <c r="AF307" s="413" t="s">
        <v>2308</v>
      </c>
      <c r="AG307" s="413" t="s">
        <v>2309</v>
      </c>
    </row>
    <row r="308" spans="1:33">
      <c r="A308" s="2" t="s">
        <v>809</v>
      </c>
      <c r="B308" s="2" t="s">
        <v>810</v>
      </c>
      <c r="C308" s="26" t="s">
        <v>189</v>
      </c>
      <c r="D308" s="78"/>
      <c r="E308" s="419">
        <v>3</v>
      </c>
      <c r="F308" s="419">
        <v>3</v>
      </c>
      <c r="G308" s="419">
        <v>2</v>
      </c>
      <c r="H308" s="419">
        <v>2</v>
      </c>
      <c r="I308" s="419">
        <v>2</v>
      </c>
      <c r="J308" s="419"/>
      <c r="L308" s="411">
        <f t="shared" si="146"/>
        <v>0</v>
      </c>
      <c r="M308" s="411">
        <f t="shared" si="147"/>
        <v>0</v>
      </c>
      <c r="N308" s="411">
        <f t="shared" si="148"/>
        <v>0</v>
      </c>
      <c r="O308" s="411">
        <f t="shared" si="149"/>
        <v>0</v>
      </c>
      <c r="P308" s="122">
        <f>IF(I308&gt;LARGE(Y308:AD308,1),0,1)</f>
        <v>0</v>
      </c>
      <c r="S308" s="78">
        <f t="shared" si="142"/>
        <v>0</v>
      </c>
      <c r="U308" s="411">
        <f>計分版!E$13</f>
        <v>1E-10</v>
      </c>
      <c r="V308" s="411">
        <f>計分版!F$13</f>
        <v>2.0000000000000001E-10</v>
      </c>
      <c r="W308" s="411">
        <f>計分版!G$13</f>
        <v>3E-10</v>
      </c>
      <c r="X308" s="411">
        <f>計分版!H$13</f>
        <v>4.0000000000000001E-10</v>
      </c>
      <c r="Y308" s="411">
        <f>計分版!I$13</f>
        <v>5.0000000000000003E-10</v>
      </c>
      <c r="Z308" s="411">
        <f>計分版!J$13</f>
        <v>6E-10</v>
      </c>
      <c r="AA308" s="411">
        <f>計分版!K$13</f>
        <v>6.9999999999999996E-10</v>
      </c>
      <c r="AB308" s="411">
        <f>計分版!L$13</f>
        <v>8.0000000000000003E-10</v>
      </c>
      <c r="AC308" s="411">
        <f>計分版!M$13</f>
        <v>8.9999999999999999E-10</v>
      </c>
      <c r="AD308" s="411">
        <f>計分版!N$13</f>
        <v>9.5000000000000003E-10</v>
      </c>
      <c r="AF308" s="413" t="s">
        <v>2308</v>
      </c>
      <c r="AG308" s="413" t="s">
        <v>2309</v>
      </c>
    </row>
    <row r="309" spans="1:33">
      <c r="A309" s="174" t="s">
        <v>1483</v>
      </c>
      <c r="B309" s="174" t="s">
        <v>1486</v>
      </c>
      <c r="C309" s="185" t="s">
        <v>189</v>
      </c>
      <c r="D309" s="252"/>
      <c r="E309" s="419">
        <v>3</v>
      </c>
      <c r="F309" s="419">
        <v>3</v>
      </c>
      <c r="G309" s="419">
        <v>2</v>
      </c>
      <c r="H309" s="419">
        <v>2</v>
      </c>
      <c r="I309" s="419">
        <v>2</v>
      </c>
      <c r="J309" s="419"/>
      <c r="K309" s="174"/>
      <c r="L309" s="411">
        <f t="shared" si="146"/>
        <v>0</v>
      </c>
      <c r="M309" s="411">
        <f t="shared" si="147"/>
        <v>0</v>
      </c>
      <c r="N309" s="411">
        <f t="shared" si="148"/>
        <v>0</v>
      </c>
      <c r="O309" s="411">
        <f t="shared" si="149"/>
        <v>0</v>
      </c>
      <c r="P309" s="252">
        <f>IF(I309&gt;LARGE(Y309:AD309,1),0,1)</f>
        <v>0</v>
      </c>
      <c r="Q309" s="174"/>
      <c r="R309" s="174"/>
      <c r="S309" s="252">
        <f t="shared" si="142"/>
        <v>0</v>
      </c>
      <c r="T309" s="102"/>
      <c r="U309" s="411">
        <f>計分版!E$13</f>
        <v>1E-10</v>
      </c>
      <c r="V309" s="411">
        <f>計分版!F$13</f>
        <v>2.0000000000000001E-10</v>
      </c>
      <c r="W309" s="411">
        <f>計分版!G$13</f>
        <v>3E-10</v>
      </c>
      <c r="X309" s="411">
        <f>計分版!H$13</f>
        <v>4.0000000000000001E-10</v>
      </c>
      <c r="Y309" s="411">
        <f>計分版!I$13</f>
        <v>5.0000000000000003E-10</v>
      </c>
      <c r="Z309" s="411">
        <f>計分版!J$13</f>
        <v>6E-10</v>
      </c>
      <c r="AA309" s="411">
        <f>計分版!K$13</f>
        <v>6.9999999999999996E-10</v>
      </c>
      <c r="AB309" s="411">
        <f>計分版!L$13</f>
        <v>8.0000000000000003E-10</v>
      </c>
      <c r="AC309" s="411">
        <f>計分版!M$13</f>
        <v>8.9999999999999999E-10</v>
      </c>
      <c r="AD309" s="411">
        <f>計分版!N$13</f>
        <v>9.5000000000000003E-10</v>
      </c>
      <c r="AF309" s="413" t="s">
        <v>2308</v>
      </c>
      <c r="AG309" s="413" t="s">
        <v>2309</v>
      </c>
    </row>
    <row r="310" spans="1:33">
      <c r="A310" s="2" t="s">
        <v>811</v>
      </c>
      <c r="B310" s="2" t="s">
        <v>812</v>
      </c>
      <c r="C310" s="26" t="s">
        <v>189</v>
      </c>
      <c r="D310" s="78"/>
      <c r="E310" s="419">
        <v>3</v>
      </c>
      <c r="F310" s="419">
        <v>3</v>
      </c>
      <c r="G310" s="419">
        <v>2</v>
      </c>
      <c r="H310" s="419">
        <v>2</v>
      </c>
      <c r="I310" s="419">
        <v>2</v>
      </c>
      <c r="J310" s="419"/>
      <c r="L310" s="411">
        <f t="shared" si="146"/>
        <v>0</v>
      </c>
      <c r="M310" s="411">
        <f t="shared" si="147"/>
        <v>0</v>
      </c>
      <c r="N310" s="411">
        <f t="shared" si="148"/>
        <v>0</v>
      </c>
      <c r="O310" s="411">
        <f t="shared" si="149"/>
        <v>0</v>
      </c>
      <c r="P310" s="122">
        <f>IF(I310&gt;LARGE(Y310:AD310,1),0,1)</f>
        <v>0</v>
      </c>
      <c r="S310" s="78">
        <f t="shared" si="142"/>
        <v>0</v>
      </c>
      <c r="T310" s="102"/>
      <c r="U310" s="411">
        <f>計分版!E$13</f>
        <v>1E-10</v>
      </c>
      <c r="V310" s="411">
        <f>計分版!F$13</f>
        <v>2.0000000000000001E-10</v>
      </c>
      <c r="W310" s="411">
        <f>計分版!G$13</f>
        <v>3E-10</v>
      </c>
      <c r="X310" s="411">
        <f>計分版!H$13</f>
        <v>4.0000000000000001E-10</v>
      </c>
      <c r="Y310" s="411">
        <f>計分版!I$13</f>
        <v>5.0000000000000003E-10</v>
      </c>
      <c r="Z310" s="411">
        <f>計分版!J$13</f>
        <v>6E-10</v>
      </c>
      <c r="AA310" s="411">
        <f>計分版!K$13</f>
        <v>6.9999999999999996E-10</v>
      </c>
      <c r="AB310" s="411">
        <f>計分版!L$13</f>
        <v>8.0000000000000003E-10</v>
      </c>
      <c r="AC310" s="411">
        <f>計分版!M$13</f>
        <v>8.9999999999999999E-10</v>
      </c>
      <c r="AD310" s="411">
        <f>計分版!N$13</f>
        <v>9.5000000000000003E-10</v>
      </c>
      <c r="AF310" s="413" t="s">
        <v>2308</v>
      </c>
      <c r="AG310" s="413" t="s">
        <v>2309</v>
      </c>
    </row>
    <row r="311" spans="1:33">
      <c r="A311" s="2" t="s">
        <v>813</v>
      </c>
      <c r="B311" s="2" t="s">
        <v>814</v>
      </c>
      <c r="C311" s="26" t="s">
        <v>189</v>
      </c>
      <c r="D311" s="78"/>
      <c r="E311" s="419">
        <v>3</v>
      </c>
      <c r="F311" s="419">
        <v>3</v>
      </c>
      <c r="G311" s="419">
        <v>2</v>
      </c>
      <c r="H311" s="419">
        <v>2</v>
      </c>
      <c r="I311" s="419">
        <v>4</v>
      </c>
      <c r="J311" s="419"/>
      <c r="L311" s="411">
        <f t="shared" si="146"/>
        <v>0</v>
      </c>
      <c r="M311" s="411">
        <f t="shared" si="147"/>
        <v>0</v>
      </c>
      <c r="N311" s="411">
        <f t="shared" si="148"/>
        <v>0</v>
      </c>
      <c r="O311" s="411">
        <f t="shared" si="149"/>
        <v>0</v>
      </c>
      <c r="P311" s="122">
        <f>IF(計分版!R27&gt;4,1,0)</f>
        <v>0</v>
      </c>
      <c r="S311" s="78">
        <f>L311*M311*N311*O311*P311</f>
        <v>0</v>
      </c>
      <c r="U311" s="411">
        <f>計分版!E$13</f>
        <v>1E-10</v>
      </c>
      <c r="V311" s="411">
        <f>計分版!F$13</f>
        <v>2.0000000000000001E-10</v>
      </c>
      <c r="W311" s="411">
        <f>計分版!G$13</f>
        <v>3E-10</v>
      </c>
      <c r="X311" s="411">
        <f>計分版!H$13</f>
        <v>4.0000000000000001E-10</v>
      </c>
      <c r="Y311" s="411">
        <f>計分版!I$13</f>
        <v>5.0000000000000003E-10</v>
      </c>
      <c r="Z311" s="411">
        <f>計分版!J$13</f>
        <v>6E-10</v>
      </c>
      <c r="AA311" s="411">
        <f>計分版!K$13</f>
        <v>6.9999999999999996E-10</v>
      </c>
      <c r="AB311" s="411">
        <f>計分版!L$13</f>
        <v>8.0000000000000003E-10</v>
      </c>
      <c r="AC311" s="411">
        <f>計分版!M$13</f>
        <v>8.9999999999999999E-10</v>
      </c>
      <c r="AD311" s="411">
        <f>計分版!N$13</f>
        <v>9.5000000000000003E-10</v>
      </c>
      <c r="AF311" s="413" t="s">
        <v>2308</v>
      </c>
      <c r="AG311" s="413" t="s">
        <v>2309</v>
      </c>
    </row>
    <row r="312" spans="1:33">
      <c r="A312" s="2" t="s">
        <v>815</v>
      </c>
      <c r="B312" s="2" t="s">
        <v>816</v>
      </c>
      <c r="C312" s="26" t="s">
        <v>189</v>
      </c>
      <c r="D312" s="78"/>
      <c r="E312" s="419">
        <v>3</v>
      </c>
      <c r="F312" s="419">
        <v>3</v>
      </c>
      <c r="G312" s="419">
        <v>2</v>
      </c>
      <c r="H312" s="419">
        <v>2</v>
      </c>
      <c r="I312" s="419">
        <v>2</v>
      </c>
      <c r="J312" s="419"/>
      <c r="L312" s="411">
        <f>IF(E312&gt;U312,0,IF(U312&lt;5,2,1))</f>
        <v>0</v>
      </c>
      <c r="M312" s="411">
        <f t="shared" si="147"/>
        <v>0</v>
      </c>
      <c r="N312" s="411">
        <f t="shared" si="148"/>
        <v>0</v>
      </c>
      <c r="O312" s="411">
        <f t="shared" si="149"/>
        <v>0</v>
      </c>
      <c r="P312" s="122">
        <f>IF(I312&gt;LARGE(Y312:AD312,1),0,1)</f>
        <v>0</v>
      </c>
      <c r="S312" s="78">
        <f t="shared" si="142"/>
        <v>0</v>
      </c>
      <c r="U312" s="411">
        <f>計分版!E$13</f>
        <v>1E-10</v>
      </c>
      <c r="V312" s="411">
        <f>計分版!F$13</f>
        <v>2.0000000000000001E-10</v>
      </c>
      <c r="W312" s="411">
        <f>計分版!G$13</f>
        <v>3E-10</v>
      </c>
      <c r="X312" s="411">
        <f>計分版!H$13</f>
        <v>4.0000000000000001E-10</v>
      </c>
      <c r="Y312" s="411">
        <f>計分版!I$13</f>
        <v>5.0000000000000003E-10</v>
      </c>
      <c r="Z312" s="411">
        <f>計分版!J$13</f>
        <v>6E-10</v>
      </c>
      <c r="AA312" s="411">
        <f>計分版!K$13</f>
        <v>6.9999999999999996E-10</v>
      </c>
      <c r="AB312" s="411">
        <f>計分版!L$13</f>
        <v>8.0000000000000003E-10</v>
      </c>
      <c r="AC312" s="411">
        <f>計分版!M$13</f>
        <v>8.9999999999999999E-10</v>
      </c>
      <c r="AD312" s="411">
        <f>計分版!N$13</f>
        <v>9.5000000000000003E-10</v>
      </c>
      <c r="AF312" s="413" t="s">
        <v>2308</v>
      </c>
      <c r="AG312" s="413" t="s">
        <v>2309</v>
      </c>
    </row>
    <row r="313" spans="1:33">
      <c r="A313" s="2" t="s">
        <v>817</v>
      </c>
      <c r="B313" s="2" t="s">
        <v>818</v>
      </c>
      <c r="C313" s="26" t="s">
        <v>189</v>
      </c>
      <c r="D313" s="78"/>
      <c r="E313" s="419">
        <v>3</v>
      </c>
      <c r="F313" s="419">
        <v>3</v>
      </c>
      <c r="G313" s="419">
        <v>2</v>
      </c>
      <c r="H313" s="419">
        <v>2</v>
      </c>
      <c r="I313" s="419">
        <v>2</v>
      </c>
      <c r="J313" s="419"/>
      <c r="L313" s="411">
        <f t="shared" ref="L313:L314" si="150">IF(E313&gt;U313,0,1)</f>
        <v>0</v>
      </c>
      <c r="M313" s="411">
        <f>IF(F313&gt;V313,0,IF(V313&lt;5,2,1))</f>
        <v>0</v>
      </c>
      <c r="N313" s="411">
        <f t="shared" si="148"/>
        <v>0</v>
      </c>
      <c r="O313" s="411">
        <f t="shared" si="149"/>
        <v>0</v>
      </c>
      <c r="P313" s="122">
        <f>IF(I313&gt;LARGE(Y313:AD313,1),0,1)</f>
        <v>0</v>
      </c>
      <c r="S313" s="78">
        <f t="shared" si="142"/>
        <v>0</v>
      </c>
      <c r="U313" s="411">
        <f>計分版!E$13</f>
        <v>1E-10</v>
      </c>
      <c r="V313" s="411">
        <f>計分版!F$13</f>
        <v>2.0000000000000001E-10</v>
      </c>
      <c r="W313" s="411">
        <f>計分版!G$13</f>
        <v>3E-10</v>
      </c>
      <c r="X313" s="411">
        <f>計分版!H$13</f>
        <v>4.0000000000000001E-10</v>
      </c>
      <c r="Y313" s="411">
        <f>計分版!I$13</f>
        <v>5.0000000000000003E-10</v>
      </c>
      <c r="Z313" s="411">
        <f>計分版!J$13</f>
        <v>6E-10</v>
      </c>
      <c r="AA313" s="411">
        <f>計分版!K$13</f>
        <v>6.9999999999999996E-10</v>
      </c>
      <c r="AB313" s="411">
        <f>計分版!L$13</f>
        <v>8.0000000000000003E-10</v>
      </c>
      <c r="AC313" s="411">
        <f>計分版!M$13</f>
        <v>8.9999999999999999E-10</v>
      </c>
      <c r="AD313" s="411">
        <f>計分版!N$13</f>
        <v>9.5000000000000003E-10</v>
      </c>
      <c r="AF313" s="413" t="s">
        <v>2308</v>
      </c>
      <c r="AG313" s="413" t="s">
        <v>2309</v>
      </c>
    </row>
    <row r="314" spans="1:33">
      <c r="A314" s="2" t="s">
        <v>819</v>
      </c>
      <c r="B314" s="2" t="s">
        <v>820</v>
      </c>
      <c r="C314" s="26" t="s">
        <v>189</v>
      </c>
      <c r="D314" s="78"/>
      <c r="E314" s="419">
        <v>3</v>
      </c>
      <c r="F314" s="419">
        <v>3</v>
      </c>
      <c r="G314" s="419">
        <v>2</v>
      </c>
      <c r="H314" s="419">
        <v>2</v>
      </c>
      <c r="I314" s="419">
        <v>2</v>
      </c>
      <c r="J314" s="419"/>
      <c r="L314" s="411">
        <f t="shared" si="150"/>
        <v>0</v>
      </c>
      <c r="M314" s="411">
        <f t="shared" ref="M314" si="151">IF(F314&gt;V314,0,1)</f>
        <v>0</v>
      </c>
      <c r="N314" s="411">
        <f t="shared" ref="N314" si="152">IF(G314&gt;W314,0,1)</f>
        <v>0</v>
      </c>
      <c r="O314" s="411">
        <f t="shared" ref="O314" si="153">IF(H314&gt;X314,0,1)</f>
        <v>0</v>
      </c>
      <c r="P314" s="122">
        <f>IF(I314&gt;LARGE(Y314:AD314,1),0,1)</f>
        <v>0</v>
      </c>
      <c r="S314" s="78">
        <f t="shared" si="142"/>
        <v>0</v>
      </c>
      <c r="U314" s="411">
        <f>計分版!E$13</f>
        <v>1E-10</v>
      </c>
      <c r="V314" s="411">
        <f>計分版!F$13</f>
        <v>2.0000000000000001E-10</v>
      </c>
      <c r="W314" s="411">
        <f>計分版!G$13</f>
        <v>3E-10</v>
      </c>
      <c r="X314" s="411">
        <f>計分版!H$13</f>
        <v>4.0000000000000001E-10</v>
      </c>
      <c r="Y314" s="411">
        <f>計分版!I$13</f>
        <v>5.0000000000000003E-10</v>
      </c>
      <c r="Z314" s="411">
        <f>計分版!J$13</f>
        <v>6E-10</v>
      </c>
      <c r="AA314" s="411">
        <f>計分版!K$13</f>
        <v>6.9999999999999996E-10</v>
      </c>
      <c r="AB314" s="411">
        <f>計分版!L$13</f>
        <v>8.0000000000000003E-10</v>
      </c>
      <c r="AC314" s="411">
        <f>計分版!M$13</f>
        <v>8.9999999999999999E-10</v>
      </c>
      <c r="AD314" s="411">
        <f>計分版!N$13</f>
        <v>9.5000000000000003E-10</v>
      </c>
      <c r="AF314" s="413" t="s">
        <v>2308</v>
      </c>
      <c r="AG314" s="413" t="s">
        <v>2309</v>
      </c>
    </row>
    <row r="315" spans="1:33">
      <c r="A315" s="2" t="s">
        <v>821</v>
      </c>
      <c r="B315" s="2" t="s">
        <v>822</v>
      </c>
      <c r="C315" s="26" t="s">
        <v>189</v>
      </c>
      <c r="D315" s="78"/>
      <c r="E315" s="419">
        <v>3</v>
      </c>
      <c r="F315" s="419">
        <v>3</v>
      </c>
      <c r="G315" s="419">
        <v>2</v>
      </c>
      <c r="H315" s="419">
        <v>2</v>
      </c>
      <c r="I315" s="419">
        <v>2</v>
      </c>
      <c r="J315" s="419"/>
      <c r="L315" s="411">
        <f t="shared" ref="L315:L322" si="154">IF(E315&gt;U315,0,1)</f>
        <v>0</v>
      </c>
      <c r="M315" s="411">
        <f t="shared" ref="M315:M320" si="155">IF(F315&gt;V315,0,1)</f>
        <v>0</v>
      </c>
      <c r="N315" s="411">
        <f t="shared" ref="N315:N320" si="156">IF(G315&gt;W315,0,1)</f>
        <v>0</v>
      </c>
      <c r="O315" s="411">
        <f t="shared" ref="O315:O320" si="157">IF(H315&gt;X315,0,1)</f>
        <v>0</v>
      </c>
      <c r="P315" s="122">
        <f>IF(I315&gt;LARGE(Y315:AD315,1),0,IF(計分版!U331&gt;4,1,2))</f>
        <v>0</v>
      </c>
      <c r="S315" s="78">
        <f t="shared" si="142"/>
        <v>0</v>
      </c>
      <c r="U315" s="411">
        <f>計分版!E$13</f>
        <v>1E-10</v>
      </c>
      <c r="V315" s="411">
        <f>計分版!F$13</f>
        <v>2.0000000000000001E-10</v>
      </c>
      <c r="W315" s="411">
        <f>計分版!G$13</f>
        <v>3E-10</v>
      </c>
      <c r="X315" s="411">
        <f>計分版!H$13</f>
        <v>4.0000000000000001E-10</v>
      </c>
      <c r="Y315" s="411">
        <f>計分版!I$13</f>
        <v>5.0000000000000003E-10</v>
      </c>
      <c r="Z315" s="411">
        <f>計分版!J$13</f>
        <v>6E-10</v>
      </c>
      <c r="AA315" s="411">
        <f>計分版!K$13</f>
        <v>6.9999999999999996E-10</v>
      </c>
      <c r="AB315" s="411">
        <f>計分版!L$13</f>
        <v>8.0000000000000003E-10</v>
      </c>
      <c r="AC315" s="411">
        <f>計分版!M$13</f>
        <v>8.9999999999999999E-10</v>
      </c>
      <c r="AD315" s="411">
        <f>計分版!N$13</f>
        <v>9.5000000000000003E-10</v>
      </c>
      <c r="AF315" s="413" t="s">
        <v>2308</v>
      </c>
      <c r="AG315" s="413" t="s">
        <v>2309</v>
      </c>
    </row>
    <row r="316" spans="1:33">
      <c r="A316" s="2" t="s">
        <v>823</v>
      </c>
      <c r="B316" s="2" t="s">
        <v>824</v>
      </c>
      <c r="C316" s="26" t="s">
        <v>189</v>
      </c>
      <c r="D316" s="78"/>
      <c r="E316" s="419">
        <v>3</v>
      </c>
      <c r="F316" s="419">
        <v>3</v>
      </c>
      <c r="G316" s="419">
        <v>2</v>
      </c>
      <c r="H316" s="419">
        <v>2</v>
      </c>
      <c r="I316" s="419">
        <v>2</v>
      </c>
      <c r="J316" s="419"/>
      <c r="L316" s="411">
        <f t="shared" si="154"/>
        <v>0</v>
      </c>
      <c r="M316" s="411">
        <f t="shared" si="155"/>
        <v>0</v>
      </c>
      <c r="N316" s="411">
        <f t="shared" si="156"/>
        <v>0</v>
      </c>
      <c r="O316" s="411">
        <f t="shared" si="157"/>
        <v>0</v>
      </c>
      <c r="P316" s="122">
        <f>IF(I316&gt;LARGE(Y316:AD316,1),0,IF(計分版!U332&gt;4,1,2))</f>
        <v>0</v>
      </c>
      <c r="S316" s="78">
        <f t="shared" si="142"/>
        <v>0</v>
      </c>
      <c r="U316" s="411">
        <f>計分版!E$13</f>
        <v>1E-10</v>
      </c>
      <c r="V316" s="411">
        <f>計分版!F$13</f>
        <v>2.0000000000000001E-10</v>
      </c>
      <c r="W316" s="411">
        <f>計分版!G$13</f>
        <v>3E-10</v>
      </c>
      <c r="X316" s="411">
        <f>計分版!H$13</f>
        <v>4.0000000000000001E-10</v>
      </c>
      <c r="Y316" s="411">
        <f>計分版!I$13</f>
        <v>5.0000000000000003E-10</v>
      </c>
      <c r="Z316" s="411">
        <f>計分版!J$13</f>
        <v>6E-10</v>
      </c>
      <c r="AA316" s="411">
        <f>計分版!K$13</f>
        <v>6.9999999999999996E-10</v>
      </c>
      <c r="AB316" s="411">
        <f>計分版!L$13</f>
        <v>8.0000000000000003E-10</v>
      </c>
      <c r="AC316" s="411">
        <f>計分版!M$13</f>
        <v>8.9999999999999999E-10</v>
      </c>
      <c r="AD316" s="411">
        <f>計分版!N$13</f>
        <v>9.5000000000000003E-10</v>
      </c>
      <c r="AF316" s="413" t="s">
        <v>2308</v>
      </c>
      <c r="AG316" s="413" t="s">
        <v>2309</v>
      </c>
    </row>
    <row r="317" spans="1:33">
      <c r="A317" s="2" t="s">
        <v>825</v>
      </c>
      <c r="B317" s="2" t="s">
        <v>826</v>
      </c>
      <c r="C317" s="26" t="s">
        <v>189</v>
      </c>
      <c r="D317" s="78"/>
      <c r="E317" s="419">
        <v>3</v>
      </c>
      <c r="F317" s="419">
        <v>3</v>
      </c>
      <c r="G317" s="419">
        <v>2</v>
      </c>
      <c r="H317" s="419">
        <v>2</v>
      </c>
      <c r="I317" s="419">
        <v>2</v>
      </c>
      <c r="J317" s="419"/>
      <c r="L317" s="411">
        <f t="shared" si="154"/>
        <v>0</v>
      </c>
      <c r="M317" s="411">
        <f t="shared" si="155"/>
        <v>0</v>
      </c>
      <c r="N317" s="411">
        <f t="shared" si="156"/>
        <v>0</v>
      </c>
      <c r="O317" s="411">
        <f t="shared" si="157"/>
        <v>0</v>
      </c>
      <c r="P317" s="122">
        <f>IF(I317&gt;LARGE(Y317:AD317,1),0,1)</f>
        <v>0</v>
      </c>
      <c r="S317" s="78">
        <f t="shared" si="142"/>
        <v>0</v>
      </c>
      <c r="U317" s="411">
        <f>計分版!E$13</f>
        <v>1E-10</v>
      </c>
      <c r="V317" s="411">
        <f>計分版!F$13</f>
        <v>2.0000000000000001E-10</v>
      </c>
      <c r="W317" s="411">
        <f>計分版!G$13</f>
        <v>3E-10</v>
      </c>
      <c r="X317" s="411">
        <f>計分版!H$13</f>
        <v>4.0000000000000001E-10</v>
      </c>
      <c r="Y317" s="411">
        <f>計分版!I$13</f>
        <v>5.0000000000000003E-10</v>
      </c>
      <c r="Z317" s="411">
        <f>計分版!J$13</f>
        <v>6E-10</v>
      </c>
      <c r="AA317" s="411">
        <f>計分版!K$13</f>
        <v>6.9999999999999996E-10</v>
      </c>
      <c r="AB317" s="411">
        <f>計分版!L$13</f>
        <v>8.0000000000000003E-10</v>
      </c>
      <c r="AC317" s="411">
        <f>計分版!M$13</f>
        <v>8.9999999999999999E-10</v>
      </c>
      <c r="AD317" s="411">
        <f>計分版!N$13</f>
        <v>9.5000000000000003E-10</v>
      </c>
      <c r="AF317" s="413" t="s">
        <v>2308</v>
      </c>
      <c r="AG317" s="413" t="s">
        <v>2309</v>
      </c>
    </row>
    <row r="318" spans="1:33">
      <c r="A318" s="2" t="s">
        <v>827</v>
      </c>
      <c r="B318" s="2" t="s">
        <v>828</v>
      </c>
      <c r="C318" s="26" t="s">
        <v>189</v>
      </c>
      <c r="D318" s="78"/>
      <c r="E318" s="419">
        <v>3</v>
      </c>
      <c r="F318" s="419">
        <v>3</v>
      </c>
      <c r="G318" s="419">
        <v>2</v>
      </c>
      <c r="H318" s="419">
        <v>2</v>
      </c>
      <c r="I318" s="419">
        <v>2</v>
      </c>
      <c r="J318" s="419"/>
      <c r="L318" s="411">
        <f t="shared" si="154"/>
        <v>0</v>
      </c>
      <c r="M318" s="411">
        <f t="shared" si="155"/>
        <v>0</v>
      </c>
      <c r="N318" s="411">
        <f t="shared" si="156"/>
        <v>0</v>
      </c>
      <c r="O318" s="411">
        <f t="shared" si="157"/>
        <v>0</v>
      </c>
      <c r="P318" s="122">
        <f>IF(I318&gt;LARGE(Y318:AD318,1),0,1)</f>
        <v>0</v>
      </c>
      <c r="S318" s="78">
        <f t="shared" si="142"/>
        <v>0</v>
      </c>
      <c r="U318" s="411">
        <f>計分版!E$13</f>
        <v>1E-10</v>
      </c>
      <c r="V318" s="411">
        <f>計分版!F$13</f>
        <v>2.0000000000000001E-10</v>
      </c>
      <c r="W318" s="411">
        <f>計分版!G$13</f>
        <v>3E-10</v>
      </c>
      <c r="X318" s="411">
        <f>計分版!H$13</f>
        <v>4.0000000000000001E-10</v>
      </c>
      <c r="Y318" s="411">
        <f>計分版!I$13</f>
        <v>5.0000000000000003E-10</v>
      </c>
      <c r="Z318" s="411">
        <f>計分版!J$13</f>
        <v>6E-10</v>
      </c>
      <c r="AA318" s="411">
        <f>計分版!K$13</f>
        <v>6.9999999999999996E-10</v>
      </c>
      <c r="AB318" s="411">
        <f>計分版!L$13</f>
        <v>8.0000000000000003E-10</v>
      </c>
      <c r="AC318" s="411">
        <f>計分版!M$13</f>
        <v>8.9999999999999999E-10</v>
      </c>
      <c r="AD318" s="411">
        <f>計分版!N$13</f>
        <v>9.5000000000000003E-10</v>
      </c>
      <c r="AF318" s="413" t="s">
        <v>2308</v>
      </c>
      <c r="AG318" s="413" t="s">
        <v>2309</v>
      </c>
    </row>
    <row r="319" spans="1:33">
      <c r="A319" s="2" t="s">
        <v>829</v>
      </c>
      <c r="B319" s="2" t="s">
        <v>830</v>
      </c>
      <c r="C319" s="26" t="s">
        <v>189</v>
      </c>
      <c r="D319" s="78"/>
      <c r="E319" s="419">
        <v>3</v>
      </c>
      <c r="F319" s="419">
        <v>3</v>
      </c>
      <c r="G319" s="419">
        <v>2</v>
      </c>
      <c r="H319" s="419">
        <v>2</v>
      </c>
      <c r="I319" s="419">
        <v>2</v>
      </c>
      <c r="J319" s="419"/>
      <c r="L319" s="411">
        <f t="shared" si="154"/>
        <v>0</v>
      </c>
      <c r="M319" s="411">
        <f t="shared" si="155"/>
        <v>0</v>
      </c>
      <c r="N319" s="411">
        <f t="shared" si="156"/>
        <v>0</v>
      </c>
      <c r="O319" s="411">
        <f t="shared" si="157"/>
        <v>0</v>
      </c>
      <c r="P319" s="122">
        <f>IF(I319&gt;LARGE(Y319:AD319,1),0,IF(計分版!U331&gt;4,1,2))</f>
        <v>0</v>
      </c>
      <c r="S319" s="78">
        <f t="shared" si="142"/>
        <v>0</v>
      </c>
      <c r="U319" s="411">
        <f>計分版!E$13</f>
        <v>1E-10</v>
      </c>
      <c r="V319" s="411">
        <f>計分版!F$13</f>
        <v>2.0000000000000001E-10</v>
      </c>
      <c r="W319" s="411">
        <f>計分版!G$13</f>
        <v>3E-10</v>
      </c>
      <c r="X319" s="411">
        <f>計分版!H$13</f>
        <v>4.0000000000000001E-10</v>
      </c>
      <c r="Y319" s="411">
        <f>計分版!I$13</f>
        <v>5.0000000000000003E-10</v>
      </c>
      <c r="Z319" s="411">
        <f>計分版!J$13</f>
        <v>6E-10</v>
      </c>
      <c r="AA319" s="411">
        <f>計分版!K$13</f>
        <v>6.9999999999999996E-10</v>
      </c>
      <c r="AB319" s="411">
        <f>計分版!L$13</f>
        <v>8.0000000000000003E-10</v>
      </c>
      <c r="AC319" s="411">
        <f>計分版!M$13</f>
        <v>8.9999999999999999E-10</v>
      </c>
      <c r="AD319" s="411">
        <f>計分版!N$13</f>
        <v>9.5000000000000003E-10</v>
      </c>
      <c r="AF319" s="413" t="s">
        <v>2308</v>
      </c>
      <c r="AG319" s="413" t="s">
        <v>2309</v>
      </c>
    </row>
    <row r="320" spans="1:33">
      <c r="A320" s="2" t="s">
        <v>831</v>
      </c>
      <c r="B320" s="2" t="s">
        <v>832</v>
      </c>
      <c r="C320" s="26" t="s">
        <v>189</v>
      </c>
      <c r="D320" s="78"/>
      <c r="E320" s="419">
        <v>3</v>
      </c>
      <c r="F320" s="419">
        <v>3</v>
      </c>
      <c r="G320" s="419">
        <v>2</v>
      </c>
      <c r="H320" s="419">
        <v>2</v>
      </c>
      <c r="I320" s="419">
        <v>2</v>
      </c>
      <c r="J320" s="419"/>
      <c r="L320" s="411">
        <f t="shared" si="154"/>
        <v>0</v>
      </c>
      <c r="M320" s="411">
        <f t="shared" si="155"/>
        <v>0</v>
      </c>
      <c r="N320" s="411">
        <f t="shared" si="156"/>
        <v>0</v>
      </c>
      <c r="O320" s="411">
        <f t="shared" si="157"/>
        <v>0</v>
      </c>
      <c r="P320" s="122">
        <f>IF(I320&gt;LARGE(Y320:AD320,1),0,IF(計分版!U332&gt;4,1,2))</f>
        <v>0</v>
      </c>
      <c r="S320" s="78">
        <f t="shared" si="142"/>
        <v>0</v>
      </c>
      <c r="U320" s="411">
        <f>計分版!E$13</f>
        <v>1E-10</v>
      </c>
      <c r="V320" s="411">
        <f>計分版!F$13</f>
        <v>2.0000000000000001E-10</v>
      </c>
      <c r="W320" s="411">
        <f>計分版!G$13</f>
        <v>3E-10</v>
      </c>
      <c r="X320" s="411">
        <f>計分版!H$13</f>
        <v>4.0000000000000001E-10</v>
      </c>
      <c r="Y320" s="411">
        <f>計分版!I$13</f>
        <v>5.0000000000000003E-10</v>
      </c>
      <c r="Z320" s="411">
        <f>計分版!J$13</f>
        <v>6E-10</v>
      </c>
      <c r="AA320" s="411">
        <f>計分版!K$13</f>
        <v>6.9999999999999996E-10</v>
      </c>
      <c r="AB320" s="411">
        <f>計分版!L$13</f>
        <v>8.0000000000000003E-10</v>
      </c>
      <c r="AC320" s="411">
        <f>計分版!M$13</f>
        <v>8.9999999999999999E-10</v>
      </c>
      <c r="AD320" s="411">
        <f>計分版!N$13</f>
        <v>9.5000000000000003E-10</v>
      </c>
      <c r="AF320" s="413" t="s">
        <v>2308</v>
      </c>
      <c r="AG320" s="413" t="s">
        <v>2309</v>
      </c>
    </row>
    <row r="321" spans="1:39">
      <c r="A321" s="2" t="s">
        <v>833</v>
      </c>
      <c r="B321" s="2" t="s">
        <v>834</v>
      </c>
      <c r="C321" s="26" t="s">
        <v>189</v>
      </c>
      <c r="D321" s="78"/>
      <c r="E321" s="419">
        <v>3</v>
      </c>
      <c r="F321" s="419">
        <v>3</v>
      </c>
      <c r="G321" s="419">
        <v>2</v>
      </c>
      <c r="H321" s="419">
        <v>2</v>
      </c>
      <c r="I321" s="419">
        <v>2</v>
      </c>
      <c r="J321" s="419"/>
      <c r="L321" s="411">
        <f t="shared" si="154"/>
        <v>0</v>
      </c>
      <c r="M321" s="122">
        <f>IF(F321&gt;V321,0,IF(V321&lt;6,2,1))</f>
        <v>0</v>
      </c>
      <c r="N321" s="411">
        <f t="shared" si="143"/>
        <v>0</v>
      </c>
      <c r="O321" s="411">
        <f t="shared" si="144"/>
        <v>0</v>
      </c>
      <c r="P321" s="122">
        <f>IF(I321&gt;LARGE(Y321:AD321,1),0,1)</f>
        <v>0</v>
      </c>
      <c r="S321" s="78">
        <f t="shared" si="142"/>
        <v>0</v>
      </c>
      <c r="U321" s="411">
        <f>計分版!E$13</f>
        <v>1E-10</v>
      </c>
      <c r="V321" s="411">
        <f>計分版!F$13</f>
        <v>2.0000000000000001E-10</v>
      </c>
      <c r="W321" s="411">
        <f>計分版!G$13</f>
        <v>3E-10</v>
      </c>
      <c r="X321" s="411">
        <f>計分版!H$13</f>
        <v>4.0000000000000001E-10</v>
      </c>
      <c r="Y321" s="411">
        <f>計分版!I$13</f>
        <v>5.0000000000000003E-10</v>
      </c>
      <c r="Z321" s="411">
        <f>計分版!J$13</f>
        <v>6E-10</v>
      </c>
      <c r="AA321" s="411">
        <f>計分版!K$13</f>
        <v>6.9999999999999996E-10</v>
      </c>
      <c r="AB321" s="411">
        <f>計分版!L$13</f>
        <v>8.0000000000000003E-10</v>
      </c>
      <c r="AC321" s="411">
        <f>計分版!M$13</f>
        <v>8.9999999999999999E-10</v>
      </c>
      <c r="AD321" s="411">
        <f>計分版!N$13</f>
        <v>9.5000000000000003E-10</v>
      </c>
      <c r="AF321" s="413" t="s">
        <v>2308</v>
      </c>
      <c r="AG321" s="413" t="s">
        <v>2309</v>
      </c>
    </row>
    <row r="322" spans="1:39">
      <c r="A322" s="2" t="s">
        <v>835</v>
      </c>
      <c r="B322" s="2" t="s">
        <v>836</v>
      </c>
      <c r="C322" s="26" t="s">
        <v>189</v>
      </c>
      <c r="D322" s="78"/>
      <c r="E322" s="419">
        <v>2</v>
      </c>
      <c r="F322" s="419">
        <v>2</v>
      </c>
      <c r="G322" s="419">
        <v>2</v>
      </c>
      <c r="H322" s="419">
        <v>2</v>
      </c>
      <c r="I322" s="419">
        <v>2</v>
      </c>
      <c r="J322" s="419"/>
      <c r="L322" s="411">
        <f t="shared" si="154"/>
        <v>0</v>
      </c>
      <c r="M322" s="411">
        <f t="shared" ref="M322" si="158">IF(F322&gt;V322,0,1)</f>
        <v>0</v>
      </c>
      <c r="N322" s="411">
        <f t="shared" si="143"/>
        <v>0</v>
      </c>
      <c r="O322" s="411">
        <f t="shared" si="144"/>
        <v>0</v>
      </c>
      <c r="P322" s="122">
        <f>IF(I322&gt;LARGE(Y322:AD322,1),0,1)</f>
        <v>0</v>
      </c>
      <c r="S322" s="78">
        <f t="shared" si="142"/>
        <v>0</v>
      </c>
      <c r="U322" s="411">
        <f>計分版!E$13</f>
        <v>1E-10</v>
      </c>
      <c r="V322" s="411">
        <f>計分版!F$13</f>
        <v>2.0000000000000001E-10</v>
      </c>
      <c r="W322" s="411">
        <f>計分版!G$13</f>
        <v>3E-10</v>
      </c>
      <c r="X322" s="411">
        <f>計分版!H$13</f>
        <v>4.0000000000000001E-10</v>
      </c>
      <c r="Y322" s="411">
        <f>計分版!I$13</f>
        <v>5.0000000000000003E-10</v>
      </c>
      <c r="Z322" s="411">
        <f>計分版!J$13</f>
        <v>6E-10</v>
      </c>
      <c r="AA322" s="411">
        <f>計分版!K$13</f>
        <v>6.9999999999999996E-10</v>
      </c>
      <c r="AB322" s="411">
        <f>計分版!L$13</f>
        <v>8.0000000000000003E-10</v>
      </c>
      <c r="AC322" s="411">
        <f>計分版!M$13</f>
        <v>8.9999999999999999E-10</v>
      </c>
      <c r="AD322" s="411">
        <f>計分版!N$13</f>
        <v>9.5000000000000003E-10</v>
      </c>
      <c r="AF322" s="413" t="s">
        <v>2308</v>
      </c>
      <c r="AG322" s="413" t="s">
        <v>2309</v>
      </c>
    </row>
    <row r="323" spans="1:39">
      <c r="E323" s="419"/>
      <c r="F323" s="419"/>
      <c r="G323" s="419"/>
      <c r="H323" s="419"/>
      <c r="I323" s="419"/>
      <c r="J323" s="419"/>
    </row>
    <row r="324" spans="1:39">
      <c r="A324" s="15" t="s">
        <v>1161</v>
      </c>
      <c r="E324" s="419"/>
      <c r="F324" s="419"/>
      <c r="G324" s="419"/>
      <c r="H324" s="419"/>
      <c r="I324" s="419"/>
      <c r="J324" s="419"/>
    </row>
    <row r="325" spans="1:39" s="174" customFormat="1">
      <c r="A325" s="12" t="s">
        <v>203</v>
      </c>
      <c r="B325" s="12" t="s">
        <v>367</v>
      </c>
      <c r="C325" s="12" t="s">
        <v>204</v>
      </c>
      <c r="D325" s="257" t="s">
        <v>361</v>
      </c>
      <c r="E325" s="422" t="s">
        <v>369</v>
      </c>
      <c r="F325" s="422" t="s">
        <v>370</v>
      </c>
      <c r="G325" s="422" t="s">
        <v>371</v>
      </c>
      <c r="H325" s="422" t="s">
        <v>372</v>
      </c>
      <c r="I325" s="422" t="s">
        <v>373</v>
      </c>
      <c r="J325" s="422"/>
      <c r="K325" s="258"/>
      <c r="L325" s="257" t="s">
        <v>369</v>
      </c>
      <c r="M325" s="257" t="s">
        <v>370</v>
      </c>
      <c r="N325" s="257" t="s">
        <v>371</v>
      </c>
      <c r="O325" s="257" t="s">
        <v>372</v>
      </c>
      <c r="P325" s="257" t="s">
        <v>373</v>
      </c>
      <c r="S325" s="258"/>
      <c r="T325" s="258"/>
      <c r="U325" s="415" t="s">
        <v>2</v>
      </c>
      <c r="V325" s="415" t="s">
        <v>1</v>
      </c>
      <c r="W325" s="415" t="s">
        <v>3</v>
      </c>
      <c r="X325" s="415" t="s">
        <v>4</v>
      </c>
      <c r="Y325" s="415" t="s">
        <v>63</v>
      </c>
      <c r="Z325" s="415" t="str">
        <f>主頁!$B$15</f>
        <v>請選擇第一選修科</v>
      </c>
      <c r="AA325" s="415" t="str">
        <f>主頁!$B$16</f>
        <v>請選擇第二選修科</v>
      </c>
      <c r="AB325" s="415" t="str">
        <f>主頁!$B$17</f>
        <v>請選擇第三選修科</v>
      </c>
      <c r="AC325" s="415" t="str">
        <f>主頁!$B$18</f>
        <v>請選擇第四選修科</v>
      </c>
      <c r="AD325" s="416" t="str">
        <f>主頁!$B$19</f>
        <v>請選擇語言科目</v>
      </c>
      <c r="AE325" s="417" t="s">
        <v>360</v>
      </c>
      <c r="AF325" s="413" t="s">
        <v>2305</v>
      </c>
      <c r="AG325" s="413" t="s">
        <v>2306</v>
      </c>
      <c r="AH325" s="413" t="s">
        <v>2307</v>
      </c>
      <c r="AI325" s="413"/>
      <c r="AJ325" s="413"/>
      <c r="AK325" s="413"/>
      <c r="AL325" s="413"/>
      <c r="AM325" s="413"/>
    </row>
    <row r="326" spans="1:39">
      <c r="A326" s="2" t="s">
        <v>1054</v>
      </c>
      <c r="B326" s="2" t="s">
        <v>826</v>
      </c>
      <c r="C326" s="2" t="s">
        <v>1155</v>
      </c>
      <c r="E326" s="419">
        <v>3</v>
      </c>
      <c r="F326" s="419">
        <v>3</v>
      </c>
      <c r="G326" s="419">
        <v>2</v>
      </c>
      <c r="H326" s="419">
        <v>2</v>
      </c>
      <c r="I326" s="419">
        <v>2</v>
      </c>
      <c r="J326" s="419"/>
      <c r="L326" s="411">
        <f t="shared" ref="L326" si="159">IF(E326&gt;U326,0,1)</f>
        <v>0</v>
      </c>
      <c r="M326" s="411">
        <f t="shared" ref="M326" si="160">IF(F326&gt;V326,0,1)</f>
        <v>0</v>
      </c>
      <c r="N326" s="411">
        <f t="shared" ref="N326" si="161">IF(G326&gt;W326,0,1)</f>
        <v>0</v>
      </c>
      <c r="O326" s="411">
        <f t="shared" ref="O326" si="162">IF(H326&gt;X326,0,1)</f>
        <v>0</v>
      </c>
      <c r="P326" s="78">
        <f>IF(I326&gt;LARGE(Y326:AD326,1),0,1)</f>
        <v>0</v>
      </c>
      <c r="S326" s="78">
        <f>L326*M326*N326*O326*P326</f>
        <v>0</v>
      </c>
      <c r="U326" s="411">
        <f>計分版!E$13</f>
        <v>1E-10</v>
      </c>
      <c r="V326" s="411">
        <f>計分版!F$13</f>
        <v>2.0000000000000001E-10</v>
      </c>
      <c r="W326" s="411">
        <f>計分版!G$13</f>
        <v>3E-10</v>
      </c>
      <c r="X326" s="411">
        <f>計分版!H$13</f>
        <v>4.0000000000000001E-10</v>
      </c>
      <c r="Y326" s="411">
        <f>計分版!I$13</f>
        <v>5.0000000000000003E-10</v>
      </c>
      <c r="Z326" s="411">
        <f>計分版!J$13</f>
        <v>6E-10</v>
      </c>
      <c r="AA326" s="411">
        <f>計分版!K$13</f>
        <v>6.9999999999999996E-10</v>
      </c>
      <c r="AB326" s="411">
        <f>計分版!L$13</f>
        <v>8.0000000000000003E-10</v>
      </c>
      <c r="AC326" s="411">
        <f>計分版!M$13</f>
        <v>8.9999999999999999E-10</v>
      </c>
      <c r="AD326" s="411">
        <f>計分版!N$13</f>
        <v>9.5000000000000003E-10</v>
      </c>
      <c r="AF326" s="413" t="s">
        <v>2308</v>
      </c>
      <c r="AG326" s="413" t="s">
        <v>2309</v>
      </c>
      <c r="AH326" s="413" t="s">
        <v>2308</v>
      </c>
    </row>
    <row r="327" spans="1:39">
      <c r="A327" s="2" t="s">
        <v>1056</v>
      </c>
      <c r="B327" s="2" t="s">
        <v>1057</v>
      </c>
      <c r="C327" s="2" t="s">
        <v>1155</v>
      </c>
      <c r="E327" s="419">
        <v>3</v>
      </c>
      <c r="F327" s="419">
        <v>3</v>
      </c>
      <c r="G327" s="419">
        <v>2</v>
      </c>
      <c r="H327" s="419">
        <v>2</v>
      </c>
      <c r="I327" s="419">
        <v>2</v>
      </c>
      <c r="J327" s="419"/>
      <c r="L327" s="411">
        <f t="shared" ref="L327:L360" si="163">IF(E327&gt;U327,0,1)</f>
        <v>0</v>
      </c>
      <c r="M327" s="411">
        <f t="shared" ref="M327:M360" si="164">IF(F327&gt;V327,0,1)</f>
        <v>0</v>
      </c>
      <c r="N327" s="411">
        <f t="shared" ref="N327:N360" si="165">IF(G327&gt;W327,0,1)</f>
        <v>0</v>
      </c>
      <c r="O327" s="411">
        <f t="shared" ref="O327:O360" si="166">IF(H327&gt;X327,0,1)</f>
        <v>0</v>
      </c>
      <c r="P327" s="413">
        <f t="shared" ref="P327:P356" si="167">IF(I327&gt;LARGE(Y327:AD327,1),0,1)</f>
        <v>0</v>
      </c>
      <c r="S327" s="78">
        <f t="shared" ref="S327:S360" si="168">L327*M327*N327*O327*P327</f>
        <v>0</v>
      </c>
      <c r="U327" s="411">
        <f>計分版!E$13</f>
        <v>1E-10</v>
      </c>
      <c r="V327" s="411">
        <f>計分版!F$13</f>
        <v>2.0000000000000001E-10</v>
      </c>
      <c r="W327" s="411">
        <f>計分版!G$13</f>
        <v>3E-10</v>
      </c>
      <c r="X327" s="411">
        <f>計分版!H$13</f>
        <v>4.0000000000000001E-10</v>
      </c>
      <c r="Y327" s="411">
        <f>計分版!I$13</f>
        <v>5.0000000000000003E-10</v>
      </c>
      <c r="Z327" s="411">
        <f>計分版!J$13</f>
        <v>6E-10</v>
      </c>
      <c r="AA327" s="411">
        <f>計分版!K$13</f>
        <v>6.9999999999999996E-10</v>
      </c>
      <c r="AB327" s="411">
        <f>計分版!L$13</f>
        <v>8.0000000000000003E-10</v>
      </c>
      <c r="AC327" s="411">
        <f>計分版!M$13</f>
        <v>8.9999999999999999E-10</v>
      </c>
      <c r="AD327" s="411">
        <f>計分版!N$13</f>
        <v>9.5000000000000003E-10</v>
      </c>
      <c r="AF327" s="413" t="s">
        <v>2308</v>
      </c>
      <c r="AG327" s="413" t="s">
        <v>2309</v>
      </c>
      <c r="AH327" s="413" t="s">
        <v>2308</v>
      </c>
    </row>
    <row r="328" spans="1:39">
      <c r="A328" s="2" t="s">
        <v>1059</v>
      </c>
      <c r="B328" s="2" t="s">
        <v>1060</v>
      </c>
      <c r="C328" s="2" t="s">
        <v>1155</v>
      </c>
      <c r="E328" s="419">
        <v>3</v>
      </c>
      <c r="F328" s="419">
        <v>3</v>
      </c>
      <c r="G328" s="419">
        <v>2</v>
      </c>
      <c r="H328" s="419">
        <v>2</v>
      </c>
      <c r="I328" s="419">
        <v>2</v>
      </c>
      <c r="J328" s="419"/>
      <c r="L328" s="411">
        <f t="shared" si="163"/>
        <v>0</v>
      </c>
      <c r="M328" s="411">
        <f t="shared" si="164"/>
        <v>0</v>
      </c>
      <c r="N328" s="411">
        <f t="shared" si="165"/>
        <v>0</v>
      </c>
      <c r="O328" s="411">
        <f t="shared" si="166"/>
        <v>0</v>
      </c>
      <c r="P328" s="413">
        <f t="shared" si="167"/>
        <v>0</v>
      </c>
      <c r="S328" s="78">
        <f t="shared" si="168"/>
        <v>0</v>
      </c>
      <c r="U328" s="411">
        <f>計分版!E$13</f>
        <v>1E-10</v>
      </c>
      <c r="V328" s="411">
        <f>計分版!F$13</f>
        <v>2.0000000000000001E-10</v>
      </c>
      <c r="W328" s="411">
        <f>計分版!G$13</f>
        <v>3E-10</v>
      </c>
      <c r="X328" s="411">
        <f>計分版!H$13</f>
        <v>4.0000000000000001E-10</v>
      </c>
      <c r="Y328" s="411">
        <f>計分版!I$13</f>
        <v>5.0000000000000003E-10</v>
      </c>
      <c r="Z328" s="411">
        <f>計分版!J$13</f>
        <v>6E-10</v>
      </c>
      <c r="AA328" s="411">
        <f>計分版!K$13</f>
        <v>6.9999999999999996E-10</v>
      </c>
      <c r="AB328" s="411">
        <f>計分版!L$13</f>
        <v>8.0000000000000003E-10</v>
      </c>
      <c r="AC328" s="411">
        <f>計分版!M$13</f>
        <v>8.9999999999999999E-10</v>
      </c>
      <c r="AD328" s="411">
        <f>計分版!N$13</f>
        <v>9.5000000000000003E-10</v>
      </c>
      <c r="AF328" s="413" t="s">
        <v>2308</v>
      </c>
      <c r="AG328" s="413" t="s">
        <v>2309</v>
      </c>
      <c r="AH328" s="413" t="s">
        <v>2308</v>
      </c>
    </row>
    <row r="329" spans="1:39">
      <c r="A329" s="2" t="s">
        <v>1062</v>
      </c>
      <c r="B329" s="2" t="s">
        <v>1063</v>
      </c>
      <c r="C329" s="2" t="s">
        <v>1155</v>
      </c>
      <c r="E329" s="419">
        <v>3</v>
      </c>
      <c r="F329" s="419">
        <v>3</v>
      </c>
      <c r="G329" s="419">
        <v>2</v>
      </c>
      <c r="H329" s="419">
        <v>2</v>
      </c>
      <c r="I329" s="419">
        <v>2</v>
      </c>
      <c r="J329" s="419"/>
      <c r="L329" s="411">
        <f t="shared" si="163"/>
        <v>0</v>
      </c>
      <c r="M329" s="411">
        <f t="shared" si="164"/>
        <v>0</v>
      </c>
      <c r="N329" s="411">
        <f t="shared" si="165"/>
        <v>0</v>
      </c>
      <c r="O329" s="411">
        <f t="shared" si="166"/>
        <v>0</v>
      </c>
      <c r="P329" s="413">
        <f t="shared" si="167"/>
        <v>0</v>
      </c>
      <c r="S329" s="78">
        <f t="shared" si="168"/>
        <v>0</v>
      </c>
      <c r="U329" s="411">
        <f>計分版!E$13</f>
        <v>1E-10</v>
      </c>
      <c r="V329" s="411">
        <f>計分版!F$13</f>
        <v>2.0000000000000001E-10</v>
      </c>
      <c r="W329" s="411">
        <f>計分版!G$13</f>
        <v>3E-10</v>
      </c>
      <c r="X329" s="411">
        <f>計分版!H$13</f>
        <v>4.0000000000000001E-10</v>
      </c>
      <c r="Y329" s="411">
        <f>計分版!I$13</f>
        <v>5.0000000000000003E-10</v>
      </c>
      <c r="Z329" s="411">
        <f>計分版!J$13</f>
        <v>6E-10</v>
      </c>
      <c r="AA329" s="411">
        <f>計分版!K$13</f>
        <v>6.9999999999999996E-10</v>
      </c>
      <c r="AB329" s="411">
        <f>計分版!L$13</f>
        <v>8.0000000000000003E-10</v>
      </c>
      <c r="AC329" s="411">
        <f>計分版!M$13</f>
        <v>8.9999999999999999E-10</v>
      </c>
      <c r="AD329" s="411">
        <f>計分版!N$13</f>
        <v>9.5000000000000003E-10</v>
      </c>
      <c r="AF329" s="413" t="s">
        <v>2308</v>
      </c>
      <c r="AG329" s="413" t="s">
        <v>2309</v>
      </c>
      <c r="AH329" s="413" t="s">
        <v>2308</v>
      </c>
    </row>
    <row r="330" spans="1:39">
      <c r="A330" s="2" t="s">
        <v>1065</v>
      </c>
      <c r="B330" s="2" t="s">
        <v>1066</v>
      </c>
      <c r="C330" s="2" t="s">
        <v>1155</v>
      </c>
      <c r="E330" s="419">
        <v>3</v>
      </c>
      <c r="F330" s="419">
        <v>3</v>
      </c>
      <c r="G330" s="419">
        <v>2</v>
      </c>
      <c r="H330" s="419">
        <v>2</v>
      </c>
      <c r="I330" s="419">
        <v>2</v>
      </c>
      <c r="J330" s="419"/>
      <c r="L330" s="411">
        <f t="shared" si="163"/>
        <v>0</v>
      </c>
      <c r="M330" s="411">
        <f t="shared" si="164"/>
        <v>0</v>
      </c>
      <c r="N330" s="411">
        <f t="shared" si="165"/>
        <v>0</v>
      </c>
      <c r="O330" s="411">
        <f t="shared" si="166"/>
        <v>0</v>
      </c>
      <c r="P330" s="413">
        <f t="shared" si="167"/>
        <v>0</v>
      </c>
      <c r="S330" s="78">
        <f t="shared" si="168"/>
        <v>0</v>
      </c>
      <c r="U330" s="411">
        <f>計分版!E$13</f>
        <v>1E-10</v>
      </c>
      <c r="V330" s="411">
        <f>計分版!F$13</f>
        <v>2.0000000000000001E-10</v>
      </c>
      <c r="W330" s="411">
        <f>計分版!G$13</f>
        <v>3E-10</v>
      </c>
      <c r="X330" s="411">
        <f>計分版!H$13</f>
        <v>4.0000000000000001E-10</v>
      </c>
      <c r="Y330" s="411">
        <f>計分版!I$13</f>
        <v>5.0000000000000003E-10</v>
      </c>
      <c r="Z330" s="411">
        <f>計分版!J$13</f>
        <v>6E-10</v>
      </c>
      <c r="AA330" s="411">
        <f>計分版!K$13</f>
        <v>6.9999999999999996E-10</v>
      </c>
      <c r="AB330" s="411">
        <f>計分版!L$13</f>
        <v>8.0000000000000003E-10</v>
      </c>
      <c r="AC330" s="411">
        <f>計分版!M$13</f>
        <v>8.9999999999999999E-10</v>
      </c>
      <c r="AD330" s="411">
        <f>計分版!N$13</f>
        <v>9.5000000000000003E-10</v>
      </c>
      <c r="AF330" s="413" t="s">
        <v>2308</v>
      </c>
      <c r="AG330" s="413" t="s">
        <v>2309</v>
      </c>
      <c r="AH330" s="413" t="s">
        <v>2308</v>
      </c>
    </row>
    <row r="331" spans="1:39">
      <c r="A331" s="2" t="s">
        <v>1068</v>
      </c>
      <c r="B331" s="2" t="s">
        <v>1069</v>
      </c>
      <c r="C331" s="2" t="s">
        <v>1155</v>
      </c>
      <c r="E331" s="419">
        <v>3</v>
      </c>
      <c r="F331" s="419">
        <v>3</v>
      </c>
      <c r="G331" s="419">
        <v>2</v>
      </c>
      <c r="H331" s="419">
        <v>2</v>
      </c>
      <c r="I331" s="419">
        <v>2</v>
      </c>
      <c r="J331" s="419"/>
      <c r="L331" s="411">
        <f t="shared" si="163"/>
        <v>0</v>
      </c>
      <c r="M331" s="411">
        <f t="shared" si="164"/>
        <v>0</v>
      </c>
      <c r="N331" s="411">
        <f t="shared" si="165"/>
        <v>0</v>
      </c>
      <c r="O331" s="411">
        <f t="shared" si="166"/>
        <v>0</v>
      </c>
      <c r="P331" s="413">
        <f t="shared" si="167"/>
        <v>0</v>
      </c>
      <c r="S331" s="78">
        <f t="shared" si="168"/>
        <v>0</v>
      </c>
      <c r="U331" s="411">
        <f>計分版!E$13</f>
        <v>1E-10</v>
      </c>
      <c r="V331" s="411">
        <f>計分版!F$13</f>
        <v>2.0000000000000001E-10</v>
      </c>
      <c r="W331" s="411">
        <f>計分版!G$13</f>
        <v>3E-10</v>
      </c>
      <c r="X331" s="411">
        <f>計分版!H$13</f>
        <v>4.0000000000000001E-10</v>
      </c>
      <c r="Y331" s="411">
        <f>計分版!I$13</f>
        <v>5.0000000000000003E-10</v>
      </c>
      <c r="Z331" s="411">
        <f>計分版!J$13</f>
        <v>6E-10</v>
      </c>
      <c r="AA331" s="411">
        <f>計分版!K$13</f>
        <v>6.9999999999999996E-10</v>
      </c>
      <c r="AB331" s="411">
        <f>計分版!L$13</f>
        <v>8.0000000000000003E-10</v>
      </c>
      <c r="AC331" s="411">
        <f>計分版!M$13</f>
        <v>8.9999999999999999E-10</v>
      </c>
      <c r="AD331" s="411">
        <f>計分版!N$13</f>
        <v>9.5000000000000003E-10</v>
      </c>
      <c r="AF331" s="413" t="s">
        <v>2308</v>
      </c>
      <c r="AG331" s="413" t="s">
        <v>2309</v>
      </c>
      <c r="AH331" s="413" t="s">
        <v>2308</v>
      </c>
    </row>
    <row r="332" spans="1:39">
      <c r="A332" s="2" t="s">
        <v>1071</v>
      </c>
      <c r="B332" s="2" t="s">
        <v>1072</v>
      </c>
      <c r="C332" s="2" t="s">
        <v>1155</v>
      </c>
      <c r="E332" s="419">
        <v>3</v>
      </c>
      <c r="F332" s="419">
        <v>3</v>
      </c>
      <c r="G332" s="419">
        <v>2</v>
      </c>
      <c r="H332" s="419">
        <v>2</v>
      </c>
      <c r="I332" s="419">
        <v>2</v>
      </c>
      <c r="J332" s="419"/>
      <c r="L332" s="411">
        <f t="shared" si="163"/>
        <v>0</v>
      </c>
      <c r="M332" s="411">
        <f t="shared" si="164"/>
        <v>0</v>
      </c>
      <c r="N332" s="411">
        <f t="shared" si="165"/>
        <v>0</v>
      </c>
      <c r="O332" s="411">
        <f t="shared" si="166"/>
        <v>0</v>
      </c>
      <c r="P332" s="413">
        <f t="shared" si="167"/>
        <v>0</v>
      </c>
      <c r="S332" s="78">
        <f t="shared" si="168"/>
        <v>0</v>
      </c>
      <c r="U332" s="411">
        <f>計分版!E$13</f>
        <v>1E-10</v>
      </c>
      <c r="V332" s="411">
        <f>計分版!F$13</f>
        <v>2.0000000000000001E-10</v>
      </c>
      <c r="W332" s="411">
        <f>計分版!G$13</f>
        <v>3E-10</v>
      </c>
      <c r="X332" s="411">
        <f>計分版!H$13</f>
        <v>4.0000000000000001E-10</v>
      </c>
      <c r="Y332" s="411">
        <f>計分版!I$13</f>
        <v>5.0000000000000003E-10</v>
      </c>
      <c r="Z332" s="411">
        <f>計分版!J$13</f>
        <v>6E-10</v>
      </c>
      <c r="AA332" s="411">
        <f>計分版!K$13</f>
        <v>6.9999999999999996E-10</v>
      </c>
      <c r="AB332" s="411">
        <f>計分版!L$13</f>
        <v>8.0000000000000003E-10</v>
      </c>
      <c r="AC332" s="411">
        <f>計分版!M$13</f>
        <v>8.9999999999999999E-10</v>
      </c>
      <c r="AD332" s="411">
        <f>計分版!N$13</f>
        <v>9.5000000000000003E-10</v>
      </c>
      <c r="AF332" s="413" t="s">
        <v>2308</v>
      </c>
      <c r="AG332" s="413" t="s">
        <v>2309</v>
      </c>
      <c r="AH332" s="413" t="s">
        <v>2308</v>
      </c>
    </row>
    <row r="333" spans="1:39">
      <c r="A333" s="2" t="s">
        <v>1074</v>
      </c>
      <c r="B333" s="2" t="s">
        <v>1075</v>
      </c>
      <c r="C333" s="2" t="s">
        <v>1155</v>
      </c>
      <c r="E333" s="419">
        <v>3</v>
      </c>
      <c r="F333" s="419">
        <v>3</v>
      </c>
      <c r="G333" s="419">
        <v>2</v>
      </c>
      <c r="H333" s="419">
        <v>2</v>
      </c>
      <c r="I333" s="419">
        <v>2</v>
      </c>
      <c r="J333" s="419"/>
      <c r="L333" s="411">
        <f t="shared" si="163"/>
        <v>0</v>
      </c>
      <c r="M333" s="411">
        <f t="shared" si="164"/>
        <v>0</v>
      </c>
      <c r="N333" s="411">
        <f t="shared" si="165"/>
        <v>0</v>
      </c>
      <c r="O333" s="411">
        <f t="shared" si="166"/>
        <v>0</v>
      </c>
      <c r="P333" s="413">
        <f t="shared" si="167"/>
        <v>0</v>
      </c>
      <c r="S333" s="78">
        <f t="shared" si="168"/>
        <v>0</v>
      </c>
      <c r="U333" s="411">
        <f>計分版!E$13</f>
        <v>1E-10</v>
      </c>
      <c r="V333" s="411">
        <f>計分版!F$13</f>
        <v>2.0000000000000001E-10</v>
      </c>
      <c r="W333" s="411">
        <f>計分版!G$13</f>
        <v>3E-10</v>
      </c>
      <c r="X333" s="411">
        <f>計分版!H$13</f>
        <v>4.0000000000000001E-10</v>
      </c>
      <c r="Y333" s="411">
        <f>計分版!I$13</f>
        <v>5.0000000000000003E-10</v>
      </c>
      <c r="Z333" s="411">
        <f>計分版!J$13</f>
        <v>6E-10</v>
      </c>
      <c r="AA333" s="411">
        <f>計分版!K$13</f>
        <v>6.9999999999999996E-10</v>
      </c>
      <c r="AB333" s="411">
        <f>計分版!L$13</f>
        <v>8.0000000000000003E-10</v>
      </c>
      <c r="AC333" s="411">
        <f>計分版!M$13</f>
        <v>8.9999999999999999E-10</v>
      </c>
      <c r="AD333" s="411">
        <f>計分版!N$13</f>
        <v>9.5000000000000003E-10</v>
      </c>
      <c r="AF333" s="413" t="s">
        <v>2308</v>
      </c>
      <c r="AG333" s="413" t="s">
        <v>2309</v>
      </c>
      <c r="AH333" s="413" t="s">
        <v>2308</v>
      </c>
    </row>
    <row r="334" spans="1:39">
      <c r="A334" s="2" t="s">
        <v>1077</v>
      </c>
      <c r="B334" s="2" t="s">
        <v>1078</v>
      </c>
      <c r="C334" s="2" t="s">
        <v>1155</v>
      </c>
      <c r="E334" s="419">
        <v>3</v>
      </c>
      <c r="F334" s="419">
        <v>3</v>
      </c>
      <c r="G334" s="419">
        <v>2</v>
      </c>
      <c r="H334" s="419">
        <v>2</v>
      </c>
      <c r="I334" s="419">
        <v>2</v>
      </c>
      <c r="J334" s="419"/>
      <c r="L334" s="411">
        <f t="shared" si="163"/>
        <v>0</v>
      </c>
      <c r="M334" s="411">
        <f t="shared" si="164"/>
        <v>0</v>
      </c>
      <c r="N334" s="411">
        <f t="shared" si="165"/>
        <v>0</v>
      </c>
      <c r="O334" s="411">
        <f t="shared" si="166"/>
        <v>0</v>
      </c>
      <c r="P334" s="413">
        <f t="shared" si="167"/>
        <v>0</v>
      </c>
      <c r="S334" s="78">
        <f t="shared" si="168"/>
        <v>0</v>
      </c>
      <c r="U334" s="411">
        <f>計分版!E$13</f>
        <v>1E-10</v>
      </c>
      <c r="V334" s="411">
        <f>計分版!F$13</f>
        <v>2.0000000000000001E-10</v>
      </c>
      <c r="W334" s="411">
        <f>計分版!G$13</f>
        <v>3E-10</v>
      </c>
      <c r="X334" s="411">
        <f>計分版!H$13</f>
        <v>4.0000000000000001E-10</v>
      </c>
      <c r="Y334" s="411">
        <f>計分版!I$13</f>
        <v>5.0000000000000003E-10</v>
      </c>
      <c r="Z334" s="411">
        <f>計分版!J$13</f>
        <v>6E-10</v>
      </c>
      <c r="AA334" s="411">
        <f>計分版!K$13</f>
        <v>6.9999999999999996E-10</v>
      </c>
      <c r="AB334" s="411">
        <f>計分版!L$13</f>
        <v>8.0000000000000003E-10</v>
      </c>
      <c r="AC334" s="411">
        <f>計分版!M$13</f>
        <v>8.9999999999999999E-10</v>
      </c>
      <c r="AD334" s="411">
        <f>計分版!N$13</f>
        <v>9.5000000000000003E-10</v>
      </c>
      <c r="AF334" s="413" t="s">
        <v>2308</v>
      </c>
      <c r="AG334" s="413" t="s">
        <v>2309</v>
      </c>
      <c r="AH334" s="413" t="s">
        <v>2308</v>
      </c>
    </row>
    <row r="335" spans="1:39">
      <c r="A335" s="2" t="s">
        <v>1080</v>
      </c>
      <c r="B335" s="2" t="s">
        <v>1081</v>
      </c>
      <c r="C335" s="2" t="s">
        <v>1155</v>
      </c>
      <c r="E335" s="419">
        <v>3</v>
      </c>
      <c r="F335" s="419">
        <v>3</v>
      </c>
      <c r="G335" s="419">
        <v>2</v>
      </c>
      <c r="H335" s="419">
        <v>2</v>
      </c>
      <c r="I335" s="419">
        <v>2</v>
      </c>
      <c r="J335" s="419"/>
      <c r="L335" s="411">
        <f t="shared" si="163"/>
        <v>0</v>
      </c>
      <c r="M335" s="411">
        <f t="shared" si="164"/>
        <v>0</v>
      </c>
      <c r="N335" s="411">
        <f t="shared" si="165"/>
        <v>0</v>
      </c>
      <c r="O335" s="411">
        <f t="shared" si="166"/>
        <v>0</v>
      </c>
      <c r="P335" s="413">
        <f t="shared" si="167"/>
        <v>0</v>
      </c>
      <c r="S335" s="78">
        <f t="shared" si="168"/>
        <v>0</v>
      </c>
      <c r="U335" s="411">
        <f>計分版!E$13</f>
        <v>1E-10</v>
      </c>
      <c r="V335" s="411">
        <f>計分版!F$13</f>
        <v>2.0000000000000001E-10</v>
      </c>
      <c r="W335" s="411">
        <f>計分版!G$13</f>
        <v>3E-10</v>
      </c>
      <c r="X335" s="411">
        <f>計分版!H$13</f>
        <v>4.0000000000000001E-10</v>
      </c>
      <c r="Y335" s="411">
        <f>計分版!I$13</f>
        <v>5.0000000000000003E-10</v>
      </c>
      <c r="Z335" s="411">
        <f>計分版!J$13</f>
        <v>6E-10</v>
      </c>
      <c r="AA335" s="411">
        <f>計分版!K$13</f>
        <v>6.9999999999999996E-10</v>
      </c>
      <c r="AB335" s="411">
        <f>計分版!L$13</f>
        <v>8.0000000000000003E-10</v>
      </c>
      <c r="AC335" s="411">
        <f>計分版!M$13</f>
        <v>8.9999999999999999E-10</v>
      </c>
      <c r="AD335" s="411">
        <f>計分版!N$13</f>
        <v>9.5000000000000003E-10</v>
      </c>
      <c r="AF335" s="413" t="s">
        <v>2308</v>
      </c>
      <c r="AG335" s="413" t="s">
        <v>2309</v>
      </c>
      <c r="AH335" s="413" t="s">
        <v>2308</v>
      </c>
    </row>
    <row r="336" spans="1:39">
      <c r="A336" s="2" t="s">
        <v>1083</v>
      </c>
      <c r="B336" s="2" t="s">
        <v>1084</v>
      </c>
      <c r="C336" s="2" t="s">
        <v>1155</v>
      </c>
      <c r="E336" s="419">
        <v>3</v>
      </c>
      <c r="F336" s="419">
        <v>3</v>
      </c>
      <c r="G336" s="419">
        <v>2</v>
      </c>
      <c r="H336" s="419">
        <v>2</v>
      </c>
      <c r="I336" s="419">
        <v>2</v>
      </c>
      <c r="J336" s="419"/>
      <c r="L336" s="411">
        <f t="shared" si="163"/>
        <v>0</v>
      </c>
      <c r="M336" s="411">
        <f t="shared" si="164"/>
        <v>0</v>
      </c>
      <c r="N336" s="411">
        <f t="shared" si="165"/>
        <v>0</v>
      </c>
      <c r="O336" s="411">
        <f t="shared" si="166"/>
        <v>0</v>
      </c>
      <c r="P336" s="413">
        <f t="shared" si="167"/>
        <v>0</v>
      </c>
      <c r="S336" s="78">
        <f t="shared" si="168"/>
        <v>0</v>
      </c>
      <c r="U336" s="411">
        <f>計分版!E$13</f>
        <v>1E-10</v>
      </c>
      <c r="V336" s="411">
        <f>計分版!F$13</f>
        <v>2.0000000000000001E-10</v>
      </c>
      <c r="W336" s="411">
        <f>計分版!G$13</f>
        <v>3E-10</v>
      </c>
      <c r="X336" s="411">
        <f>計分版!H$13</f>
        <v>4.0000000000000001E-10</v>
      </c>
      <c r="Y336" s="411">
        <f>計分版!I$13</f>
        <v>5.0000000000000003E-10</v>
      </c>
      <c r="Z336" s="411">
        <f>計分版!J$13</f>
        <v>6E-10</v>
      </c>
      <c r="AA336" s="411">
        <f>計分版!K$13</f>
        <v>6.9999999999999996E-10</v>
      </c>
      <c r="AB336" s="411">
        <f>計分版!L$13</f>
        <v>8.0000000000000003E-10</v>
      </c>
      <c r="AC336" s="411">
        <f>計分版!M$13</f>
        <v>8.9999999999999999E-10</v>
      </c>
      <c r="AD336" s="411">
        <f>計分版!N$13</f>
        <v>9.5000000000000003E-10</v>
      </c>
      <c r="AF336" s="413" t="s">
        <v>2308</v>
      </c>
      <c r="AG336" s="413" t="s">
        <v>2309</v>
      </c>
      <c r="AH336" s="413" t="s">
        <v>2308</v>
      </c>
    </row>
    <row r="337" spans="1:34">
      <c r="A337" s="2" t="s">
        <v>1086</v>
      </c>
      <c r="B337" s="2" t="s">
        <v>1087</v>
      </c>
      <c r="C337" s="2" t="s">
        <v>1155</v>
      </c>
      <c r="E337" s="419">
        <v>3</v>
      </c>
      <c r="F337" s="419">
        <v>3</v>
      </c>
      <c r="G337" s="419">
        <v>2</v>
      </c>
      <c r="H337" s="419">
        <v>2</v>
      </c>
      <c r="I337" s="419">
        <v>2</v>
      </c>
      <c r="J337" s="419"/>
      <c r="L337" s="411">
        <f t="shared" si="163"/>
        <v>0</v>
      </c>
      <c r="M337" s="411">
        <f t="shared" si="164"/>
        <v>0</v>
      </c>
      <c r="N337" s="411">
        <f t="shared" si="165"/>
        <v>0</v>
      </c>
      <c r="O337" s="411">
        <f t="shared" si="166"/>
        <v>0</v>
      </c>
      <c r="P337" s="413">
        <f t="shared" si="167"/>
        <v>0</v>
      </c>
      <c r="S337" s="78">
        <f t="shared" si="168"/>
        <v>0</v>
      </c>
      <c r="U337" s="411">
        <f>計分版!E$13</f>
        <v>1E-10</v>
      </c>
      <c r="V337" s="411">
        <f>計分版!F$13</f>
        <v>2.0000000000000001E-10</v>
      </c>
      <c r="W337" s="411">
        <f>計分版!G$13</f>
        <v>3E-10</v>
      </c>
      <c r="X337" s="411">
        <f>計分版!H$13</f>
        <v>4.0000000000000001E-10</v>
      </c>
      <c r="Y337" s="411">
        <f>計分版!I$13</f>
        <v>5.0000000000000003E-10</v>
      </c>
      <c r="Z337" s="411">
        <f>計分版!J$13</f>
        <v>6E-10</v>
      </c>
      <c r="AA337" s="411">
        <f>計分版!K$13</f>
        <v>6.9999999999999996E-10</v>
      </c>
      <c r="AB337" s="411">
        <f>計分版!L$13</f>
        <v>8.0000000000000003E-10</v>
      </c>
      <c r="AC337" s="411">
        <f>計分版!M$13</f>
        <v>8.9999999999999999E-10</v>
      </c>
      <c r="AD337" s="411">
        <f>計分版!N$13</f>
        <v>9.5000000000000003E-10</v>
      </c>
      <c r="AF337" s="413" t="s">
        <v>2308</v>
      </c>
      <c r="AG337" s="413" t="s">
        <v>2309</v>
      </c>
      <c r="AH337" s="413" t="s">
        <v>2308</v>
      </c>
    </row>
    <row r="338" spans="1:34">
      <c r="A338" s="2" t="s">
        <v>1089</v>
      </c>
      <c r="B338" s="2" t="s">
        <v>1090</v>
      </c>
      <c r="C338" s="2" t="s">
        <v>1155</v>
      </c>
      <c r="E338" s="419">
        <v>3</v>
      </c>
      <c r="F338" s="419">
        <v>3</v>
      </c>
      <c r="G338" s="419">
        <v>2</v>
      </c>
      <c r="H338" s="419">
        <v>2</v>
      </c>
      <c r="I338" s="419">
        <v>2</v>
      </c>
      <c r="J338" s="419"/>
      <c r="L338" s="411">
        <f t="shared" si="163"/>
        <v>0</v>
      </c>
      <c r="M338" s="411">
        <f t="shared" si="164"/>
        <v>0</v>
      </c>
      <c r="N338" s="411">
        <f t="shared" si="165"/>
        <v>0</v>
      </c>
      <c r="O338" s="411">
        <f t="shared" si="166"/>
        <v>0</v>
      </c>
      <c r="P338" s="413">
        <f t="shared" si="167"/>
        <v>0</v>
      </c>
      <c r="S338" s="78">
        <f t="shared" si="168"/>
        <v>0</v>
      </c>
      <c r="U338" s="411">
        <f>計分版!E$13</f>
        <v>1E-10</v>
      </c>
      <c r="V338" s="411">
        <f>計分版!F$13</f>
        <v>2.0000000000000001E-10</v>
      </c>
      <c r="W338" s="411">
        <f>計分版!G$13</f>
        <v>3E-10</v>
      </c>
      <c r="X338" s="411">
        <f>計分版!H$13</f>
        <v>4.0000000000000001E-10</v>
      </c>
      <c r="Y338" s="411">
        <f>計分版!I$13</f>
        <v>5.0000000000000003E-10</v>
      </c>
      <c r="Z338" s="411">
        <f>計分版!J$13</f>
        <v>6E-10</v>
      </c>
      <c r="AA338" s="411">
        <f>計分版!K$13</f>
        <v>6.9999999999999996E-10</v>
      </c>
      <c r="AB338" s="411">
        <f>計分版!L$13</f>
        <v>8.0000000000000003E-10</v>
      </c>
      <c r="AC338" s="411">
        <f>計分版!M$13</f>
        <v>8.9999999999999999E-10</v>
      </c>
      <c r="AD338" s="411">
        <f>計分版!N$13</f>
        <v>9.5000000000000003E-10</v>
      </c>
      <c r="AF338" s="413" t="s">
        <v>2308</v>
      </c>
      <c r="AG338" s="413" t="s">
        <v>2309</v>
      </c>
      <c r="AH338" s="413" t="s">
        <v>2308</v>
      </c>
    </row>
    <row r="339" spans="1:34">
      <c r="A339" s="2" t="s">
        <v>1092</v>
      </c>
      <c r="B339" s="2" t="s">
        <v>1093</v>
      </c>
      <c r="C339" s="2" t="s">
        <v>1155</v>
      </c>
      <c r="E339" s="419">
        <v>3</v>
      </c>
      <c r="F339" s="419">
        <v>3</v>
      </c>
      <c r="G339" s="419">
        <v>2</v>
      </c>
      <c r="H339" s="419">
        <v>2</v>
      </c>
      <c r="I339" s="419">
        <v>2</v>
      </c>
      <c r="J339" s="419"/>
      <c r="L339" s="411">
        <f t="shared" si="163"/>
        <v>0</v>
      </c>
      <c r="M339" s="411">
        <f t="shared" si="164"/>
        <v>0</v>
      </c>
      <c r="N339" s="411">
        <f t="shared" si="165"/>
        <v>0</v>
      </c>
      <c r="O339" s="411">
        <f t="shared" si="166"/>
        <v>0</v>
      </c>
      <c r="P339" s="413">
        <f t="shared" si="167"/>
        <v>0</v>
      </c>
      <c r="S339" s="78">
        <f t="shared" si="168"/>
        <v>0</v>
      </c>
      <c r="U339" s="411">
        <f>計分版!E$13</f>
        <v>1E-10</v>
      </c>
      <c r="V339" s="411">
        <f>計分版!F$13</f>
        <v>2.0000000000000001E-10</v>
      </c>
      <c r="W339" s="411">
        <f>計分版!G$13</f>
        <v>3E-10</v>
      </c>
      <c r="X339" s="411">
        <f>計分版!H$13</f>
        <v>4.0000000000000001E-10</v>
      </c>
      <c r="Y339" s="411">
        <f>計分版!I$13</f>
        <v>5.0000000000000003E-10</v>
      </c>
      <c r="Z339" s="411">
        <f>計分版!J$13</f>
        <v>6E-10</v>
      </c>
      <c r="AA339" s="411">
        <f>計分版!K$13</f>
        <v>6.9999999999999996E-10</v>
      </c>
      <c r="AB339" s="411">
        <f>計分版!L$13</f>
        <v>8.0000000000000003E-10</v>
      </c>
      <c r="AC339" s="411">
        <f>計分版!M$13</f>
        <v>8.9999999999999999E-10</v>
      </c>
      <c r="AD339" s="411">
        <f>計分版!N$13</f>
        <v>9.5000000000000003E-10</v>
      </c>
      <c r="AF339" s="413" t="s">
        <v>2308</v>
      </c>
      <c r="AG339" s="413" t="s">
        <v>2309</v>
      </c>
      <c r="AH339" s="413" t="s">
        <v>2308</v>
      </c>
    </row>
    <row r="340" spans="1:34">
      <c r="A340" s="2" t="s">
        <v>1095</v>
      </c>
      <c r="B340" s="2" t="s">
        <v>1096</v>
      </c>
      <c r="C340" s="2" t="s">
        <v>1155</v>
      </c>
      <c r="E340" s="419">
        <v>3</v>
      </c>
      <c r="F340" s="419">
        <v>3</v>
      </c>
      <c r="G340" s="419">
        <v>2</v>
      </c>
      <c r="H340" s="419">
        <v>2</v>
      </c>
      <c r="I340" s="419">
        <v>2</v>
      </c>
      <c r="J340" s="419"/>
      <c r="L340" s="411">
        <f t="shared" si="163"/>
        <v>0</v>
      </c>
      <c r="M340" s="411">
        <f t="shared" si="164"/>
        <v>0</v>
      </c>
      <c r="N340" s="411">
        <f t="shared" si="165"/>
        <v>0</v>
      </c>
      <c r="O340" s="411">
        <f t="shared" si="166"/>
        <v>0</v>
      </c>
      <c r="P340" s="413">
        <f t="shared" si="167"/>
        <v>0</v>
      </c>
      <c r="S340" s="78">
        <f t="shared" si="168"/>
        <v>0</v>
      </c>
      <c r="U340" s="411">
        <f>計分版!E$13</f>
        <v>1E-10</v>
      </c>
      <c r="V340" s="411">
        <f>計分版!F$13</f>
        <v>2.0000000000000001E-10</v>
      </c>
      <c r="W340" s="411">
        <f>計分版!G$13</f>
        <v>3E-10</v>
      </c>
      <c r="X340" s="411">
        <f>計分版!H$13</f>
        <v>4.0000000000000001E-10</v>
      </c>
      <c r="Y340" s="411">
        <f>計分版!I$13</f>
        <v>5.0000000000000003E-10</v>
      </c>
      <c r="Z340" s="411">
        <f>計分版!J$13</f>
        <v>6E-10</v>
      </c>
      <c r="AA340" s="411">
        <f>計分版!K$13</f>
        <v>6.9999999999999996E-10</v>
      </c>
      <c r="AB340" s="411">
        <f>計分版!L$13</f>
        <v>8.0000000000000003E-10</v>
      </c>
      <c r="AC340" s="411">
        <f>計分版!M$13</f>
        <v>8.9999999999999999E-10</v>
      </c>
      <c r="AD340" s="411">
        <f>計分版!N$13</f>
        <v>9.5000000000000003E-10</v>
      </c>
      <c r="AF340" s="413" t="s">
        <v>2308</v>
      </c>
      <c r="AG340" s="413" t="s">
        <v>2309</v>
      </c>
      <c r="AH340" s="413" t="s">
        <v>2308</v>
      </c>
    </row>
    <row r="341" spans="1:34">
      <c r="A341" s="2" t="s">
        <v>1098</v>
      </c>
      <c r="B341" s="2" t="s">
        <v>1099</v>
      </c>
      <c r="C341" s="2" t="s">
        <v>1155</v>
      </c>
      <c r="E341" s="419">
        <v>3</v>
      </c>
      <c r="F341" s="419">
        <v>3</v>
      </c>
      <c r="G341" s="419">
        <v>2</v>
      </c>
      <c r="H341" s="419">
        <v>2</v>
      </c>
      <c r="I341" s="419">
        <v>2</v>
      </c>
      <c r="J341" s="419"/>
      <c r="L341" s="411">
        <f t="shared" si="163"/>
        <v>0</v>
      </c>
      <c r="M341" s="411">
        <f t="shared" si="164"/>
        <v>0</v>
      </c>
      <c r="N341" s="411">
        <f t="shared" si="165"/>
        <v>0</v>
      </c>
      <c r="O341" s="411">
        <f t="shared" si="166"/>
        <v>0</v>
      </c>
      <c r="P341" s="413">
        <f t="shared" si="167"/>
        <v>0</v>
      </c>
      <c r="S341" s="78">
        <f t="shared" si="168"/>
        <v>0</v>
      </c>
      <c r="U341" s="411">
        <f>計分版!E$13</f>
        <v>1E-10</v>
      </c>
      <c r="V341" s="411">
        <f>計分版!F$13</f>
        <v>2.0000000000000001E-10</v>
      </c>
      <c r="W341" s="411">
        <f>計分版!G$13</f>
        <v>3E-10</v>
      </c>
      <c r="X341" s="411">
        <f>計分版!H$13</f>
        <v>4.0000000000000001E-10</v>
      </c>
      <c r="Y341" s="411">
        <f>計分版!I$13</f>
        <v>5.0000000000000003E-10</v>
      </c>
      <c r="Z341" s="411">
        <f>計分版!J$13</f>
        <v>6E-10</v>
      </c>
      <c r="AA341" s="411">
        <f>計分版!K$13</f>
        <v>6.9999999999999996E-10</v>
      </c>
      <c r="AB341" s="411">
        <f>計分版!L$13</f>
        <v>8.0000000000000003E-10</v>
      </c>
      <c r="AC341" s="411">
        <f>計分版!M$13</f>
        <v>8.9999999999999999E-10</v>
      </c>
      <c r="AD341" s="411">
        <f>計分版!N$13</f>
        <v>9.5000000000000003E-10</v>
      </c>
      <c r="AF341" s="413" t="s">
        <v>2308</v>
      </c>
      <c r="AG341" s="413" t="s">
        <v>2309</v>
      </c>
      <c r="AH341" s="413" t="s">
        <v>2308</v>
      </c>
    </row>
    <row r="342" spans="1:34">
      <c r="A342" s="2" t="s">
        <v>1101</v>
      </c>
      <c r="B342" s="2" t="s">
        <v>1102</v>
      </c>
      <c r="C342" s="2" t="s">
        <v>1155</v>
      </c>
      <c r="E342" s="419">
        <v>3</v>
      </c>
      <c r="F342" s="419">
        <v>3</v>
      </c>
      <c r="G342" s="419">
        <v>2</v>
      </c>
      <c r="H342" s="419">
        <v>2</v>
      </c>
      <c r="I342" s="419">
        <v>2</v>
      </c>
      <c r="J342" s="419"/>
      <c r="L342" s="411">
        <f t="shared" si="163"/>
        <v>0</v>
      </c>
      <c r="M342" s="411">
        <f t="shared" si="164"/>
        <v>0</v>
      </c>
      <c r="N342" s="411">
        <f t="shared" si="165"/>
        <v>0</v>
      </c>
      <c r="O342" s="411">
        <f t="shared" si="166"/>
        <v>0</v>
      </c>
      <c r="P342" s="413">
        <f t="shared" si="167"/>
        <v>0</v>
      </c>
      <c r="S342" s="78">
        <f t="shared" si="168"/>
        <v>0</v>
      </c>
      <c r="U342" s="411">
        <f>計分版!E$13</f>
        <v>1E-10</v>
      </c>
      <c r="V342" s="411">
        <f>計分版!F$13</f>
        <v>2.0000000000000001E-10</v>
      </c>
      <c r="W342" s="411">
        <f>計分版!G$13</f>
        <v>3E-10</v>
      </c>
      <c r="X342" s="411">
        <f>計分版!H$13</f>
        <v>4.0000000000000001E-10</v>
      </c>
      <c r="Y342" s="411">
        <f>計分版!I$13</f>
        <v>5.0000000000000003E-10</v>
      </c>
      <c r="Z342" s="411">
        <f>計分版!J$13</f>
        <v>6E-10</v>
      </c>
      <c r="AA342" s="411">
        <f>計分版!K$13</f>
        <v>6.9999999999999996E-10</v>
      </c>
      <c r="AB342" s="411">
        <f>計分版!L$13</f>
        <v>8.0000000000000003E-10</v>
      </c>
      <c r="AC342" s="411">
        <f>計分版!M$13</f>
        <v>8.9999999999999999E-10</v>
      </c>
      <c r="AD342" s="411">
        <f>計分版!N$13</f>
        <v>9.5000000000000003E-10</v>
      </c>
      <c r="AF342" s="413" t="s">
        <v>2308</v>
      </c>
      <c r="AG342" s="413" t="s">
        <v>2309</v>
      </c>
      <c r="AH342" s="413" t="s">
        <v>2308</v>
      </c>
    </row>
    <row r="343" spans="1:34">
      <c r="A343" s="2" t="s">
        <v>1104</v>
      </c>
      <c r="B343" s="2" t="s">
        <v>1105</v>
      </c>
      <c r="C343" s="2" t="s">
        <v>1155</v>
      </c>
      <c r="E343" s="419">
        <v>3</v>
      </c>
      <c r="F343" s="419">
        <v>3</v>
      </c>
      <c r="G343" s="419">
        <v>2</v>
      </c>
      <c r="H343" s="419">
        <v>2</v>
      </c>
      <c r="I343" s="419">
        <v>2</v>
      </c>
      <c r="J343" s="419"/>
      <c r="L343" s="411">
        <f t="shared" si="163"/>
        <v>0</v>
      </c>
      <c r="M343" s="411">
        <f t="shared" si="164"/>
        <v>0</v>
      </c>
      <c r="N343" s="411">
        <f t="shared" si="165"/>
        <v>0</v>
      </c>
      <c r="O343" s="411">
        <f t="shared" si="166"/>
        <v>0</v>
      </c>
      <c r="P343" s="413">
        <f t="shared" si="167"/>
        <v>0</v>
      </c>
      <c r="S343" s="78">
        <f t="shared" si="168"/>
        <v>0</v>
      </c>
      <c r="U343" s="411">
        <f>計分版!E$13</f>
        <v>1E-10</v>
      </c>
      <c r="V343" s="411">
        <f>計分版!F$13</f>
        <v>2.0000000000000001E-10</v>
      </c>
      <c r="W343" s="411">
        <f>計分版!G$13</f>
        <v>3E-10</v>
      </c>
      <c r="X343" s="411">
        <f>計分版!H$13</f>
        <v>4.0000000000000001E-10</v>
      </c>
      <c r="Y343" s="411">
        <f>計分版!I$13</f>
        <v>5.0000000000000003E-10</v>
      </c>
      <c r="Z343" s="411">
        <f>計分版!J$13</f>
        <v>6E-10</v>
      </c>
      <c r="AA343" s="411">
        <f>計分版!K$13</f>
        <v>6.9999999999999996E-10</v>
      </c>
      <c r="AB343" s="411">
        <f>計分版!L$13</f>
        <v>8.0000000000000003E-10</v>
      </c>
      <c r="AC343" s="411">
        <f>計分版!M$13</f>
        <v>8.9999999999999999E-10</v>
      </c>
      <c r="AD343" s="411">
        <f>計分版!N$13</f>
        <v>9.5000000000000003E-10</v>
      </c>
      <c r="AF343" s="413" t="s">
        <v>2308</v>
      </c>
      <c r="AG343" s="413" t="s">
        <v>2309</v>
      </c>
      <c r="AH343" s="413" t="s">
        <v>2308</v>
      </c>
    </row>
    <row r="344" spans="1:34">
      <c r="A344" s="2" t="s">
        <v>1107</v>
      </c>
      <c r="B344" s="2" t="s">
        <v>1108</v>
      </c>
      <c r="C344" s="2" t="s">
        <v>1155</v>
      </c>
      <c r="E344" s="419">
        <v>3</v>
      </c>
      <c r="F344" s="419">
        <v>3</v>
      </c>
      <c r="G344" s="419">
        <v>2</v>
      </c>
      <c r="H344" s="419">
        <v>2</v>
      </c>
      <c r="I344" s="419">
        <v>2</v>
      </c>
      <c r="J344" s="419"/>
      <c r="L344" s="411">
        <f t="shared" si="163"/>
        <v>0</v>
      </c>
      <c r="M344" s="411">
        <f t="shared" si="164"/>
        <v>0</v>
      </c>
      <c r="N344" s="411">
        <f t="shared" si="165"/>
        <v>0</v>
      </c>
      <c r="O344" s="411">
        <f t="shared" si="166"/>
        <v>0</v>
      </c>
      <c r="P344" s="413">
        <f t="shared" si="167"/>
        <v>0</v>
      </c>
      <c r="S344" s="78">
        <f t="shared" si="168"/>
        <v>0</v>
      </c>
      <c r="U344" s="411">
        <f>計分版!E$13</f>
        <v>1E-10</v>
      </c>
      <c r="V344" s="411">
        <f>計分版!F$13</f>
        <v>2.0000000000000001E-10</v>
      </c>
      <c r="W344" s="411">
        <f>計分版!G$13</f>
        <v>3E-10</v>
      </c>
      <c r="X344" s="411">
        <f>計分版!H$13</f>
        <v>4.0000000000000001E-10</v>
      </c>
      <c r="Y344" s="411">
        <f>計分版!I$13</f>
        <v>5.0000000000000003E-10</v>
      </c>
      <c r="Z344" s="411">
        <f>計分版!J$13</f>
        <v>6E-10</v>
      </c>
      <c r="AA344" s="411">
        <f>計分版!K$13</f>
        <v>6.9999999999999996E-10</v>
      </c>
      <c r="AB344" s="411">
        <f>計分版!L$13</f>
        <v>8.0000000000000003E-10</v>
      </c>
      <c r="AC344" s="411">
        <f>計分版!M$13</f>
        <v>8.9999999999999999E-10</v>
      </c>
      <c r="AD344" s="411">
        <f>計分版!N$13</f>
        <v>9.5000000000000003E-10</v>
      </c>
      <c r="AF344" s="413" t="s">
        <v>2308</v>
      </c>
      <c r="AG344" s="413" t="s">
        <v>2309</v>
      </c>
      <c r="AH344" s="413" t="s">
        <v>2308</v>
      </c>
    </row>
    <row r="345" spans="1:34">
      <c r="A345" s="2" t="s">
        <v>1110</v>
      </c>
      <c r="B345" s="2" t="s">
        <v>1111</v>
      </c>
      <c r="C345" s="2" t="s">
        <v>1155</v>
      </c>
      <c r="E345" s="419">
        <v>3</v>
      </c>
      <c r="F345" s="419">
        <v>3</v>
      </c>
      <c r="G345" s="419">
        <v>2</v>
      </c>
      <c r="H345" s="419">
        <v>2</v>
      </c>
      <c r="I345" s="419">
        <v>2</v>
      </c>
      <c r="J345" s="419"/>
      <c r="L345" s="411">
        <f t="shared" si="163"/>
        <v>0</v>
      </c>
      <c r="M345" s="411">
        <f t="shared" si="164"/>
        <v>0</v>
      </c>
      <c r="N345" s="411">
        <f t="shared" si="165"/>
        <v>0</v>
      </c>
      <c r="O345" s="411">
        <f t="shared" si="166"/>
        <v>0</v>
      </c>
      <c r="P345" s="413">
        <f t="shared" si="167"/>
        <v>0</v>
      </c>
      <c r="S345" s="78">
        <f t="shared" si="168"/>
        <v>0</v>
      </c>
      <c r="U345" s="411">
        <f>計分版!E$13</f>
        <v>1E-10</v>
      </c>
      <c r="V345" s="411">
        <f>計分版!F$13</f>
        <v>2.0000000000000001E-10</v>
      </c>
      <c r="W345" s="411">
        <f>計分版!G$13</f>
        <v>3E-10</v>
      </c>
      <c r="X345" s="411">
        <f>計分版!H$13</f>
        <v>4.0000000000000001E-10</v>
      </c>
      <c r="Y345" s="411">
        <f>計分版!I$13</f>
        <v>5.0000000000000003E-10</v>
      </c>
      <c r="Z345" s="411">
        <f>計分版!J$13</f>
        <v>6E-10</v>
      </c>
      <c r="AA345" s="411">
        <f>計分版!K$13</f>
        <v>6.9999999999999996E-10</v>
      </c>
      <c r="AB345" s="411">
        <f>計分版!L$13</f>
        <v>8.0000000000000003E-10</v>
      </c>
      <c r="AC345" s="411">
        <f>計分版!M$13</f>
        <v>8.9999999999999999E-10</v>
      </c>
      <c r="AD345" s="411">
        <f>計分版!N$13</f>
        <v>9.5000000000000003E-10</v>
      </c>
      <c r="AF345" s="413" t="s">
        <v>2308</v>
      </c>
      <c r="AG345" s="413" t="s">
        <v>2309</v>
      </c>
      <c r="AH345" s="413" t="s">
        <v>2308</v>
      </c>
    </row>
    <row r="346" spans="1:34">
      <c r="A346" s="2" t="s">
        <v>1113</v>
      </c>
      <c r="B346" s="2" t="s">
        <v>1114</v>
      </c>
      <c r="C346" s="2" t="s">
        <v>1155</v>
      </c>
      <c r="E346" s="419">
        <v>3</v>
      </c>
      <c r="F346" s="419">
        <v>3</v>
      </c>
      <c r="G346" s="419">
        <v>2</v>
      </c>
      <c r="H346" s="419">
        <v>2</v>
      </c>
      <c r="I346" s="419">
        <v>2</v>
      </c>
      <c r="J346" s="419"/>
      <c r="L346" s="411">
        <f t="shared" si="163"/>
        <v>0</v>
      </c>
      <c r="M346" s="411">
        <f t="shared" si="164"/>
        <v>0</v>
      </c>
      <c r="N346" s="411">
        <f t="shared" si="165"/>
        <v>0</v>
      </c>
      <c r="O346" s="411">
        <f t="shared" si="166"/>
        <v>0</v>
      </c>
      <c r="P346" s="413">
        <f t="shared" si="167"/>
        <v>0</v>
      </c>
      <c r="S346" s="78">
        <f t="shared" si="168"/>
        <v>0</v>
      </c>
      <c r="U346" s="411">
        <f>計分版!E$13</f>
        <v>1E-10</v>
      </c>
      <c r="V346" s="411">
        <f>計分版!F$13</f>
        <v>2.0000000000000001E-10</v>
      </c>
      <c r="W346" s="411">
        <f>計分版!G$13</f>
        <v>3E-10</v>
      </c>
      <c r="X346" s="411">
        <f>計分版!H$13</f>
        <v>4.0000000000000001E-10</v>
      </c>
      <c r="Y346" s="411">
        <f>計分版!I$13</f>
        <v>5.0000000000000003E-10</v>
      </c>
      <c r="Z346" s="411">
        <f>計分版!J$13</f>
        <v>6E-10</v>
      </c>
      <c r="AA346" s="411">
        <f>計分版!K$13</f>
        <v>6.9999999999999996E-10</v>
      </c>
      <c r="AB346" s="411">
        <f>計分版!L$13</f>
        <v>8.0000000000000003E-10</v>
      </c>
      <c r="AC346" s="411">
        <f>計分版!M$13</f>
        <v>8.9999999999999999E-10</v>
      </c>
      <c r="AD346" s="411">
        <f>計分版!N$13</f>
        <v>9.5000000000000003E-10</v>
      </c>
      <c r="AF346" s="413" t="s">
        <v>2308</v>
      </c>
      <c r="AG346" s="413" t="s">
        <v>2309</v>
      </c>
      <c r="AH346" s="413" t="s">
        <v>2308</v>
      </c>
    </row>
    <row r="347" spans="1:34">
      <c r="A347" s="2" t="s">
        <v>1116</v>
      </c>
      <c r="B347" s="2" t="s">
        <v>1117</v>
      </c>
      <c r="C347" s="2" t="s">
        <v>1155</v>
      </c>
      <c r="E347" s="419">
        <v>3</v>
      </c>
      <c r="F347" s="419">
        <v>3</v>
      </c>
      <c r="G347" s="419">
        <v>2</v>
      </c>
      <c r="H347" s="419">
        <v>2</v>
      </c>
      <c r="I347" s="419">
        <v>2</v>
      </c>
      <c r="J347" s="419"/>
      <c r="L347" s="411">
        <f t="shared" si="163"/>
        <v>0</v>
      </c>
      <c r="M347" s="411">
        <f t="shared" si="164"/>
        <v>0</v>
      </c>
      <c r="N347" s="411">
        <f t="shared" si="165"/>
        <v>0</v>
      </c>
      <c r="O347" s="411">
        <f t="shared" si="166"/>
        <v>0</v>
      </c>
      <c r="P347" s="413">
        <f t="shared" si="167"/>
        <v>0</v>
      </c>
      <c r="S347" s="78">
        <f t="shared" si="168"/>
        <v>0</v>
      </c>
      <c r="U347" s="411">
        <f>計分版!E$13</f>
        <v>1E-10</v>
      </c>
      <c r="V347" s="411">
        <f>計分版!F$13</f>
        <v>2.0000000000000001E-10</v>
      </c>
      <c r="W347" s="411">
        <f>計分版!G$13</f>
        <v>3E-10</v>
      </c>
      <c r="X347" s="411">
        <f>計分版!H$13</f>
        <v>4.0000000000000001E-10</v>
      </c>
      <c r="Y347" s="411">
        <f>計分版!I$13</f>
        <v>5.0000000000000003E-10</v>
      </c>
      <c r="Z347" s="411">
        <f>計分版!J$13</f>
        <v>6E-10</v>
      </c>
      <c r="AA347" s="411">
        <f>計分版!K$13</f>
        <v>6.9999999999999996E-10</v>
      </c>
      <c r="AB347" s="411">
        <f>計分版!L$13</f>
        <v>8.0000000000000003E-10</v>
      </c>
      <c r="AC347" s="411">
        <f>計分版!M$13</f>
        <v>8.9999999999999999E-10</v>
      </c>
      <c r="AD347" s="411">
        <f>計分版!N$13</f>
        <v>9.5000000000000003E-10</v>
      </c>
      <c r="AF347" s="413" t="s">
        <v>2308</v>
      </c>
      <c r="AG347" s="413" t="s">
        <v>2309</v>
      </c>
      <c r="AH347" s="413" t="s">
        <v>2308</v>
      </c>
    </row>
    <row r="348" spans="1:34">
      <c r="A348" s="2" t="s">
        <v>1119</v>
      </c>
      <c r="B348" s="2" t="s">
        <v>1120</v>
      </c>
      <c r="C348" s="2" t="s">
        <v>189</v>
      </c>
      <c r="E348" s="419">
        <v>3</v>
      </c>
      <c r="F348" s="419">
        <v>3</v>
      </c>
      <c r="G348" s="419">
        <v>2</v>
      </c>
      <c r="H348" s="419">
        <v>2</v>
      </c>
      <c r="I348" s="419">
        <v>2</v>
      </c>
      <c r="J348" s="419"/>
      <c r="L348" s="411">
        <f t="shared" si="163"/>
        <v>0</v>
      </c>
      <c r="M348" s="411">
        <f t="shared" si="164"/>
        <v>0</v>
      </c>
      <c r="N348" s="411">
        <f t="shared" si="165"/>
        <v>0</v>
      </c>
      <c r="O348" s="411">
        <f t="shared" si="166"/>
        <v>0</v>
      </c>
      <c r="P348" s="413">
        <f t="shared" si="167"/>
        <v>0</v>
      </c>
      <c r="S348" s="78">
        <f t="shared" si="168"/>
        <v>0</v>
      </c>
      <c r="U348" s="411">
        <f>計分版!E$13</f>
        <v>1E-10</v>
      </c>
      <c r="V348" s="411">
        <f>計分版!F$13</f>
        <v>2.0000000000000001E-10</v>
      </c>
      <c r="W348" s="411">
        <f>計分版!G$13</f>
        <v>3E-10</v>
      </c>
      <c r="X348" s="411">
        <f>計分版!H$13</f>
        <v>4.0000000000000001E-10</v>
      </c>
      <c r="Y348" s="411">
        <f>計分版!I$13</f>
        <v>5.0000000000000003E-10</v>
      </c>
      <c r="Z348" s="411">
        <f>計分版!J$13</f>
        <v>6E-10</v>
      </c>
      <c r="AA348" s="411">
        <f>計分版!K$13</f>
        <v>6.9999999999999996E-10</v>
      </c>
      <c r="AB348" s="411">
        <f>計分版!L$13</f>
        <v>8.0000000000000003E-10</v>
      </c>
      <c r="AC348" s="411">
        <f>計分版!M$13</f>
        <v>8.9999999999999999E-10</v>
      </c>
      <c r="AD348" s="411">
        <f>計分版!N$13</f>
        <v>9.5000000000000003E-10</v>
      </c>
      <c r="AF348" s="413" t="s">
        <v>2308</v>
      </c>
      <c r="AG348" s="413" t="s">
        <v>2309</v>
      </c>
      <c r="AH348" s="413" t="s">
        <v>2308</v>
      </c>
    </row>
    <row r="349" spans="1:34">
      <c r="A349" s="2" t="s">
        <v>1122</v>
      </c>
      <c r="B349" s="2" t="s">
        <v>1123</v>
      </c>
      <c r="C349" s="2" t="s">
        <v>189</v>
      </c>
      <c r="E349" s="419">
        <v>3</v>
      </c>
      <c r="F349" s="419">
        <v>3</v>
      </c>
      <c r="G349" s="419">
        <v>2</v>
      </c>
      <c r="H349" s="419">
        <v>2</v>
      </c>
      <c r="I349" s="419">
        <v>2</v>
      </c>
      <c r="J349" s="419"/>
      <c r="L349" s="411">
        <f t="shared" si="163"/>
        <v>0</v>
      </c>
      <c r="M349" s="411">
        <f t="shared" si="164"/>
        <v>0</v>
      </c>
      <c r="N349" s="411">
        <f t="shared" si="165"/>
        <v>0</v>
      </c>
      <c r="O349" s="411">
        <f t="shared" si="166"/>
        <v>0</v>
      </c>
      <c r="P349" s="413">
        <f t="shared" si="167"/>
        <v>0</v>
      </c>
      <c r="S349" s="78">
        <f t="shared" si="168"/>
        <v>0</v>
      </c>
      <c r="U349" s="411">
        <f>計分版!E$13</f>
        <v>1E-10</v>
      </c>
      <c r="V349" s="411">
        <f>計分版!F$13</f>
        <v>2.0000000000000001E-10</v>
      </c>
      <c r="W349" s="411">
        <f>計分版!G$13</f>
        <v>3E-10</v>
      </c>
      <c r="X349" s="411">
        <f>計分版!H$13</f>
        <v>4.0000000000000001E-10</v>
      </c>
      <c r="Y349" s="411">
        <f>計分版!I$13</f>
        <v>5.0000000000000003E-10</v>
      </c>
      <c r="Z349" s="411">
        <f>計分版!J$13</f>
        <v>6E-10</v>
      </c>
      <c r="AA349" s="411">
        <f>計分版!K$13</f>
        <v>6.9999999999999996E-10</v>
      </c>
      <c r="AB349" s="411">
        <f>計分版!L$13</f>
        <v>8.0000000000000003E-10</v>
      </c>
      <c r="AC349" s="411">
        <f>計分版!M$13</f>
        <v>8.9999999999999999E-10</v>
      </c>
      <c r="AD349" s="411">
        <f>計分版!N$13</f>
        <v>9.5000000000000003E-10</v>
      </c>
      <c r="AF349" s="413" t="s">
        <v>2308</v>
      </c>
      <c r="AG349" s="413" t="s">
        <v>2309</v>
      </c>
      <c r="AH349" s="413" t="s">
        <v>2308</v>
      </c>
    </row>
    <row r="350" spans="1:34">
      <c r="A350" s="2" t="s">
        <v>1125</v>
      </c>
      <c r="B350" s="2" t="s">
        <v>1126</v>
      </c>
      <c r="C350" s="2" t="s">
        <v>189</v>
      </c>
      <c r="E350" s="419">
        <v>3</v>
      </c>
      <c r="F350" s="419">
        <v>3</v>
      </c>
      <c r="G350" s="419">
        <v>2</v>
      </c>
      <c r="H350" s="419">
        <v>2</v>
      </c>
      <c r="I350" s="419">
        <v>2</v>
      </c>
      <c r="J350" s="419"/>
      <c r="L350" s="411">
        <f t="shared" si="163"/>
        <v>0</v>
      </c>
      <c r="M350" s="411">
        <f t="shared" si="164"/>
        <v>0</v>
      </c>
      <c r="N350" s="411">
        <f t="shared" si="165"/>
        <v>0</v>
      </c>
      <c r="O350" s="411">
        <f t="shared" si="166"/>
        <v>0</v>
      </c>
      <c r="P350" s="413">
        <f t="shared" si="167"/>
        <v>0</v>
      </c>
      <c r="S350" s="78">
        <f t="shared" si="168"/>
        <v>0</v>
      </c>
      <c r="U350" s="411">
        <f>計分版!E$13</f>
        <v>1E-10</v>
      </c>
      <c r="V350" s="411">
        <f>計分版!F$13</f>
        <v>2.0000000000000001E-10</v>
      </c>
      <c r="W350" s="411">
        <f>計分版!G$13</f>
        <v>3E-10</v>
      </c>
      <c r="X350" s="411">
        <f>計分版!H$13</f>
        <v>4.0000000000000001E-10</v>
      </c>
      <c r="Y350" s="411">
        <f>計分版!I$13</f>
        <v>5.0000000000000003E-10</v>
      </c>
      <c r="Z350" s="411">
        <f>計分版!J$13</f>
        <v>6E-10</v>
      </c>
      <c r="AA350" s="411">
        <f>計分版!K$13</f>
        <v>6.9999999999999996E-10</v>
      </c>
      <c r="AB350" s="411">
        <f>計分版!L$13</f>
        <v>8.0000000000000003E-10</v>
      </c>
      <c r="AC350" s="411">
        <f>計分版!M$13</f>
        <v>8.9999999999999999E-10</v>
      </c>
      <c r="AD350" s="411">
        <f>計分版!N$13</f>
        <v>9.5000000000000003E-10</v>
      </c>
      <c r="AF350" s="413" t="s">
        <v>2308</v>
      </c>
      <c r="AG350" s="413" t="s">
        <v>2309</v>
      </c>
      <c r="AH350" s="413" t="s">
        <v>2308</v>
      </c>
    </row>
    <row r="351" spans="1:34">
      <c r="A351" s="2" t="s">
        <v>1128</v>
      </c>
      <c r="B351" s="2" t="s">
        <v>1129</v>
      </c>
      <c r="C351" s="2" t="s">
        <v>189</v>
      </c>
      <c r="E351" s="419">
        <v>3</v>
      </c>
      <c r="F351" s="419">
        <v>3</v>
      </c>
      <c r="G351" s="419">
        <v>2</v>
      </c>
      <c r="H351" s="419">
        <v>2</v>
      </c>
      <c r="I351" s="419">
        <v>2</v>
      </c>
      <c r="J351" s="419"/>
      <c r="L351" s="411">
        <f t="shared" si="163"/>
        <v>0</v>
      </c>
      <c r="M351" s="411">
        <f t="shared" si="164"/>
        <v>0</v>
      </c>
      <c r="N351" s="411">
        <f t="shared" si="165"/>
        <v>0</v>
      </c>
      <c r="O351" s="411">
        <f t="shared" si="166"/>
        <v>0</v>
      </c>
      <c r="P351" s="413">
        <f t="shared" si="167"/>
        <v>0</v>
      </c>
      <c r="S351" s="78">
        <f t="shared" si="168"/>
        <v>0</v>
      </c>
      <c r="U351" s="411">
        <f>計分版!E$13</f>
        <v>1E-10</v>
      </c>
      <c r="V351" s="411">
        <f>計分版!F$13</f>
        <v>2.0000000000000001E-10</v>
      </c>
      <c r="W351" s="411">
        <f>計分版!G$13</f>
        <v>3E-10</v>
      </c>
      <c r="X351" s="411">
        <f>計分版!H$13</f>
        <v>4.0000000000000001E-10</v>
      </c>
      <c r="Y351" s="411">
        <f>計分版!I$13</f>
        <v>5.0000000000000003E-10</v>
      </c>
      <c r="Z351" s="411">
        <f>計分版!J$13</f>
        <v>6E-10</v>
      </c>
      <c r="AA351" s="411">
        <f>計分版!K$13</f>
        <v>6.9999999999999996E-10</v>
      </c>
      <c r="AB351" s="411">
        <f>計分版!L$13</f>
        <v>8.0000000000000003E-10</v>
      </c>
      <c r="AC351" s="411">
        <f>計分版!M$13</f>
        <v>8.9999999999999999E-10</v>
      </c>
      <c r="AD351" s="411">
        <f>計分版!N$13</f>
        <v>9.5000000000000003E-10</v>
      </c>
      <c r="AF351" s="413" t="s">
        <v>2308</v>
      </c>
      <c r="AG351" s="413" t="s">
        <v>2309</v>
      </c>
      <c r="AH351" s="413" t="s">
        <v>2308</v>
      </c>
    </row>
    <row r="352" spans="1:34">
      <c r="A352" s="2" t="s">
        <v>1131</v>
      </c>
      <c r="B352" s="2" t="s">
        <v>1132</v>
      </c>
      <c r="C352" s="2" t="s">
        <v>189</v>
      </c>
      <c r="E352" s="419">
        <v>3</v>
      </c>
      <c r="F352" s="419">
        <v>3</v>
      </c>
      <c r="G352" s="419">
        <v>2</v>
      </c>
      <c r="H352" s="419">
        <v>2</v>
      </c>
      <c r="I352" s="419">
        <v>2</v>
      </c>
      <c r="J352" s="419"/>
      <c r="L352" s="411">
        <f t="shared" si="163"/>
        <v>0</v>
      </c>
      <c r="M352" s="411">
        <f t="shared" si="164"/>
        <v>0</v>
      </c>
      <c r="N352" s="411">
        <f t="shared" si="165"/>
        <v>0</v>
      </c>
      <c r="O352" s="411">
        <f t="shared" si="166"/>
        <v>0</v>
      </c>
      <c r="P352" s="413">
        <f t="shared" si="167"/>
        <v>0</v>
      </c>
      <c r="S352" s="78">
        <f t="shared" si="168"/>
        <v>0</v>
      </c>
      <c r="U352" s="411">
        <f>計分版!E$13</f>
        <v>1E-10</v>
      </c>
      <c r="V352" s="411">
        <f>計分版!F$13</f>
        <v>2.0000000000000001E-10</v>
      </c>
      <c r="W352" s="411">
        <f>計分版!G$13</f>
        <v>3E-10</v>
      </c>
      <c r="X352" s="411">
        <f>計分版!H$13</f>
        <v>4.0000000000000001E-10</v>
      </c>
      <c r="Y352" s="411">
        <f>計分版!I$13</f>
        <v>5.0000000000000003E-10</v>
      </c>
      <c r="Z352" s="411">
        <f>計分版!J$13</f>
        <v>6E-10</v>
      </c>
      <c r="AA352" s="411">
        <f>計分版!K$13</f>
        <v>6.9999999999999996E-10</v>
      </c>
      <c r="AB352" s="411">
        <f>計分版!L$13</f>
        <v>8.0000000000000003E-10</v>
      </c>
      <c r="AC352" s="411">
        <f>計分版!M$13</f>
        <v>8.9999999999999999E-10</v>
      </c>
      <c r="AD352" s="411">
        <f>計分版!N$13</f>
        <v>9.5000000000000003E-10</v>
      </c>
      <c r="AF352" s="413" t="s">
        <v>2308</v>
      </c>
      <c r="AG352" s="413" t="s">
        <v>2309</v>
      </c>
      <c r="AH352" s="413" t="s">
        <v>2308</v>
      </c>
    </row>
    <row r="353" spans="1:46">
      <c r="A353" s="2" t="s">
        <v>1134</v>
      </c>
      <c r="B353" s="2" t="s">
        <v>1135</v>
      </c>
      <c r="C353" s="2" t="s">
        <v>189</v>
      </c>
      <c r="E353" s="419">
        <v>3</v>
      </c>
      <c r="F353" s="419">
        <v>3</v>
      </c>
      <c r="G353" s="419">
        <v>2</v>
      </c>
      <c r="H353" s="419">
        <v>2</v>
      </c>
      <c r="I353" s="419">
        <v>2</v>
      </c>
      <c r="J353" s="419"/>
      <c r="L353" s="411">
        <f t="shared" si="163"/>
        <v>0</v>
      </c>
      <c r="M353" s="411">
        <f t="shared" si="164"/>
        <v>0</v>
      </c>
      <c r="N353" s="411">
        <f t="shared" si="165"/>
        <v>0</v>
      </c>
      <c r="O353" s="411">
        <f t="shared" si="166"/>
        <v>0</v>
      </c>
      <c r="P353" s="413">
        <f t="shared" si="167"/>
        <v>0</v>
      </c>
      <c r="S353" s="78">
        <f t="shared" si="168"/>
        <v>0</v>
      </c>
      <c r="U353" s="411">
        <f>計分版!E$13</f>
        <v>1E-10</v>
      </c>
      <c r="V353" s="411">
        <f>計分版!F$13</f>
        <v>2.0000000000000001E-10</v>
      </c>
      <c r="W353" s="411">
        <f>計分版!G$13</f>
        <v>3E-10</v>
      </c>
      <c r="X353" s="411">
        <f>計分版!H$13</f>
        <v>4.0000000000000001E-10</v>
      </c>
      <c r="Y353" s="411">
        <f>計分版!I$13</f>
        <v>5.0000000000000003E-10</v>
      </c>
      <c r="Z353" s="411">
        <f>計分版!J$13</f>
        <v>6E-10</v>
      </c>
      <c r="AA353" s="411">
        <f>計分版!K$13</f>
        <v>6.9999999999999996E-10</v>
      </c>
      <c r="AB353" s="411">
        <f>計分版!L$13</f>
        <v>8.0000000000000003E-10</v>
      </c>
      <c r="AC353" s="411">
        <f>計分版!M$13</f>
        <v>8.9999999999999999E-10</v>
      </c>
      <c r="AD353" s="411">
        <f>計分版!N$13</f>
        <v>9.5000000000000003E-10</v>
      </c>
      <c r="AF353" s="413" t="s">
        <v>2308</v>
      </c>
      <c r="AG353" s="413" t="s">
        <v>2309</v>
      </c>
      <c r="AH353" s="413" t="s">
        <v>2308</v>
      </c>
    </row>
    <row r="354" spans="1:46">
      <c r="A354" s="2" t="s">
        <v>1294</v>
      </c>
      <c r="B354" s="2" t="s">
        <v>1298</v>
      </c>
      <c r="C354" s="2" t="s">
        <v>1155</v>
      </c>
      <c r="E354" s="419">
        <v>3</v>
      </c>
      <c r="F354" s="419">
        <v>3</v>
      </c>
      <c r="G354" s="419">
        <v>2</v>
      </c>
      <c r="H354" s="419">
        <v>2</v>
      </c>
      <c r="I354" s="419">
        <v>2</v>
      </c>
      <c r="J354" s="419"/>
      <c r="L354" s="411">
        <f t="shared" si="163"/>
        <v>0</v>
      </c>
      <c r="M354" s="411">
        <f t="shared" si="164"/>
        <v>0</v>
      </c>
      <c r="N354" s="411">
        <f t="shared" si="165"/>
        <v>0</v>
      </c>
      <c r="O354" s="411">
        <f t="shared" si="166"/>
        <v>0</v>
      </c>
      <c r="P354" s="413">
        <f t="shared" si="167"/>
        <v>0</v>
      </c>
      <c r="S354" s="122">
        <f t="shared" si="168"/>
        <v>0</v>
      </c>
      <c r="U354" s="411">
        <f>計分版!E$13</f>
        <v>1E-10</v>
      </c>
      <c r="V354" s="411">
        <f>計分版!F$13</f>
        <v>2.0000000000000001E-10</v>
      </c>
      <c r="W354" s="411">
        <f>計分版!G$13</f>
        <v>3E-10</v>
      </c>
      <c r="X354" s="411">
        <f>計分版!H$13</f>
        <v>4.0000000000000001E-10</v>
      </c>
      <c r="Y354" s="411">
        <f>計分版!I$13</f>
        <v>5.0000000000000003E-10</v>
      </c>
      <c r="Z354" s="411">
        <f>計分版!J$13</f>
        <v>6E-10</v>
      </c>
      <c r="AA354" s="411">
        <f>計分版!K$13</f>
        <v>6.9999999999999996E-10</v>
      </c>
      <c r="AB354" s="411">
        <f>計分版!L$13</f>
        <v>8.0000000000000003E-10</v>
      </c>
      <c r="AC354" s="411">
        <f>計分版!M$13</f>
        <v>8.9999999999999999E-10</v>
      </c>
      <c r="AD354" s="411">
        <f>計分版!N$13</f>
        <v>9.5000000000000003E-10</v>
      </c>
      <c r="AF354" s="413" t="s">
        <v>2308</v>
      </c>
      <c r="AG354" s="413" t="s">
        <v>2309</v>
      </c>
      <c r="AH354" s="413" t="s">
        <v>2308</v>
      </c>
    </row>
    <row r="355" spans="1:46">
      <c r="A355" s="2" t="s">
        <v>1296</v>
      </c>
      <c r="B355" s="2" t="s">
        <v>1300</v>
      </c>
      <c r="C355" s="2" t="s">
        <v>1155</v>
      </c>
      <c r="E355" s="419">
        <v>3</v>
      </c>
      <c r="F355" s="419">
        <v>3</v>
      </c>
      <c r="G355" s="419">
        <v>2</v>
      </c>
      <c r="H355" s="419">
        <v>2</v>
      </c>
      <c r="I355" s="419">
        <v>2</v>
      </c>
      <c r="J355" s="419"/>
      <c r="L355" s="411">
        <f t="shared" si="163"/>
        <v>0</v>
      </c>
      <c r="M355" s="411">
        <f t="shared" si="164"/>
        <v>0</v>
      </c>
      <c r="N355" s="411">
        <f t="shared" si="165"/>
        <v>0</v>
      </c>
      <c r="O355" s="411">
        <f t="shared" si="166"/>
        <v>0</v>
      </c>
      <c r="P355" s="413">
        <f>IF(I355&gt;LARGE(Y355:AD355,1),0,1)</f>
        <v>0</v>
      </c>
      <c r="S355" s="122">
        <f t="shared" si="168"/>
        <v>0</v>
      </c>
      <c r="T355" s="122"/>
      <c r="U355" s="411">
        <f>計分版!E$13</f>
        <v>1E-10</v>
      </c>
      <c r="V355" s="411">
        <f>計分版!F$13</f>
        <v>2.0000000000000001E-10</v>
      </c>
      <c r="W355" s="411">
        <f>計分版!G$13</f>
        <v>3E-10</v>
      </c>
      <c r="X355" s="411">
        <f>計分版!H$13</f>
        <v>4.0000000000000001E-10</v>
      </c>
      <c r="Y355" s="411">
        <f>計分版!I$13</f>
        <v>5.0000000000000003E-10</v>
      </c>
      <c r="Z355" s="411">
        <f>計分版!J$13</f>
        <v>6E-10</v>
      </c>
      <c r="AA355" s="411">
        <f>計分版!K$13</f>
        <v>6.9999999999999996E-10</v>
      </c>
      <c r="AB355" s="411">
        <f>計分版!L$13</f>
        <v>8.0000000000000003E-10</v>
      </c>
      <c r="AC355" s="411">
        <f>計分版!M$13</f>
        <v>8.9999999999999999E-10</v>
      </c>
      <c r="AD355" s="411">
        <f>計分版!N$13</f>
        <v>9.5000000000000003E-10</v>
      </c>
      <c r="AF355" s="413" t="s">
        <v>2308</v>
      </c>
      <c r="AG355" s="413" t="s">
        <v>2309</v>
      </c>
      <c r="AH355" s="413" t="s">
        <v>2308</v>
      </c>
    </row>
    <row r="356" spans="1:46">
      <c r="A356" s="2" t="s">
        <v>1137</v>
      </c>
      <c r="B356" s="2" t="s">
        <v>1138</v>
      </c>
      <c r="C356" s="2" t="s">
        <v>1155</v>
      </c>
      <c r="E356" s="419">
        <v>3</v>
      </c>
      <c r="F356" s="419">
        <v>3</v>
      </c>
      <c r="G356" s="419">
        <v>2</v>
      </c>
      <c r="H356" s="419">
        <v>2</v>
      </c>
      <c r="I356" s="419">
        <v>2</v>
      </c>
      <c r="J356" s="419"/>
      <c r="L356" s="411">
        <f t="shared" si="163"/>
        <v>0</v>
      </c>
      <c r="M356" s="411">
        <f t="shared" si="164"/>
        <v>0</v>
      </c>
      <c r="N356" s="411">
        <f t="shared" si="165"/>
        <v>0</v>
      </c>
      <c r="O356" s="411">
        <f t="shared" si="166"/>
        <v>0</v>
      </c>
      <c r="P356" s="413">
        <f t="shared" si="167"/>
        <v>0</v>
      </c>
      <c r="S356" s="122">
        <f t="shared" si="168"/>
        <v>0</v>
      </c>
      <c r="T356" s="122"/>
      <c r="U356" s="411">
        <f>計分版!E$13</f>
        <v>1E-10</v>
      </c>
      <c r="V356" s="411">
        <f>計分版!F$13</f>
        <v>2.0000000000000001E-10</v>
      </c>
      <c r="W356" s="411">
        <f>計分版!G$13</f>
        <v>3E-10</v>
      </c>
      <c r="X356" s="411">
        <f>計分版!H$13</f>
        <v>4.0000000000000001E-10</v>
      </c>
      <c r="Y356" s="411">
        <f>計分版!I$13</f>
        <v>5.0000000000000003E-10</v>
      </c>
      <c r="Z356" s="411">
        <f>計分版!J$13</f>
        <v>6E-10</v>
      </c>
      <c r="AA356" s="411">
        <f>計分版!K$13</f>
        <v>6.9999999999999996E-10</v>
      </c>
      <c r="AB356" s="411">
        <f>計分版!L$13</f>
        <v>8.0000000000000003E-10</v>
      </c>
      <c r="AC356" s="411">
        <f>計分版!M$13</f>
        <v>8.9999999999999999E-10</v>
      </c>
      <c r="AD356" s="411">
        <f>計分版!N$13</f>
        <v>9.5000000000000003E-10</v>
      </c>
      <c r="AF356" s="413" t="s">
        <v>2308</v>
      </c>
      <c r="AG356" s="413" t="s">
        <v>2309</v>
      </c>
      <c r="AH356" s="413" t="s">
        <v>2308</v>
      </c>
    </row>
    <row r="357" spans="1:46">
      <c r="A357" s="2" t="s">
        <v>1306</v>
      </c>
      <c r="B357" s="2" t="s">
        <v>1302</v>
      </c>
      <c r="C357" s="2" t="s">
        <v>1155</v>
      </c>
      <c r="E357" s="419">
        <v>3</v>
      </c>
      <c r="F357" s="419">
        <v>3</v>
      </c>
      <c r="G357" s="419">
        <v>2</v>
      </c>
      <c r="H357" s="419">
        <v>2</v>
      </c>
      <c r="I357" s="419">
        <v>2</v>
      </c>
      <c r="J357" s="419"/>
      <c r="L357" s="411">
        <f t="shared" si="163"/>
        <v>0</v>
      </c>
      <c r="M357" s="411">
        <f t="shared" si="164"/>
        <v>0</v>
      </c>
      <c r="N357" s="411">
        <f t="shared" si="165"/>
        <v>0</v>
      </c>
      <c r="O357" s="411">
        <f t="shared" si="166"/>
        <v>0</v>
      </c>
      <c r="P357" s="122">
        <f>IF(I357&gt;LARGE(Y357:AD357,1),0,IF(計分版!$T$371=0,2,1))</f>
        <v>0</v>
      </c>
      <c r="S357" s="122">
        <f t="shared" si="168"/>
        <v>0</v>
      </c>
      <c r="U357" s="411">
        <f>計分版!E$13</f>
        <v>1E-10</v>
      </c>
      <c r="V357" s="411">
        <f>計分版!F$13</f>
        <v>2.0000000000000001E-10</v>
      </c>
      <c r="W357" s="411">
        <f>計分版!G$13</f>
        <v>3E-10</v>
      </c>
      <c r="X357" s="411">
        <f>計分版!H$13</f>
        <v>4.0000000000000001E-10</v>
      </c>
      <c r="Y357" s="411">
        <f>計分版!I$13</f>
        <v>5.0000000000000003E-10</v>
      </c>
      <c r="Z357" s="411">
        <f>計分版!J$13</f>
        <v>6E-10</v>
      </c>
      <c r="AA357" s="411">
        <f>計分版!K$13</f>
        <v>6.9999999999999996E-10</v>
      </c>
      <c r="AB357" s="411">
        <f>計分版!L$13</f>
        <v>8.0000000000000003E-10</v>
      </c>
      <c r="AC357" s="411">
        <f>計分版!M$13</f>
        <v>8.9999999999999999E-10</v>
      </c>
      <c r="AD357" s="411">
        <f>計分版!N$13</f>
        <v>9.5000000000000003E-10</v>
      </c>
      <c r="AF357" s="413" t="s">
        <v>2308</v>
      </c>
      <c r="AG357" s="413" t="s">
        <v>2309</v>
      </c>
      <c r="AH357" s="413" t="s">
        <v>2308</v>
      </c>
    </row>
    <row r="358" spans="1:46">
      <c r="A358" s="2" t="s">
        <v>1308</v>
      </c>
      <c r="B358" s="2" t="s">
        <v>1304</v>
      </c>
      <c r="C358" s="2" t="s">
        <v>1155</v>
      </c>
      <c r="E358" s="419">
        <v>3</v>
      </c>
      <c r="F358" s="419">
        <v>3</v>
      </c>
      <c r="G358" s="419">
        <v>2</v>
      </c>
      <c r="H358" s="419">
        <v>2</v>
      </c>
      <c r="I358" s="419">
        <v>2</v>
      </c>
      <c r="J358" s="419"/>
      <c r="L358" s="411">
        <f t="shared" si="163"/>
        <v>0</v>
      </c>
      <c r="M358" s="411">
        <f t="shared" si="164"/>
        <v>0</v>
      </c>
      <c r="N358" s="411">
        <f t="shared" si="165"/>
        <v>0</v>
      </c>
      <c r="O358" s="411">
        <f t="shared" si="166"/>
        <v>0</v>
      </c>
      <c r="P358" s="413">
        <f>IF(I358&gt;LARGE(Y358:AD358,1),0,IF(計分版!$T$371=0,2,1))</f>
        <v>0</v>
      </c>
      <c r="S358" s="122">
        <f t="shared" si="168"/>
        <v>0</v>
      </c>
      <c r="T358" s="122"/>
      <c r="U358" s="411">
        <f>計分版!E$13</f>
        <v>1E-10</v>
      </c>
      <c r="V358" s="411">
        <f>計分版!F$13</f>
        <v>2.0000000000000001E-10</v>
      </c>
      <c r="W358" s="411">
        <f>計分版!G$13</f>
        <v>3E-10</v>
      </c>
      <c r="X358" s="411">
        <f>計分版!H$13</f>
        <v>4.0000000000000001E-10</v>
      </c>
      <c r="Y358" s="411">
        <f>計分版!I$13</f>
        <v>5.0000000000000003E-10</v>
      </c>
      <c r="Z358" s="411">
        <f>計分版!J$13</f>
        <v>6E-10</v>
      </c>
      <c r="AA358" s="411">
        <f>計分版!K$13</f>
        <v>6.9999999999999996E-10</v>
      </c>
      <c r="AB358" s="411">
        <f>計分版!L$13</f>
        <v>8.0000000000000003E-10</v>
      </c>
      <c r="AC358" s="411">
        <f>計分版!M$13</f>
        <v>8.9999999999999999E-10</v>
      </c>
      <c r="AD358" s="411">
        <f>計分版!N$13</f>
        <v>9.5000000000000003E-10</v>
      </c>
      <c r="AF358" s="413" t="s">
        <v>2308</v>
      </c>
      <c r="AG358" s="413" t="s">
        <v>2309</v>
      </c>
      <c r="AH358" s="413" t="s">
        <v>2308</v>
      </c>
    </row>
    <row r="359" spans="1:46">
      <c r="A359" s="2" t="s">
        <v>1140</v>
      </c>
      <c r="B359" s="2" t="s">
        <v>1141</v>
      </c>
      <c r="C359" s="2" t="s">
        <v>1155</v>
      </c>
      <c r="E359" s="419">
        <v>3</v>
      </c>
      <c r="F359" s="419">
        <v>3</v>
      </c>
      <c r="G359" s="419">
        <v>2</v>
      </c>
      <c r="H359" s="419">
        <v>2</v>
      </c>
      <c r="I359" s="419">
        <v>2</v>
      </c>
      <c r="J359" s="419"/>
      <c r="L359" s="411">
        <f t="shared" si="163"/>
        <v>0</v>
      </c>
      <c r="M359" s="411">
        <f t="shared" si="164"/>
        <v>0</v>
      </c>
      <c r="N359" s="411">
        <f t="shared" si="165"/>
        <v>0</v>
      </c>
      <c r="O359" s="411">
        <f t="shared" si="166"/>
        <v>0</v>
      </c>
      <c r="P359" s="413">
        <f t="shared" ref="P359:P360" si="169">IF(I359&gt;LARGE(Y359:AD359,1),0,1)</f>
        <v>0</v>
      </c>
      <c r="S359" s="78">
        <f t="shared" si="168"/>
        <v>0</v>
      </c>
      <c r="T359" s="122"/>
      <c r="U359" s="411">
        <f>計分版!E$13</f>
        <v>1E-10</v>
      </c>
      <c r="V359" s="411">
        <f>計分版!F$13</f>
        <v>2.0000000000000001E-10</v>
      </c>
      <c r="W359" s="411">
        <f>計分版!G$13</f>
        <v>3E-10</v>
      </c>
      <c r="X359" s="411">
        <f>計分版!H$13</f>
        <v>4.0000000000000001E-10</v>
      </c>
      <c r="Y359" s="411">
        <f>計分版!I$13</f>
        <v>5.0000000000000003E-10</v>
      </c>
      <c r="Z359" s="411">
        <f>計分版!J$13</f>
        <v>6E-10</v>
      </c>
      <c r="AA359" s="411">
        <f>計分版!K$13</f>
        <v>6.9999999999999996E-10</v>
      </c>
      <c r="AB359" s="411">
        <f>計分版!L$13</f>
        <v>8.0000000000000003E-10</v>
      </c>
      <c r="AC359" s="411">
        <f>計分版!M$13</f>
        <v>8.9999999999999999E-10</v>
      </c>
      <c r="AD359" s="411">
        <f>計分版!N$13</f>
        <v>9.5000000000000003E-10</v>
      </c>
      <c r="AF359" s="413" t="s">
        <v>2308</v>
      </c>
      <c r="AG359" s="413" t="s">
        <v>2309</v>
      </c>
      <c r="AH359" s="413" t="s">
        <v>2308</v>
      </c>
    </row>
    <row r="360" spans="1:46">
      <c r="A360" s="2" t="s">
        <v>1143</v>
      </c>
      <c r="B360" s="2" t="s">
        <v>1144</v>
      </c>
      <c r="C360" s="2" t="s">
        <v>1155</v>
      </c>
      <c r="E360" s="419">
        <v>3</v>
      </c>
      <c r="F360" s="419">
        <v>3</v>
      </c>
      <c r="G360" s="419">
        <v>2</v>
      </c>
      <c r="H360" s="419">
        <v>2</v>
      </c>
      <c r="I360" s="419">
        <v>2</v>
      </c>
      <c r="J360" s="419"/>
      <c r="L360" s="411">
        <f t="shared" si="163"/>
        <v>0</v>
      </c>
      <c r="M360" s="411">
        <f t="shared" si="164"/>
        <v>0</v>
      </c>
      <c r="N360" s="411">
        <f t="shared" si="165"/>
        <v>0</v>
      </c>
      <c r="O360" s="411">
        <f t="shared" si="166"/>
        <v>0</v>
      </c>
      <c r="P360" s="413">
        <f t="shared" si="169"/>
        <v>0</v>
      </c>
      <c r="S360" s="78">
        <f t="shared" si="168"/>
        <v>0</v>
      </c>
      <c r="U360" s="411">
        <f>計分版!E$13</f>
        <v>1E-10</v>
      </c>
      <c r="V360" s="411">
        <f>計分版!F$13</f>
        <v>2.0000000000000001E-10</v>
      </c>
      <c r="W360" s="411">
        <f>計分版!G$13</f>
        <v>3E-10</v>
      </c>
      <c r="X360" s="411">
        <f>計分版!H$13</f>
        <v>4.0000000000000001E-10</v>
      </c>
      <c r="Y360" s="411">
        <f>計分版!I$13</f>
        <v>5.0000000000000003E-10</v>
      </c>
      <c r="Z360" s="411">
        <f>計分版!J$13</f>
        <v>6E-10</v>
      </c>
      <c r="AA360" s="411">
        <f>計分版!K$13</f>
        <v>6.9999999999999996E-10</v>
      </c>
      <c r="AB360" s="411">
        <f>計分版!L$13</f>
        <v>8.0000000000000003E-10</v>
      </c>
      <c r="AC360" s="411">
        <f>計分版!M$13</f>
        <v>8.9999999999999999E-10</v>
      </c>
      <c r="AD360" s="411">
        <f>計分版!N$13</f>
        <v>9.5000000000000003E-10</v>
      </c>
      <c r="AF360" s="413" t="s">
        <v>2308</v>
      </c>
      <c r="AG360" s="413" t="s">
        <v>2309</v>
      </c>
      <c r="AH360" s="413" t="s">
        <v>2308</v>
      </c>
    </row>
    <row r="361" spans="1:46">
      <c r="E361" s="419"/>
      <c r="F361" s="419"/>
      <c r="G361" s="419"/>
      <c r="H361" s="419"/>
      <c r="I361" s="419"/>
      <c r="J361" s="419"/>
    </row>
    <row r="362" spans="1:46" s="174" customFormat="1">
      <c r="A362" s="15" t="s">
        <v>1833</v>
      </c>
      <c r="E362" s="419"/>
      <c r="F362" s="419"/>
      <c r="G362" s="419"/>
      <c r="H362" s="419"/>
      <c r="I362" s="419"/>
      <c r="J362" s="419"/>
      <c r="S362" s="258"/>
      <c r="T362" s="258"/>
      <c r="U362" s="411"/>
      <c r="V362" s="411"/>
      <c r="W362" s="411"/>
      <c r="X362" s="411"/>
      <c r="Y362" s="411"/>
      <c r="Z362" s="411"/>
      <c r="AA362" s="411"/>
      <c r="AB362" s="411"/>
      <c r="AC362" s="411"/>
      <c r="AD362" s="411"/>
      <c r="AE362" s="182"/>
      <c r="AF362" s="413"/>
      <c r="AG362" s="413"/>
      <c r="AH362" s="413"/>
      <c r="AI362" s="413"/>
      <c r="AJ362" s="413"/>
      <c r="AK362" s="413"/>
      <c r="AL362" s="413"/>
      <c r="AM362" s="413"/>
    </row>
    <row r="363" spans="1:46">
      <c r="A363" s="12" t="s">
        <v>203</v>
      </c>
      <c r="B363" s="12" t="s">
        <v>367</v>
      </c>
      <c r="C363" s="12" t="s">
        <v>204</v>
      </c>
      <c r="D363" s="257" t="s">
        <v>361</v>
      </c>
      <c r="E363" s="422" t="s">
        <v>369</v>
      </c>
      <c r="F363" s="422" t="s">
        <v>370</v>
      </c>
      <c r="G363" s="422" t="s">
        <v>371</v>
      </c>
      <c r="H363" s="422" t="s">
        <v>372</v>
      </c>
      <c r="I363" s="422" t="s">
        <v>373</v>
      </c>
      <c r="J363" s="422"/>
      <c r="K363" s="258"/>
      <c r="L363" s="257" t="s">
        <v>369</v>
      </c>
      <c r="M363" s="257" t="s">
        <v>370</v>
      </c>
      <c r="N363" s="257" t="s">
        <v>371</v>
      </c>
      <c r="O363" s="257" t="s">
        <v>372</v>
      </c>
      <c r="P363" s="257" t="s">
        <v>373</v>
      </c>
      <c r="U363" s="415" t="s">
        <v>2</v>
      </c>
      <c r="V363" s="415" t="s">
        <v>1</v>
      </c>
      <c r="W363" s="415" t="s">
        <v>3</v>
      </c>
      <c r="X363" s="415" t="s">
        <v>4</v>
      </c>
      <c r="Y363" s="415" t="s">
        <v>63</v>
      </c>
      <c r="Z363" s="415" t="str">
        <f>主頁!$B$15</f>
        <v>請選擇第一選修科</v>
      </c>
      <c r="AA363" s="415" t="str">
        <f>主頁!$B$16</f>
        <v>請選擇第二選修科</v>
      </c>
      <c r="AB363" s="415" t="str">
        <f>主頁!$B$17</f>
        <v>請選擇第三選修科</v>
      </c>
      <c r="AC363" s="415" t="str">
        <f>主頁!$B$18</f>
        <v>請選擇第四選修科</v>
      </c>
      <c r="AD363" s="416" t="str">
        <f>主頁!$B$19</f>
        <v>請選擇語言科目</v>
      </c>
      <c r="AE363" s="417" t="s">
        <v>360</v>
      </c>
      <c r="AF363" s="425" t="s">
        <v>2305</v>
      </c>
      <c r="AG363" s="425" t="s">
        <v>2306</v>
      </c>
      <c r="AH363" s="425" t="s">
        <v>2307</v>
      </c>
      <c r="AI363" s="425"/>
      <c r="AJ363" s="425"/>
      <c r="AK363" s="425"/>
      <c r="AL363" s="425"/>
      <c r="AM363" s="425"/>
      <c r="AN363" s="174"/>
      <c r="AO363" s="174"/>
      <c r="AP363" s="174"/>
      <c r="AQ363" s="174"/>
      <c r="AR363" s="174"/>
      <c r="AS363" s="174"/>
      <c r="AT363" s="174"/>
    </row>
    <row r="364" spans="1:46">
      <c r="A364" s="2" t="s">
        <v>1164</v>
      </c>
      <c r="B364" s="26" t="s">
        <v>1227</v>
      </c>
      <c r="E364" s="419">
        <v>3</v>
      </c>
      <c r="F364" s="419">
        <v>3</v>
      </c>
      <c r="G364" s="419">
        <v>2</v>
      </c>
      <c r="H364" s="419">
        <v>2</v>
      </c>
      <c r="I364" s="419">
        <v>2</v>
      </c>
      <c r="J364" s="419"/>
      <c r="L364" s="411">
        <f t="shared" ref="L364" si="170">IF(E364&gt;U364,0,1)</f>
        <v>0</v>
      </c>
      <c r="M364" s="411">
        <f t="shared" ref="M364" si="171">IF(F364&gt;V364,0,1)</f>
        <v>0</v>
      </c>
      <c r="N364" s="411">
        <f t="shared" ref="N364" si="172">IF(G364&gt;W364,0,1)</f>
        <v>0</v>
      </c>
      <c r="O364" s="411">
        <f t="shared" ref="O364" si="173">IF(H364&gt;X364,0,1)</f>
        <v>0</v>
      </c>
      <c r="P364" s="78">
        <f>IF(I364&gt;LARGE(Z364:AC364,1),0,IF(計分版!T377=0,2,1))</f>
        <v>0</v>
      </c>
      <c r="S364" s="78">
        <f>L364*M364*N364*O364*P364</f>
        <v>0</v>
      </c>
      <c r="U364" s="411">
        <f>計分版!E$13</f>
        <v>1E-10</v>
      </c>
      <c r="V364" s="411">
        <f>計分版!F$13</f>
        <v>2.0000000000000001E-10</v>
      </c>
      <c r="W364" s="411">
        <f>計分版!G$13</f>
        <v>3E-10</v>
      </c>
      <c r="X364" s="411">
        <f>計分版!H$13</f>
        <v>4.0000000000000001E-10</v>
      </c>
      <c r="Y364" s="411">
        <f>計分版!I$13</f>
        <v>5.0000000000000003E-10</v>
      </c>
      <c r="Z364" s="411">
        <f>計分版!J$13</f>
        <v>6E-10</v>
      </c>
      <c r="AA364" s="411">
        <f>計分版!K$13</f>
        <v>6.9999999999999996E-10</v>
      </c>
      <c r="AB364" s="411">
        <f>計分版!L$13</f>
        <v>8.0000000000000003E-10</v>
      </c>
      <c r="AC364" s="411">
        <f>計分版!M$13</f>
        <v>8.9999999999999999E-10</v>
      </c>
      <c r="AD364" s="425">
        <f>計分版!N$13</f>
        <v>9.5000000000000003E-10</v>
      </c>
      <c r="AF364" s="425"/>
      <c r="AG364" s="425"/>
      <c r="AH364" s="425"/>
      <c r="AI364" s="425"/>
      <c r="AJ364" s="425"/>
      <c r="AK364" s="425"/>
      <c r="AL364" s="425"/>
      <c r="AM364" s="425"/>
      <c r="AN364" s="174"/>
      <c r="AO364" s="174"/>
      <c r="AP364" s="174"/>
      <c r="AQ364" s="174"/>
      <c r="AR364" s="174"/>
      <c r="AS364" s="174"/>
      <c r="AT364" s="174"/>
    </row>
    <row r="365" spans="1:46">
      <c r="A365" s="2" t="s">
        <v>1165</v>
      </c>
      <c r="B365" s="26" t="s">
        <v>1228</v>
      </c>
      <c r="E365" s="419">
        <v>3</v>
      </c>
      <c r="F365" s="419">
        <v>3</v>
      </c>
      <c r="G365" s="419">
        <v>2</v>
      </c>
      <c r="H365" s="419">
        <v>2</v>
      </c>
      <c r="I365" s="419">
        <v>2</v>
      </c>
      <c r="J365" s="419"/>
      <c r="L365" s="411">
        <f t="shared" ref="L365:L390" si="174">IF(E365&gt;U365,0,1)</f>
        <v>0</v>
      </c>
      <c r="M365" s="411">
        <f t="shared" ref="M365:M378" si="175">IF(F365&gt;V365,0,1)</f>
        <v>0</v>
      </c>
      <c r="N365" s="411">
        <f t="shared" ref="N365:N378" si="176">IF(G365&gt;W365,0,1)</f>
        <v>0</v>
      </c>
      <c r="O365" s="411">
        <f t="shared" ref="O365:O378" si="177">IF(H365&gt;X365,0,1)</f>
        <v>0</v>
      </c>
      <c r="P365" s="78">
        <f>IF(I365&gt;LARGE(Y365:AC365,1),0,1)</f>
        <v>0</v>
      </c>
      <c r="S365" s="252">
        <f t="shared" ref="S365:S408" si="178">L365*M365*N365*O365*P365</f>
        <v>0</v>
      </c>
      <c r="T365" s="185"/>
      <c r="U365" s="411">
        <f>計分版!E$13</f>
        <v>1E-10</v>
      </c>
      <c r="V365" s="411">
        <f>計分版!F$13</f>
        <v>2.0000000000000001E-10</v>
      </c>
      <c r="W365" s="411">
        <f>計分版!G$13</f>
        <v>3E-10</v>
      </c>
      <c r="X365" s="411">
        <f>計分版!H$13</f>
        <v>4.0000000000000001E-10</v>
      </c>
      <c r="Y365" s="411">
        <f>計分版!I$13</f>
        <v>5.0000000000000003E-10</v>
      </c>
      <c r="Z365" s="411">
        <f>計分版!J$13</f>
        <v>6E-10</v>
      </c>
      <c r="AA365" s="411">
        <f>計分版!K$13</f>
        <v>6.9999999999999996E-10</v>
      </c>
      <c r="AB365" s="411">
        <f>計分版!L$13</f>
        <v>8.0000000000000003E-10</v>
      </c>
      <c r="AC365" s="411">
        <f>計分版!M$13</f>
        <v>8.9999999999999999E-10</v>
      </c>
      <c r="AD365" s="425">
        <f>計分版!N$13</f>
        <v>9.5000000000000003E-10</v>
      </c>
      <c r="AF365" s="425" t="s">
        <v>2308</v>
      </c>
      <c r="AG365" s="425"/>
      <c r="AH365" s="425" t="s">
        <v>2308</v>
      </c>
      <c r="AI365" s="425"/>
      <c r="AJ365" s="425"/>
      <c r="AK365" s="425"/>
      <c r="AL365" s="425"/>
      <c r="AM365" s="425"/>
      <c r="AN365" s="174"/>
      <c r="AO365" s="174"/>
      <c r="AP365" s="174"/>
      <c r="AQ365" s="174"/>
      <c r="AR365" s="174"/>
      <c r="AS365" s="174"/>
      <c r="AT365" s="174"/>
    </row>
    <row r="366" spans="1:46">
      <c r="A366" s="13" t="s">
        <v>1313</v>
      </c>
      <c r="B366" s="13" t="s">
        <v>1314</v>
      </c>
      <c r="C366" s="13"/>
      <c r="D366" s="134"/>
      <c r="E366" s="419">
        <v>3</v>
      </c>
      <c r="F366" s="419">
        <v>3</v>
      </c>
      <c r="G366" s="419">
        <v>2</v>
      </c>
      <c r="H366" s="419">
        <v>2</v>
      </c>
      <c r="I366" s="419">
        <v>2</v>
      </c>
      <c r="J366" s="424"/>
      <c r="K366" s="136"/>
      <c r="L366" s="411">
        <f t="shared" si="174"/>
        <v>0</v>
      </c>
      <c r="M366" s="411">
        <f>IF(F366&gt;V366,0,IF(V366&lt;4,2,1))</f>
        <v>0</v>
      </c>
      <c r="N366" s="411">
        <f t="shared" si="176"/>
        <v>0</v>
      </c>
      <c r="O366" s="411">
        <f t="shared" si="177"/>
        <v>0</v>
      </c>
      <c r="P366" s="123">
        <f>IF(I366&gt;LARGE(Y366:AC366,1),0,IF(計分版!T379=0,2,1))</f>
        <v>0</v>
      </c>
      <c r="Q366" s="19"/>
      <c r="R366" s="19"/>
      <c r="S366" s="252">
        <f t="shared" si="178"/>
        <v>0</v>
      </c>
      <c r="T366" s="185"/>
      <c r="U366" s="411">
        <f>計分版!E$13</f>
        <v>1E-10</v>
      </c>
      <c r="V366" s="411">
        <f>計分版!F$13</f>
        <v>2.0000000000000001E-10</v>
      </c>
      <c r="W366" s="411">
        <f>計分版!G$13</f>
        <v>3E-10</v>
      </c>
      <c r="X366" s="411">
        <f>計分版!H$13</f>
        <v>4.0000000000000001E-10</v>
      </c>
      <c r="Y366" s="411">
        <f>計分版!I$13</f>
        <v>5.0000000000000003E-10</v>
      </c>
      <c r="Z366" s="411">
        <f>計分版!J$13</f>
        <v>6E-10</v>
      </c>
      <c r="AA366" s="411">
        <f>計分版!K$13</f>
        <v>6.9999999999999996E-10</v>
      </c>
      <c r="AB366" s="411">
        <f>計分版!L$13</f>
        <v>8.0000000000000003E-10</v>
      </c>
      <c r="AC366" s="411">
        <f>計分版!M$13</f>
        <v>8.9999999999999999E-10</v>
      </c>
      <c r="AD366" s="425">
        <f>計分版!N$13</f>
        <v>9.5000000000000003E-10</v>
      </c>
      <c r="AF366" s="425" t="s">
        <v>2308</v>
      </c>
      <c r="AG366" s="425"/>
      <c r="AH366" s="425"/>
      <c r="AI366" s="425"/>
      <c r="AJ366" s="425"/>
      <c r="AK366" s="425"/>
      <c r="AL366" s="425"/>
      <c r="AM366" s="425"/>
      <c r="AN366" s="174"/>
      <c r="AO366" s="174"/>
      <c r="AP366" s="174"/>
      <c r="AQ366" s="174"/>
      <c r="AR366" s="174"/>
      <c r="AS366" s="174"/>
      <c r="AT366" s="174"/>
    </row>
    <row r="367" spans="1:46" s="135" customFormat="1" ht="13.5" customHeight="1">
      <c r="A367" s="13" t="s">
        <v>1315</v>
      </c>
      <c r="B367" s="13" t="s">
        <v>1316</v>
      </c>
      <c r="C367" s="13"/>
      <c r="D367" s="134"/>
      <c r="E367" s="419">
        <v>3</v>
      </c>
      <c r="F367" s="419">
        <v>3</v>
      </c>
      <c r="G367" s="419">
        <v>2</v>
      </c>
      <c r="H367" s="419">
        <v>2</v>
      </c>
      <c r="I367" s="419">
        <v>2</v>
      </c>
      <c r="J367" s="424"/>
      <c r="K367" s="136"/>
      <c r="L367" s="411">
        <f t="shared" si="174"/>
        <v>0</v>
      </c>
      <c r="M367" s="411">
        <f t="shared" si="175"/>
        <v>0</v>
      </c>
      <c r="N367" s="411">
        <f t="shared" si="176"/>
        <v>0</v>
      </c>
      <c r="O367" s="411">
        <f t="shared" si="177"/>
        <v>0</v>
      </c>
      <c r="P367" s="123">
        <f>IF(I367&gt;LARGE(Y367:AC367,1),0,1)</f>
        <v>0</v>
      </c>
      <c r="Q367" s="19"/>
      <c r="R367" s="19"/>
      <c r="S367" s="252">
        <f t="shared" si="178"/>
        <v>0</v>
      </c>
      <c r="T367" s="106"/>
      <c r="U367" s="411">
        <f>計分版!E$13</f>
        <v>1E-10</v>
      </c>
      <c r="V367" s="411">
        <f>計分版!F$13</f>
        <v>2.0000000000000001E-10</v>
      </c>
      <c r="W367" s="411">
        <f>計分版!G$13</f>
        <v>3E-10</v>
      </c>
      <c r="X367" s="411">
        <f>計分版!H$13</f>
        <v>4.0000000000000001E-10</v>
      </c>
      <c r="Y367" s="411">
        <f>計分版!I$13</f>
        <v>5.0000000000000003E-10</v>
      </c>
      <c r="Z367" s="411">
        <f>計分版!J$13</f>
        <v>6E-10</v>
      </c>
      <c r="AA367" s="411">
        <f>計分版!K$13</f>
        <v>6.9999999999999996E-10</v>
      </c>
      <c r="AB367" s="411">
        <f>計分版!L$13</f>
        <v>8.0000000000000003E-10</v>
      </c>
      <c r="AC367" s="411">
        <f>計分版!M$13</f>
        <v>8.9999999999999999E-10</v>
      </c>
      <c r="AD367" s="425">
        <f>計分版!N$13</f>
        <v>9.5000000000000003E-10</v>
      </c>
      <c r="AE367" s="182"/>
      <c r="AF367" s="425" t="s">
        <v>2308</v>
      </c>
      <c r="AG367" s="182"/>
      <c r="AH367" s="425"/>
      <c r="AI367" s="182"/>
      <c r="AJ367" s="182"/>
      <c r="AK367" s="182"/>
      <c r="AL367" s="182"/>
      <c r="AM367" s="182"/>
      <c r="AN367" s="179"/>
      <c r="AO367" s="179"/>
      <c r="AP367" s="179"/>
      <c r="AQ367" s="179"/>
      <c r="AR367" s="427"/>
      <c r="AS367" s="427"/>
      <c r="AT367" s="427"/>
    </row>
    <row r="368" spans="1:46" s="135" customFormat="1" ht="13.5" customHeight="1">
      <c r="A368" s="2" t="s">
        <v>1166</v>
      </c>
      <c r="B368" s="26" t="s">
        <v>1229</v>
      </c>
      <c r="C368" s="2"/>
      <c r="D368" s="2"/>
      <c r="E368" s="419">
        <v>3</v>
      </c>
      <c r="F368" s="419">
        <v>3</v>
      </c>
      <c r="G368" s="419">
        <v>2</v>
      </c>
      <c r="H368" s="419">
        <v>2</v>
      </c>
      <c r="I368" s="419">
        <v>2</v>
      </c>
      <c r="J368" s="419"/>
      <c r="K368" s="2"/>
      <c r="L368" s="411">
        <f t="shared" si="174"/>
        <v>0</v>
      </c>
      <c r="M368" s="411">
        <f t="shared" si="175"/>
        <v>0</v>
      </c>
      <c r="N368" s="411">
        <f t="shared" si="176"/>
        <v>0</v>
      </c>
      <c r="O368" s="411">
        <f t="shared" si="177"/>
        <v>0</v>
      </c>
      <c r="P368" s="78">
        <f>IF(I368&gt;LARGE(Y368:AD368,1),0,1)</f>
        <v>0</v>
      </c>
      <c r="Q368" s="2"/>
      <c r="R368" s="2"/>
      <c r="S368" s="252">
        <f t="shared" si="178"/>
        <v>0</v>
      </c>
      <c r="T368" s="106"/>
      <c r="U368" s="411">
        <f>計分版!E$13</f>
        <v>1E-10</v>
      </c>
      <c r="V368" s="411">
        <f>計分版!F$13</f>
        <v>2.0000000000000001E-10</v>
      </c>
      <c r="W368" s="411">
        <f>計分版!G$13</f>
        <v>3E-10</v>
      </c>
      <c r="X368" s="411">
        <f>計分版!H$13</f>
        <v>4.0000000000000001E-10</v>
      </c>
      <c r="Y368" s="411">
        <f>計分版!I$13</f>
        <v>5.0000000000000003E-10</v>
      </c>
      <c r="Z368" s="411">
        <f>計分版!J$13</f>
        <v>6E-10</v>
      </c>
      <c r="AA368" s="411">
        <f>計分版!K$13</f>
        <v>6.9999999999999996E-10</v>
      </c>
      <c r="AB368" s="411">
        <f>計分版!L$13</f>
        <v>8.0000000000000003E-10</v>
      </c>
      <c r="AC368" s="411">
        <f>計分版!M$13</f>
        <v>8.9999999999999999E-10</v>
      </c>
      <c r="AD368" s="425">
        <f>計分版!N$13</f>
        <v>9.5000000000000003E-10</v>
      </c>
      <c r="AE368" s="182"/>
      <c r="AF368" s="425" t="s">
        <v>2308</v>
      </c>
      <c r="AG368" s="182" t="s">
        <v>2309</v>
      </c>
      <c r="AH368" s="425"/>
      <c r="AI368" s="182"/>
      <c r="AJ368" s="182"/>
      <c r="AK368" s="182"/>
      <c r="AL368" s="182"/>
      <c r="AM368" s="182"/>
      <c r="AN368" s="179"/>
      <c r="AO368" s="179"/>
      <c r="AP368" s="179"/>
      <c r="AQ368" s="179"/>
      <c r="AR368" s="427"/>
      <c r="AS368" s="427"/>
      <c r="AT368" s="427"/>
    </row>
    <row r="369" spans="1:46">
      <c r="A369" s="2" t="s">
        <v>1168</v>
      </c>
      <c r="B369" s="26" t="s">
        <v>1230</v>
      </c>
      <c r="E369" s="419">
        <v>3</v>
      </c>
      <c r="F369" s="419">
        <v>3</v>
      </c>
      <c r="G369" s="419">
        <v>2</v>
      </c>
      <c r="H369" s="419">
        <v>2</v>
      </c>
      <c r="I369" s="419">
        <v>2</v>
      </c>
      <c r="J369" s="419"/>
      <c r="L369" s="411">
        <f t="shared" si="174"/>
        <v>0</v>
      </c>
      <c r="M369" s="411">
        <f t="shared" si="175"/>
        <v>0</v>
      </c>
      <c r="N369" s="411">
        <f t="shared" si="176"/>
        <v>0</v>
      </c>
      <c r="O369" s="411">
        <f t="shared" si="177"/>
        <v>0</v>
      </c>
      <c r="P369" s="425">
        <f t="shared" ref="P369:P370" si="179">IF(I369&gt;LARGE(Y369:AD369,1),0,1)</f>
        <v>0</v>
      </c>
      <c r="S369" s="252">
        <f t="shared" si="178"/>
        <v>0</v>
      </c>
      <c r="T369" s="185"/>
      <c r="U369" s="411">
        <f>計分版!E$13</f>
        <v>1E-10</v>
      </c>
      <c r="V369" s="411">
        <f>計分版!F$13</f>
        <v>2.0000000000000001E-10</v>
      </c>
      <c r="W369" s="411">
        <f>計分版!G$13</f>
        <v>3E-10</v>
      </c>
      <c r="X369" s="411">
        <f>計分版!H$13</f>
        <v>4.0000000000000001E-10</v>
      </c>
      <c r="Y369" s="411">
        <f>計分版!I$13</f>
        <v>5.0000000000000003E-10</v>
      </c>
      <c r="Z369" s="411">
        <f>計分版!J$13</f>
        <v>6E-10</v>
      </c>
      <c r="AA369" s="411">
        <f>計分版!K$13</f>
        <v>6.9999999999999996E-10</v>
      </c>
      <c r="AB369" s="411">
        <f>計分版!L$13</f>
        <v>8.0000000000000003E-10</v>
      </c>
      <c r="AC369" s="411">
        <f>計分版!M$13</f>
        <v>8.9999999999999999E-10</v>
      </c>
      <c r="AD369" s="425">
        <f>計分版!N$13</f>
        <v>9.5000000000000003E-10</v>
      </c>
      <c r="AF369" s="425" t="s">
        <v>2308</v>
      </c>
      <c r="AG369" s="425" t="s">
        <v>2309</v>
      </c>
      <c r="AH369" s="425"/>
      <c r="AI369" s="425"/>
      <c r="AJ369" s="425"/>
      <c r="AK369" s="425"/>
      <c r="AL369" s="425"/>
      <c r="AM369" s="425"/>
      <c r="AN369" s="174"/>
      <c r="AO369" s="174"/>
      <c r="AP369" s="174"/>
      <c r="AQ369" s="174"/>
      <c r="AR369" s="174"/>
      <c r="AS369" s="174"/>
      <c r="AT369" s="174"/>
    </row>
    <row r="370" spans="1:46">
      <c r="A370" s="2" t="s">
        <v>1169</v>
      </c>
      <c r="B370" s="26" t="s">
        <v>1231</v>
      </c>
      <c r="E370" s="419">
        <v>3</v>
      </c>
      <c r="F370" s="419">
        <v>3</v>
      </c>
      <c r="G370" s="419">
        <v>2</v>
      </c>
      <c r="H370" s="419">
        <v>2</v>
      </c>
      <c r="I370" s="419">
        <v>2</v>
      </c>
      <c r="J370" s="419"/>
      <c r="L370" s="411">
        <f t="shared" si="174"/>
        <v>0</v>
      </c>
      <c r="M370" s="411">
        <f t="shared" si="175"/>
        <v>0</v>
      </c>
      <c r="N370" s="411">
        <f t="shared" si="176"/>
        <v>0</v>
      </c>
      <c r="O370" s="411">
        <f t="shared" si="177"/>
        <v>0</v>
      </c>
      <c r="P370" s="425">
        <f t="shared" si="179"/>
        <v>0</v>
      </c>
      <c r="S370" s="252">
        <f t="shared" si="178"/>
        <v>0</v>
      </c>
      <c r="T370" s="185"/>
      <c r="U370" s="411">
        <f>計分版!E$13</f>
        <v>1E-10</v>
      </c>
      <c r="V370" s="411">
        <f>計分版!F$13</f>
        <v>2.0000000000000001E-10</v>
      </c>
      <c r="W370" s="411">
        <f>計分版!G$13</f>
        <v>3E-10</v>
      </c>
      <c r="X370" s="411">
        <f>計分版!H$13</f>
        <v>4.0000000000000001E-10</v>
      </c>
      <c r="Y370" s="411">
        <f>計分版!I$13</f>
        <v>5.0000000000000003E-10</v>
      </c>
      <c r="Z370" s="411">
        <f>計分版!J$13</f>
        <v>6E-10</v>
      </c>
      <c r="AA370" s="411">
        <f>計分版!K$13</f>
        <v>6.9999999999999996E-10</v>
      </c>
      <c r="AB370" s="411">
        <f>計分版!L$13</f>
        <v>8.0000000000000003E-10</v>
      </c>
      <c r="AC370" s="411">
        <f>計分版!M$13</f>
        <v>8.9999999999999999E-10</v>
      </c>
      <c r="AD370" s="425">
        <f>計分版!N$13</f>
        <v>9.5000000000000003E-10</v>
      </c>
      <c r="AF370" s="425" t="s">
        <v>2308</v>
      </c>
      <c r="AG370" s="425" t="s">
        <v>2309</v>
      </c>
      <c r="AH370" s="425"/>
      <c r="AI370" s="425"/>
      <c r="AJ370" s="425"/>
      <c r="AK370" s="425"/>
      <c r="AL370" s="425"/>
      <c r="AM370" s="425"/>
      <c r="AN370" s="174"/>
      <c r="AO370" s="174"/>
      <c r="AP370" s="174"/>
      <c r="AQ370" s="174"/>
      <c r="AR370" s="174"/>
      <c r="AS370" s="174"/>
      <c r="AT370" s="174"/>
    </row>
    <row r="371" spans="1:46">
      <c r="A371" s="2" t="s">
        <v>1170</v>
      </c>
      <c r="B371" s="26" t="s">
        <v>1233</v>
      </c>
      <c r="E371" s="419">
        <v>3</v>
      </c>
      <c r="F371" s="419">
        <v>3</v>
      </c>
      <c r="G371" s="419">
        <v>2</v>
      </c>
      <c r="H371" s="419">
        <v>2</v>
      </c>
      <c r="I371" s="419">
        <v>2</v>
      </c>
      <c r="J371" s="419"/>
      <c r="L371" s="411">
        <f t="shared" si="174"/>
        <v>0</v>
      </c>
      <c r="M371" s="411">
        <f t="shared" si="175"/>
        <v>0</v>
      </c>
      <c r="N371" s="411">
        <f t="shared" si="176"/>
        <v>0</v>
      </c>
      <c r="O371" s="411">
        <f t="shared" si="177"/>
        <v>0</v>
      </c>
      <c r="P371" s="78">
        <f>IF(I371&gt;LARGE(Z371:AC371,1),0,1)</f>
        <v>0</v>
      </c>
      <c r="S371" s="252">
        <f t="shared" si="178"/>
        <v>0</v>
      </c>
      <c r="T371" s="185"/>
      <c r="U371" s="411">
        <f>計分版!E$13</f>
        <v>1E-10</v>
      </c>
      <c r="V371" s="411">
        <f>計分版!F$13</f>
        <v>2.0000000000000001E-10</v>
      </c>
      <c r="W371" s="411">
        <f>計分版!G$13</f>
        <v>3E-10</v>
      </c>
      <c r="X371" s="411">
        <f>計分版!H$13</f>
        <v>4.0000000000000001E-10</v>
      </c>
      <c r="Y371" s="411">
        <f>計分版!I$13</f>
        <v>5.0000000000000003E-10</v>
      </c>
      <c r="Z371" s="411">
        <f>計分版!J$13</f>
        <v>6E-10</v>
      </c>
      <c r="AA371" s="411">
        <f>計分版!K$13</f>
        <v>6.9999999999999996E-10</v>
      </c>
      <c r="AB371" s="411">
        <f>計分版!L$13</f>
        <v>8.0000000000000003E-10</v>
      </c>
      <c r="AC371" s="411">
        <f>計分版!M$13</f>
        <v>8.9999999999999999E-10</v>
      </c>
      <c r="AD371" s="425">
        <f>計分版!N$13</f>
        <v>9.5000000000000003E-10</v>
      </c>
      <c r="AF371" s="425"/>
      <c r="AG371" s="425"/>
      <c r="AH371" s="425"/>
      <c r="AI371" s="425"/>
      <c r="AJ371" s="425"/>
      <c r="AK371" s="425"/>
      <c r="AL371" s="425"/>
      <c r="AM371" s="425"/>
      <c r="AN371" s="174"/>
      <c r="AO371" s="174"/>
      <c r="AP371" s="174"/>
      <c r="AQ371" s="174"/>
      <c r="AR371" s="174"/>
      <c r="AS371" s="174"/>
      <c r="AT371" s="174"/>
    </row>
    <row r="372" spans="1:46">
      <c r="A372" s="2" t="s">
        <v>1171</v>
      </c>
      <c r="B372" s="26" t="s">
        <v>1234</v>
      </c>
      <c r="E372" s="419">
        <v>3</v>
      </c>
      <c r="F372" s="419">
        <v>3</v>
      </c>
      <c r="G372" s="419">
        <v>2</v>
      </c>
      <c r="H372" s="419">
        <v>2</v>
      </c>
      <c r="I372" s="419">
        <v>2</v>
      </c>
      <c r="J372" s="419"/>
      <c r="L372" s="411">
        <f t="shared" si="174"/>
        <v>0</v>
      </c>
      <c r="M372" s="411">
        <f t="shared" si="175"/>
        <v>0</v>
      </c>
      <c r="N372" s="411">
        <f t="shared" si="176"/>
        <v>0</v>
      </c>
      <c r="O372" s="411">
        <f t="shared" si="177"/>
        <v>0</v>
      </c>
      <c r="P372" s="425">
        <f t="shared" ref="P372:P376" si="180">IF(I372&gt;LARGE(Z372:AC372,1),0,1)</f>
        <v>0</v>
      </c>
      <c r="S372" s="252">
        <f t="shared" si="178"/>
        <v>0</v>
      </c>
      <c r="T372" s="185"/>
      <c r="U372" s="411">
        <f>計分版!E$13</f>
        <v>1E-10</v>
      </c>
      <c r="V372" s="411">
        <f>計分版!F$13</f>
        <v>2.0000000000000001E-10</v>
      </c>
      <c r="W372" s="411">
        <f>計分版!G$13</f>
        <v>3E-10</v>
      </c>
      <c r="X372" s="411">
        <f>計分版!H$13</f>
        <v>4.0000000000000001E-10</v>
      </c>
      <c r="Y372" s="411">
        <f>計分版!I$13</f>
        <v>5.0000000000000003E-10</v>
      </c>
      <c r="Z372" s="411">
        <f>計分版!J$13</f>
        <v>6E-10</v>
      </c>
      <c r="AA372" s="411">
        <f>計分版!K$13</f>
        <v>6.9999999999999996E-10</v>
      </c>
      <c r="AB372" s="411">
        <f>計分版!L$13</f>
        <v>8.0000000000000003E-10</v>
      </c>
      <c r="AC372" s="411">
        <f>計分版!M$13</f>
        <v>8.9999999999999999E-10</v>
      </c>
      <c r="AD372" s="425">
        <f>計分版!N$13</f>
        <v>9.5000000000000003E-10</v>
      </c>
      <c r="AF372" s="425"/>
      <c r="AG372" s="425"/>
      <c r="AH372" s="425"/>
      <c r="AI372" s="425"/>
      <c r="AJ372" s="425"/>
      <c r="AK372" s="425"/>
      <c r="AL372" s="425"/>
      <c r="AM372" s="425"/>
      <c r="AN372" s="174"/>
      <c r="AO372" s="174"/>
      <c r="AP372" s="174"/>
      <c r="AQ372" s="174"/>
      <c r="AR372" s="174"/>
      <c r="AS372" s="174"/>
      <c r="AT372" s="174"/>
    </row>
    <row r="373" spans="1:46">
      <c r="A373" s="2" t="s">
        <v>1172</v>
      </c>
      <c r="B373" s="26" t="s">
        <v>1235</v>
      </c>
      <c r="E373" s="419">
        <v>3</v>
      </c>
      <c r="F373" s="419">
        <v>3</v>
      </c>
      <c r="G373" s="419">
        <v>2</v>
      </c>
      <c r="H373" s="419">
        <v>2</v>
      </c>
      <c r="I373" s="419">
        <v>2</v>
      </c>
      <c r="J373" s="419"/>
      <c r="L373" s="411">
        <f t="shared" si="174"/>
        <v>0</v>
      </c>
      <c r="M373" s="411">
        <f t="shared" si="175"/>
        <v>0</v>
      </c>
      <c r="N373" s="411">
        <f t="shared" si="176"/>
        <v>0</v>
      </c>
      <c r="O373" s="411">
        <f t="shared" si="177"/>
        <v>0</v>
      </c>
      <c r="P373" s="425">
        <f>IF(I373&gt;LARGE(Z373:AC373,1),0,1)</f>
        <v>0</v>
      </c>
      <c r="S373" s="252">
        <f t="shared" si="178"/>
        <v>0</v>
      </c>
      <c r="T373" s="185"/>
      <c r="U373" s="411">
        <f>計分版!E$13</f>
        <v>1E-10</v>
      </c>
      <c r="V373" s="411">
        <f>計分版!F$13</f>
        <v>2.0000000000000001E-10</v>
      </c>
      <c r="W373" s="411">
        <f>計分版!G$13</f>
        <v>3E-10</v>
      </c>
      <c r="X373" s="411">
        <f>計分版!H$13</f>
        <v>4.0000000000000001E-10</v>
      </c>
      <c r="Y373" s="411">
        <f>計分版!I$13</f>
        <v>5.0000000000000003E-10</v>
      </c>
      <c r="Z373" s="411">
        <f>計分版!J$13</f>
        <v>6E-10</v>
      </c>
      <c r="AA373" s="411">
        <f>計分版!K$13</f>
        <v>6.9999999999999996E-10</v>
      </c>
      <c r="AB373" s="411">
        <f>計分版!L$13</f>
        <v>8.0000000000000003E-10</v>
      </c>
      <c r="AC373" s="411">
        <f>計分版!M$13</f>
        <v>8.9999999999999999E-10</v>
      </c>
      <c r="AD373" s="425">
        <f>計分版!N$13</f>
        <v>9.5000000000000003E-10</v>
      </c>
      <c r="AF373" s="425"/>
      <c r="AG373" s="425"/>
      <c r="AH373" s="425"/>
      <c r="AI373" s="425"/>
      <c r="AJ373" s="425"/>
      <c r="AK373" s="425"/>
      <c r="AL373" s="425"/>
      <c r="AM373" s="425"/>
      <c r="AN373" s="174"/>
      <c r="AO373" s="174"/>
      <c r="AP373" s="174"/>
      <c r="AQ373" s="174"/>
      <c r="AR373" s="174"/>
      <c r="AS373" s="174"/>
      <c r="AT373" s="174"/>
    </row>
    <row r="374" spans="1:46">
      <c r="A374" s="2" t="s">
        <v>1173</v>
      </c>
      <c r="B374" s="26" t="s">
        <v>1236</v>
      </c>
      <c r="E374" s="419">
        <v>3</v>
      </c>
      <c r="F374" s="419">
        <v>3</v>
      </c>
      <c r="G374" s="419">
        <v>2</v>
      </c>
      <c r="H374" s="419">
        <v>2</v>
      </c>
      <c r="I374" s="419">
        <v>2</v>
      </c>
      <c r="J374" s="419"/>
      <c r="L374" s="411">
        <f t="shared" si="174"/>
        <v>0</v>
      </c>
      <c r="M374" s="411">
        <f t="shared" si="175"/>
        <v>0</v>
      </c>
      <c r="N374" s="411">
        <f t="shared" si="176"/>
        <v>0</v>
      </c>
      <c r="O374" s="411">
        <f t="shared" si="177"/>
        <v>0</v>
      </c>
      <c r="P374" s="425">
        <f t="shared" si="180"/>
        <v>0</v>
      </c>
      <c r="S374" s="252">
        <f t="shared" si="178"/>
        <v>0</v>
      </c>
      <c r="T374" s="185"/>
      <c r="U374" s="411">
        <f>計分版!E$13</f>
        <v>1E-10</v>
      </c>
      <c r="V374" s="411">
        <f>計分版!F$13</f>
        <v>2.0000000000000001E-10</v>
      </c>
      <c r="W374" s="411">
        <f>計分版!G$13</f>
        <v>3E-10</v>
      </c>
      <c r="X374" s="411">
        <f>計分版!H$13</f>
        <v>4.0000000000000001E-10</v>
      </c>
      <c r="Y374" s="411">
        <f>計分版!I$13</f>
        <v>5.0000000000000003E-10</v>
      </c>
      <c r="Z374" s="411">
        <f>計分版!J$13</f>
        <v>6E-10</v>
      </c>
      <c r="AA374" s="411">
        <f>計分版!K$13</f>
        <v>6.9999999999999996E-10</v>
      </c>
      <c r="AB374" s="411">
        <f>計分版!L$13</f>
        <v>8.0000000000000003E-10</v>
      </c>
      <c r="AC374" s="411">
        <f>計分版!M$13</f>
        <v>8.9999999999999999E-10</v>
      </c>
      <c r="AD374" s="425">
        <f>計分版!N$13</f>
        <v>9.5000000000000003E-10</v>
      </c>
      <c r="AF374" s="425"/>
      <c r="AG374" s="425"/>
      <c r="AH374" s="425"/>
      <c r="AI374" s="425"/>
      <c r="AJ374" s="425"/>
      <c r="AK374" s="425"/>
      <c r="AL374" s="425"/>
      <c r="AM374" s="425"/>
      <c r="AN374" s="174"/>
      <c r="AO374" s="174"/>
      <c r="AP374" s="174"/>
      <c r="AQ374" s="174"/>
      <c r="AR374" s="174"/>
      <c r="AS374" s="174"/>
      <c r="AT374" s="174"/>
    </row>
    <row r="375" spans="1:46">
      <c r="A375" s="2" t="s">
        <v>1174</v>
      </c>
      <c r="B375" s="26" t="s">
        <v>1237</v>
      </c>
      <c r="E375" s="419">
        <v>3</v>
      </c>
      <c r="F375" s="419">
        <v>3</v>
      </c>
      <c r="G375" s="419">
        <v>2</v>
      </c>
      <c r="H375" s="419">
        <v>2</v>
      </c>
      <c r="I375" s="419">
        <v>2</v>
      </c>
      <c r="J375" s="419"/>
      <c r="L375" s="411">
        <f t="shared" si="174"/>
        <v>0</v>
      </c>
      <c r="M375" s="411">
        <f t="shared" si="175"/>
        <v>0</v>
      </c>
      <c r="N375" s="411">
        <f t="shared" si="176"/>
        <v>0</v>
      </c>
      <c r="O375" s="411">
        <f t="shared" si="177"/>
        <v>0</v>
      </c>
      <c r="P375" s="425">
        <f t="shared" si="180"/>
        <v>0</v>
      </c>
      <c r="S375" s="252">
        <f t="shared" si="178"/>
        <v>0</v>
      </c>
      <c r="T375" s="185"/>
      <c r="U375" s="411">
        <f>計分版!E$13</f>
        <v>1E-10</v>
      </c>
      <c r="V375" s="411">
        <f>計分版!F$13</f>
        <v>2.0000000000000001E-10</v>
      </c>
      <c r="W375" s="411">
        <f>計分版!G$13</f>
        <v>3E-10</v>
      </c>
      <c r="X375" s="411">
        <f>計分版!H$13</f>
        <v>4.0000000000000001E-10</v>
      </c>
      <c r="Y375" s="411">
        <f>計分版!I$13</f>
        <v>5.0000000000000003E-10</v>
      </c>
      <c r="Z375" s="411">
        <f>計分版!J$13</f>
        <v>6E-10</v>
      </c>
      <c r="AA375" s="411">
        <f>計分版!K$13</f>
        <v>6.9999999999999996E-10</v>
      </c>
      <c r="AB375" s="411">
        <f>計分版!L$13</f>
        <v>8.0000000000000003E-10</v>
      </c>
      <c r="AC375" s="411">
        <f>計分版!M$13</f>
        <v>8.9999999999999999E-10</v>
      </c>
      <c r="AD375" s="425">
        <f>計分版!N$13</f>
        <v>9.5000000000000003E-10</v>
      </c>
      <c r="AF375" s="425"/>
      <c r="AG375" s="425"/>
      <c r="AH375" s="425"/>
      <c r="AI375" s="425"/>
      <c r="AJ375" s="425"/>
      <c r="AK375" s="425"/>
      <c r="AL375" s="425"/>
      <c r="AM375" s="425"/>
      <c r="AN375" s="174"/>
      <c r="AO375" s="174"/>
      <c r="AP375" s="174"/>
      <c r="AQ375" s="174"/>
      <c r="AR375" s="174"/>
      <c r="AS375" s="174"/>
      <c r="AT375" s="174"/>
    </row>
    <row r="376" spans="1:46">
      <c r="A376" s="174" t="s">
        <v>1870</v>
      </c>
      <c r="B376" s="185" t="s">
        <v>1974</v>
      </c>
      <c r="C376" s="174"/>
      <c r="D376" s="174"/>
      <c r="E376" s="419">
        <v>3</v>
      </c>
      <c r="F376" s="419">
        <v>3</v>
      </c>
      <c r="G376" s="419">
        <v>2</v>
      </c>
      <c r="H376" s="419">
        <v>2</v>
      </c>
      <c r="I376" s="419">
        <v>2</v>
      </c>
      <c r="J376" s="419"/>
      <c r="K376" s="174"/>
      <c r="L376" s="411">
        <f t="shared" si="174"/>
        <v>0</v>
      </c>
      <c r="M376" s="411">
        <f>IF(F376&gt;V376,0,1)</f>
        <v>0</v>
      </c>
      <c r="N376" s="411">
        <f t="shared" si="176"/>
        <v>0</v>
      </c>
      <c r="O376" s="411">
        <f t="shared" si="177"/>
        <v>0</v>
      </c>
      <c r="P376" s="425">
        <f t="shared" si="180"/>
        <v>0</v>
      </c>
      <c r="Q376" s="174"/>
      <c r="R376" s="174"/>
      <c r="S376" s="252">
        <f t="shared" si="178"/>
        <v>0</v>
      </c>
      <c r="T376" s="185"/>
      <c r="U376" s="411">
        <f>計分版!E$13</f>
        <v>1E-10</v>
      </c>
      <c r="V376" s="411">
        <f>計分版!F$13</f>
        <v>2.0000000000000001E-10</v>
      </c>
      <c r="W376" s="411">
        <f>計分版!G$13</f>
        <v>3E-10</v>
      </c>
      <c r="X376" s="411">
        <f>計分版!H$13</f>
        <v>4.0000000000000001E-10</v>
      </c>
      <c r="Y376" s="411">
        <f>計分版!I$13</f>
        <v>5.0000000000000003E-10</v>
      </c>
      <c r="Z376" s="411">
        <f>計分版!J$13</f>
        <v>6E-10</v>
      </c>
      <c r="AA376" s="411">
        <f>計分版!K$13</f>
        <v>6.9999999999999996E-10</v>
      </c>
      <c r="AB376" s="411">
        <f>計分版!L$13</f>
        <v>8.0000000000000003E-10</v>
      </c>
      <c r="AC376" s="411">
        <f>計分版!M$13</f>
        <v>8.9999999999999999E-10</v>
      </c>
      <c r="AD376" s="425">
        <f>計分版!N$13</f>
        <v>9.5000000000000003E-10</v>
      </c>
      <c r="AF376" s="425"/>
      <c r="AG376" s="425"/>
      <c r="AH376" s="425"/>
      <c r="AI376" s="425"/>
      <c r="AJ376" s="425"/>
      <c r="AK376" s="425"/>
      <c r="AL376" s="425"/>
      <c r="AM376" s="425"/>
      <c r="AN376" s="174"/>
      <c r="AO376" s="174"/>
      <c r="AP376" s="174"/>
      <c r="AQ376" s="174"/>
      <c r="AR376" s="174"/>
      <c r="AS376" s="174"/>
      <c r="AT376" s="174"/>
    </row>
    <row r="377" spans="1:46" s="174" customFormat="1">
      <c r="A377" s="2" t="s">
        <v>1175</v>
      </c>
      <c r="B377" s="26" t="s">
        <v>1238</v>
      </c>
      <c r="C377" s="2"/>
      <c r="D377" s="2"/>
      <c r="E377" s="419">
        <v>3</v>
      </c>
      <c r="F377" s="419">
        <v>3</v>
      </c>
      <c r="G377" s="419">
        <v>2</v>
      </c>
      <c r="H377" s="419">
        <v>2</v>
      </c>
      <c r="I377" s="419">
        <v>2</v>
      </c>
      <c r="J377" s="419"/>
      <c r="K377" s="2"/>
      <c r="L377" s="411">
        <f t="shared" si="174"/>
        <v>0</v>
      </c>
      <c r="M377" s="411">
        <f t="shared" si="175"/>
        <v>0</v>
      </c>
      <c r="N377" s="411">
        <f t="shared" si="176"/>
        <v>0</v>
      </c>
      <c r="O377" s="411">
        <f t="shared" si="177"/>
        <v>0</v>
      </c>
      <c r="P377" s="252">
        <f>IF(I377&gt;LARGE(Z377:AC377,1),0,1)</f>
        <v>0</v>
      </c>
      <c r="Q377" s="2"/>
      <c r="R377" s="2"/>
      <c r="S377" s="252">
        <f t="shared" si="178"/>
        <v>0</v>
      </c>
      <c r="T377" s="185"/>
      <c r="U377" s="411">
        <f>計分版!E$13</f>
        <v>1E-10</v>
      </c>
      <c r="V377" s="411">
        <f>計分版!F$13</f>
        <v>2.0000000000000001E-10</v>
      </c>
      <c r="W377" s="411">
        <f>計分版!G$13</f>
        <v>3E-10</v>
      </c>
      <c r="X377" s="411">
        <f>計分版!H$13</f>
        <v>4.0000000000000001E-10</v>
      </c>
      <c r="Y377" s="411">
        <f>計分版!I$13</f>
        <v>5.0000000000000003E-10</v>
      </c>
      <c r="Z377" s="411">
        <f>計分版!J$13</f>
        <v>6E-10</v>
      </c>
      <c r="AA377" s="411">
        <f>計分版!K$13</f>
        <v>6.9999999999999996E-10</v>
      </c>
      <c r="AB377" s="411">
        <f>計分版!L$13</f>
        <v>8.0000000000000003E-10</v>
      </c>
      <c r="AC377" s="411">
        <f>計分版!M$13</f>
        <v>8.9999999999999999E-10</v>
      </c>
      <c r="AD377" s="425">
        <f>計分版!N$13</f>
        <v>9.5000000000000003E-10</v>
      </c>
      <c r="AE377" s="182"/>
      <c r="AF377" s="425"/>
      <c r="AG377" s="425"/>
      <c r="AH377" s="425"/>
      <c r="AI377" s="425"/>
      <c r="AJ377" s="425"/>
      <c r="AK377" s="425"/>
      <c r="AL377" s="425"/>
      <c r="AM377" s="425"/>
    </row>
    <row r="378" spans="1:46">
      <c r="A378" s="2" t="s">
        <v>1177</v>
      </c>
      <c r="B378" s="26" t="s">
        <v>1239</v>
      </c>
      <c r="E378" s="419">
        <v>3</v>
      </c>
      <c r="F378" s="419">
        <v>3</v>
      </c>
      <c r="G378" s="419">
        <v>2</v>
      </c>
      <c r="H378" s="419">
        <v>2</v>
      </c>
      <c r="I378" s="419">
        <v>2</v>
      </c>
      <c r="J378" s="419"/>
      <c r="L378" s="411">
        <f t="shared" si="174"/>
        <v>0</v>
      </c>
      <c r="M378" s="411">
        <f t="shared" si="175"/>
        <v>0</v>
      </c>
      <c r="N378" s="411">
        <f t="shared" si="176"/>
        <v>0</v>
      </c>
      <c r="O378" s="411">
        <f t="shared" si="177"/>
        <v>0</v>
      </c>
      <c r="P378" s="252">
        <f>IF(I378&gt;LARGE(Z378:AC378,1),0,IF(計分版!T391=0,2,1))</f>
        <v>0</v>
      </c>
      <c r="S378" s="252">
        <f t="shared" si="178"/>
        <v>0</v>
      </c>
      <c r="T378" s="185"/>
      <c r="U378" s="411">
        <f>計分版!E$13</f>
        <v>1E-10</v>
      </c>
      <c r="V378" s="411">
        <f>計分版!F$13</f>
        <v>2.0000000000000001E-10</v>
      </c>
      <c r="W378" s="411">
        <f>計分版!G$13</f>
        <v>3E-10</v>
      </c>
      <c r="X378" s="411">
        <f>計分版!H$13</f>
        <v>4.0000000000000001E-10</v>
      </c>
      <c r="Y378" s="411">
        <f>計分版!I$13</f>
        <v>5.0000000000000003E-10</v>
      </c>
      <c r="Z378" s="411">
        <f>計分版!J$13</f>
        <v>6E-10</v>
      </c>
      <c r="AA378" s="411">
        <f>計分版!K$13</f>
        <v>6.9999999999999996E-10</v>
      </c>
      <c r="AB378" s="411">
        <f>計分版!L$13</f>
        <v>8.0000000000000003E-10</v>
      </c>
      <c r="AC378" s="411">
        <f>計分版!M$13</f>
        <v>8.9999999999999999E-10</v>
      </c>
      <c r="AD378" s="425">
        <f>計分版!N$13</f>
        <v>9.5000000000000003E-10</v>
      </c>
      <c r="AF378" s="425"/>
      <c r="AG378" s="425"/>
      <c r="AH378" s="425"/>
      <c r="AI378" s="425"/>
      <c r="AJ378" s="425"/>
      <c r="AK378" s="425"/>
      <c r="AL378" s="425"/>
      <c r="AM378" s="425"/>
      <c r="AN378" s="174"/>
      <c r="AO378" s="174"/>
      <c r="AP378" s="174"/>
      <c r="AQ378" s="174"/>
      <c r="AR378" s="174"/>
      <c r="AS378" s="174"/>
      <c r="AT378" s="174"/>
    </row>
    <row r="379" spans="1:46">
      <c r="A379" s="2" t="s">
        <v>1178</v>
      </c>
      <c r="B379" s="26" t="s">
        <v>1240</v>
      </c>
      <c r="E379" s="419">
        <v>3</v>
      </c>
      <c r="F379" s="419">
        <v>3</v>
      </c>
      <c r="G379" s="419">
        <v>2</v>
      </c>
      <c r="H379" s="419">
        <v>2</v>
      </c>
      <c r="I379" s="419">
        <v>2</v>
      </c>
      <c r="J379" s="419"/>
      <c r="L379" s="411">
        <f t="shared" si="174"/>
        <v>0</v>
      </c>
      <c r="M379" s="367">
        <f>IF(F379&gt;V379,0,IF(V379&lt;4,2,1))</f>
        <v>0</v>
      </c>
      <c r="N379" s="252">
        <f>IF(G379&gt;W379,0,IF(W379&lt;3,2,1))</f>
        <v>0</v>
      </c>
      <c r="O379" s="367">
        <f>IF(H379&gt;X379,0,IF(X379&lt;3,2,1))</f>
        <v>0</v>
      </c>
      <c r="P379" s="252">
        <f>IF(計分版!T394=0,0,IF(計分版!T395=0,2,1))</f>
        <v>0</v>
      </c>
      <c r="S379" s="252">
        <f t="shared" si="178"/>
        <v>0</v>
      </c>
      <c r="T379" s="185"/>
      <c r="U379" s="411">
        <f>計分版!E$13</f>
        <v>1E-10</v>
      </c>
      <c r="V379" s="411">
        <f>計分版!F$13</f>
        <v>2.0000000000000001E-10</v>
      </c>
      <c r="W379" s="411">
        <f>計分版!G$13</f>
        <v>3E-10</v>
      </c>
      <c r="X379" s="411">
        <f>計分版!H$13</f>
        <v>4.0000000000000001E-10</v>
      </c>
      <c r="Y379" s="411">
        <f>計分版!I$13</f>
        <v>5.0000000000000003E-10</v>
      </c>
      <c r="Z379" s="411">
        <f>計分版!J$13</f>
        <v>6E-10</v>
      </c>
      <c r="AA379" s="411">
        <f>計分版!K$13</f>
        <v>6.9999999999999996E-10</v>
      </c>
      <c r="AB379" s="411">
        <f>計分版!L$13</f>
        <v>8.0000000000000003E-10</v>
      </c>
      <c r="AC379" s="411">
        <f>計分版!M$13</f>
        <v>8.9999999999999999E-10</v>
      </c>
      <c r="AD379" s="425">
        <f>計分版!N$13</f>
        <v>9.5000000000000003E-10</v>
      </c>
      <c r="AF379" s="425"/>
      <c r="AG379" s="425"/>
      <c r="AH379" s="425"/>
      <c r="AI379" s="425"/>
      <c r="AJ379" s="425"/>
      <c r="AK379" s="425"/>
      <c r="AL379" s="425"/>
      <c r="AM379" s="425"/>
      <c r="AN379" s="174"/>
      <c r="AO379" s="174"/>
      <c r="AP379" s="174"/>
      <c r="AQ379" s="174"/>
      <c r="AR379" s="174"/>
      <c r="AS379" s="174"/>
      <c r="AT379" s="174"/>
    </row>
    <row r="380" spans="1:46">
      <c r="A380" s="2" t="s">
        <v>1179</v>
      </c>
      <c r="B380" s="26" t="s">
        <v>1241</v>
      </c>
      <c r="E380" s="419">
        <v>3</v>
      </c>
      <c r="F380" s="419">
        <v>3</v>
      </c>
      <c r="G380" s="419">
        <v>2</v>
      </c>
      <c r="H380" s="419">
        <v>2</v>
      </c>
      <c r="I380" s="419">
        <v>2</v>
      </c>
      <c r="J380" s="419"/>
      <c r="L380" s="411">
        <f t="shared" ref="L380" si="181">IF(E380&gt;U380,0,1)</f>
        <v>0</v>
      </c>
      <c r="M380" s="411">
        <f>IF(F380&gt;計分版!F$13,0,1)</f>
        <v>0</v>
      </c>
      <c r="N380" s="411">
        <f>IF(G380&gt;計分版!G$13,0,1)</f>
        <v>0</v>
      </c>
      <c r="O380" s="411">
        <f>IF(H380&gt;計分版!H$13,0,1)</f>
        <v>0</v>
      </c>
      <c r="P380" s="378">
        <f>IF(I380&gt;LARGE(Z380:AC380,1),0,IF(計分版!T398=0,2,1))</f>
        <v>0</v>
      </c>
      <c r="S380" s="252">
        <f t="shared" si="178"/>
        <v>0</v>
      </c>
      <c r="T380" s="185"/>
      <c r="U380" s="411">
        <f>計分版!E$13</f>
        <v>1E-10</v>
      </c>
      <c r="V380" s="411">
        <f>計分版!F$13</f>
        <v>2.0000000000000001E-10</v>
      </c>
      <c r="W380" s="411">
        <f>計分版!G$13</f>
        <v>3E-10</v>
      </c>
      <c r="X380" s="411">
        <f>計分版!H$13</f>
        <v>4.0000000000000001E-10</v>
      </c>
      <c r="Y380" s="411">
        <f>計分版!I$13</f>
        <v>5.0000000000000003E-10</v>
      </c>
      <c r="Z380" s="411">
        <f>計分版!J$13</f>
        <v>6E-10</v>
      </c>
      <c r="AA380" s="411">
        <f>計分版!K$13</f>
        <v>6.9999999999999996E-10</v>
      </c>
      <c r="AB380" s="411">
        <f>計分版!L$13</f>
        <v>8.0000000000000003E-10</v>
      </c>
      <c r="AC380" s="411">
        <f>計分版!M$13</f>
        <v>8.9999999999999999E-10</v>
      </c>
      <c r="AD380" s="425">
        <f>計分版!N$13</f>
        <v>9.5000000000000003E-10</v>
      </c>
      <c r="AF380" s="425"/>
      <c r="AG380" s="425"/>
      <c r="AH380" s="425"/>
      <c r="AI380" s="425"/>
      <c r="AJ380" s="425"/>
      <c r="AK380" s="425"/>
      <c r="AL380" s="425"/>
      <c r="AM380" s="425"/>
      <c r="AN380" s="174"/>
      <c r="AO380" s="174"/>
      <c r="AP380" s="174"/>
      <c r="AQ380" s="174"/>
      <c r="AR380" s="174"/>
      <c r="AS380" s="174"/>
      <c r="AT380" s="174"/>
    </row>
    <row r="381" spans="1:46">
      <c r="A381" s="2" t="s">
        <v>1180</v>
      </c>
      <c r="B381" s="26" t="s">
        <v>1242</v>
      </c>
      <c r="E381" s="419">
        <v>3</v>
      </c>
      <c r="F381" s="419">
        <v>3</v>
      </c>
      <c r="G381" s="419">
        <v>2</v>
      </c>
      <c r="H381" s="419">
        <v>2</v>
      </c>
      <c r="I381" s="419">
        <v>2</v>
      </c>
      <c r="J381" s="419"/>
      <c r="L381" s="411">
        <f t="shared" si="174"/>
        <v>0</v>
      </c>
      <c r="M381" s="252">
        <f>IF(F381&gt;計分版!F$13,0,1)</f>
        <v>0</v>
      </c>
      <c r="N381" s="252">
        <f>IF(G381&gt;計分版!G$13,0,1)</f>
        <v>0</v>
      </c>
      <c r="O381" s="252">
        <f>IF(H381&gt;計分版!H$13,0,1)</f>
        <v>0</v>
      </c>
      <c r="P381" s="252">
        <f>IF(I381&gt;LARGE(Z381:AC381,1),0,1)</f>
        <v>0</v>
      </c>
      <c r="S381" s="252">
        <f t="shared" si="178"/>
        <v>0</v>
      </c>
      <c r="T381" s="185"/>
      <c r="U381" s="411">
        <f>計分版!E$13</f>
        <v>1E-10</v>
      </c>
      <c r="V381" s="411">
        <f>計分版!F$13</f>
        <v>2.0000000000000001E-10</v>
      </c>
      <c r="W381" s="411">
        <f>計分版!G$13</f>
        <v>3E-10</v>
      </c>
      <c r="X381" s="411">
        <f>計分版!H$13</f>
        <v>4.0000000000000001E-10</v>
      </c>
      <c r="Y381" s="411">
        <f>計分版!I$13</f>
        <v>5.0000000000000003E-10</v>
      </c>
      <c r="Z381" s="411">
        <f>計分版!J$13</f>
        <v>6E-10</v>
      </c>
      <c r="AA381" s="411">
        <f>計分版!K$13</f>
        <v>6.9999999999999996E-10</v>
      </c>
      <c r="AB381" s="411">
        <f>計分版!L$13</f>
        <v>8.0000000000000003E-10</v>
      </c>
      <c r="AC381" s="411">
        <f>計分版!M$13</f>
        <v>8.9999999999999999E-10</v>
      </c>
      <c r="AD381" s="425">
        <f>計分版!N$13</f>
        <v>9.5000000000000003E-10</v>
      </c>
      <c r="AF381" s="425"/>
      <c r="AG381" s="425"/>
      <c r="AH381" s="425"/>
      <c r="AI381" s="425"/>
      <c r="AJ381" s="425"/>
      <c r="AK381" s="425"/>
      <c r="AL381" s="425"/>
      <c r="AM381" s="425"/>
      <c r="AN381" s="174"/>
      <c r="AO381" s="174"/>
      <c r="AP381" s="174"/>
      <c r="AQ381" s="174"/>
      <c r="AR381" s="174"/>
      <c r="AS381" s="174"/>
      <c r="AT381" s="174"/>
    </row>
    <row r="382" spans="1:46">
      <c r="A382" s="2" t="s">
        <v>1181</v>
      </c>
      <c r="B382" s="26" t="s">
        <v>1183</v>
      </c>
      <c r="E382" s="419">
        <v>3</v>
      </c>
      <c r="F382" s="419">
        <v>3</v>
      </c>
      <c r="G382" s="419">
        <v>2</v>
      </c>
      <c r="H382" s="419">
        <v>2</v>
      </c>
      <c r="I382" s="419">
        <v>2</v>
      </c>
      <c r="J382" s="419"/>
      <c r="L382" s="411">
        <f t="shared" si="174"/>
        <v>0</v>
      </c>
      <c r="M382" s="411">
        <f t="shared" ref="M382:M407" si="182">IF(F382&gt;V382,0,1)</f>
        <v>0</v>
      </c>
      <c r="N382" s="411">
        <f t="shared" ref="N382:N407" si="183">IF(G382&gt;W382,0,1)</f>
        <v>0</v>
      </c>
      <c r="O382" s="411">
        <f t="shared" ref="O382:O407" si="184">IF(H382&gt;X382,0,1)</f>
        <v>0</v>
      </c>
      <c r="P382" s="252">
        <f>IF(I382&gt;LARGE(Y382:AD382,1),0,1)</f>
        <v>0</v>
      </c>
      <c r="S382" s="252">
        <f t="shared" si="178"/>
        <v>0</v>
      </c>
      <c r="T382" s="185"/>
      <c r="U382" s="411">
        <f>計分版!E$13</f>
        <v>1E-10</v>
      </c>
      <c r="V382" s="411">
        <f>計分版!F$13</f>
        <v>2.0000000000000001E-10</v>
      </c>
      <c r="W382" s="411">
        <f>計分版!G$13</f>
        <v>3E-10</v>
      </c>
      <c r="X382" s="411">
        <f>計分版!H$13</f>
        <v>4.0000000000000001E-10</v>
      </c>
      <c r="Y382" s="411">
        <f>計分版!I$13</f>
        <v>5.0000000000000003E-10</v>
      </c>
      <c r="Z382" s="411">
        <f>計分版!J$13</f>
        <v>6E-10</v>
      </c>
      <c r="AA382" s="411">
        <f>計分版!K$13</f>
        <v>6.9999999999999996E-10</v>
      </c>
      <c r="AB382" s="411">
        <f>計分版!L$13</f>
        <v>8.0000000000000003E-10</v>
      </c>
      <c r="AC382" s="411">
        <f>計分版!M$13</f>
        <v>8.9999999999999999E-10</v>
      </c>
      <c r="AD382" s="425">
        <f>計分版!N$13</f>
        <v>9.5000000000000003E-10</v>
      </c>
      <c r="AF382" s="425" t="s">
        <v>2308</v>
      </c>
      <c r="AG382" s="425" t="s">
        <v>2309</v>
      </c>
      <c r="AH382" s="425" t="s">
        <v>2308</v>
      </c>
      <c r="AI382" s="425"/>
      <c r="AJ382" s="425"/>
      <c r="AK382" s="425"/>
      <c r="AL382" s="425"/>
      <c r="AM382" s="425"/>
      <c r="AN382" s="174"/>
      <c r="AO382" s="174"/>
      <c r="AP382" s="174"/>
      <c r="AQ382" s="174"/>
      <c r="AR382" s="174"/>
      <c r="AS382" s="174"/>
      <c r="AT382" s="174"/>
    </row>
    <row r="383" spans="1:46">
      <c r="A383" s="2" t="s">
        <v>1184</v>
      </c>
      <c r="B383" s="26" t="s">
        <v>1185</v>
      </c>
      <c r="E383" s="419">
        <v>3</v>
      </c>
      <c r="F383" s="419">
        <v>3</v>
      </c>
      <c r="G383" s="419">
        <v>2</v>
      </c>
      <c r="H383" s="419">
        <v>2</v>
      </c>
      <c r="I383" s="419">
        <v>2</v>
      </c>
      <c r="J383" s="419"/>
      <c r="L383" s="411">
        <f t="shared" si="174"/>
        <v>0</v>
      </c>
      <c r="M383" s="411">
        <f t="shared" si="182"/>
        <v>0</v>
      </c>
      <c r="N383" s="411">
        <f t="shared" si="183"/>
        <v>0</v>
      </c>
      <c r="O383" s="411">
        <f t="shared" si="184"/>
        <v>0</v>
      </c>
      <c r="P383" s="425">
        <f t="shared" ref="P383:P395" si="185">IF(I383&gt;LARGE(Y383:AD383,1),0,1)</f>
        <v>0</v>
      </c>
      <c r="S383" s="252">
        <f t="shared" si="178"/>
        <v>0</v>
      </c>
      <c r="T383" s="185"/>
      <c r="U383" s="411">
        <f>計分版!E$13</f>
        <v>1E-10</v>
      </c>
      <c r="V383" s="411">
        <f>計分版!F$13</f>
        <v>2.0000000000000001E-10</v>
      </c>
      <c r="W383" s="411">
        <f>計分版!G$13</f>
        <v>3E-10</v>
      </c>
      <c r="X383" s="411">
        <f>計分版!H$13</f>
        <v>4.0000000000000001E-10</v>
      </c>
      <c r="Y383" s="411">
        <f>計分版!I$13</f>
        <v>5.0000000000000003E-10</v>
      </c>
      <c r="Z383" s="411">
        <f>計分版!J$13</f>
        <v>6E-10</v>
      </c>
      <c r="AA383" s="411">
        <f>計分版!K$13</f>
        <v>6.9999999999999996E-10</v>
      </c>
      <c r="AB383" s="411">
        <f>計分版!L$13</f>
        <v>8.0000000000000003E-10</v>
      </c>
      <c r="AC383" s="411">
        <f>計分版!M$13</f>
        <v>8.9999999999999999E-10</v>
      </c>
      <c r="AD383" s="425">
        <f>計分版!N$13</f>
        <v>9.5000000000000003E-10</v>
      </c>
      <c r="AF383" s="425" t="s">
        <v>2308</v>
      </c>
      <c r="AG383" s="425" t="s">
        <v>2309</v>
      </c>
      <c r="AH383" s="425" t="s">
        <v>2308</v>
      </c>
      <c r="AI383" s="425"/>
      <c r="AJ383" s="425"/>
      <c r="AK383" s="425"/>
      <c r="AL383" s="425"/>
      <c r="AM383" s="425"/>
      <c r="AN383" s="174"/>
      <c r="AO383" s="174"/>
      <c r="AP383" s="174"/>
      <c r="AQ383" s="174"/>
      <c r="AR383" s="174"/>
      <c r="AS383" s="174"/>
      <c r="AT383" s="174"/>
    </row>
    <row r="384" spans="1:46">
      <c r="A384" s="2" t="s">
        <v>1186</v>
      </c>
      <c r="B384" s="26" t="s">
        <v>1187</v>
      </c>
      <c r="E384" s="419">
        <v>3</v>
      </c>
      <c r="F384" s="419">
        <v>3</v>
      </c>
      <c r="G384" s="419">
        <v>2</v>
      </c>
      <c r="H384" s="419">
        <v>2</v>
      </c>
      <c r="I384" s="419">
        <v>2</v>
      </c>
      <c r="J384" s="419"/>
      <c r="L384" s="411">
        <f t="shared" si="174"/>
        <v>0</v>
      </c>
      <c r="M384" s="411">
        <f t="shared" si="182"/>
        <v>0</v>
      </c>
      <c r="N384" s="411">
        <f t="shared" si="183"/>
        <v>0</v>
      </c>
      <c r="O384" s="411">
        <f t="shared" si="184"/>
        <v>0</v>
      </c>
      <c r="P384" s="425">
        <f t="shared" si="185"/>
        <v>0</v>
      </c>
      <c r="S384" s="252">
        <f t="shared" si="178"/>
        <v>0</v>
      </c>
      <c r="T384" s="185"/>
      <c r="U384" s="411">
        <f>計分版!E$13</f>
        <v>1E-10</v>
      </c>
      <c r="V384" s="411">
        <f>計分版!F$13</f>
        <v>2.0000000000000001E-10</v>
      </c>
      <c r="W384" s="411">
        <f>計分版!G$13</f>
        <v>3E-10</v>
      </c>
      <c r="X384" s="411">
        <f>計分版!H$13</f>
        <v>4.0000000000000001E-10</v>
      </c>
      <c r="Y384" s="411">
        <f>計分版!I$13</f>
        <v>5.0000000000000003E-10</v>
      </c>
      <c r="Z384" s="411">
        <f>計分版!J$13</f>
        <v>6E-10</v>
      </c>
      <c r="AA384" s="411">
        <f>計分版!K$13</f>
        <v>6.9999999999999996E-10</v>
      </c>
      <c r="AB384" s="411">
        <f>計分版!L$13</f>
        <v>8.0000000000000003E-10</v>
      </c>
      <c r="AC384" s="411">
        <f>計分版!M$13</f>
        <v>8.9999999999999999E-10</v>
      </c>
      <c r="AD384" s="425">
        <f>計分版!N$13</f>
        <v>9.5000000000000003E-10</v>
      </c>
      <c r="AF384" s="425" t="s">
        <v>2308</v>
      </c>
      <c r="AG384" s="425" t="s">
        <v>2309</v>
      </c>
      <c r="AH384" s="425" t="s">
        <v>2308</v>
      </c>
      <c r="AI384" s="425"/>
      <c r="AJ384" s="425"/>
      <c r="AK384" s="425"/>
      <c r="AL384" s="425"/>
      <c r="AM384" s="425"/>
      <c r="AN384" s="174"/>
      <c r="AO384" s="174"/>
      <c r="AP384" s="174"/>
      <c r="AQ384" s="174"/>
      <c r="AR384" s="174"/>
      <c r="AS384" s="174"/>
      <c r="AT384" s="174"/>
    </row>
    <row r="385" spans="1:46">
      <c r="A385" s="2" t="s">
        <v>1188</v>
      </c>
      <c r="B385" s="26" t="s">
        <v>1189</v>
      </c>
      <c r="E385" s="419">
        <v>3</v>
      </c>
      <c r="F385" s="419">
        <v>3</v>
      </c>
      <c r="G385" s="419">
        <v>2</v>
      </c>
      <c r="H385" s="419">
        <v>2</v>
      </c>
      <c r="I385" s="419">
        <v>2</v>
      </c>
      <c r="J385" s="419"/>
      <c r="L385" s="411">
        <f t="shared" si="174"/>
        <v>0</v>
      </c>
      <c r="M385" s="411">
        <f t="shared" si="182"/>
        <v>0</v>
      </c>
      <c r="N385" s="411">
        <f t="shared" si="183"/>
        <v>0</v>
      </c>
      <c r="O385" s="411">
        <f t="shared" si="184"/>
        <v>0</v>
      </c>
      <c r="P385" s="425">
        <f t="shared" si="185"/>
        <v>0</v>
      </c>
      <c r="S385" s="252">
        <f t="shared" si="178"/>
        <v>0</v>
      </c>
      <c r="T385" s="185"/>
      <c r="U385" s="411">
        <f>計分版!E$13</f>
        <v>1E-10</v>
      </c>
      <c r="V385" s="411">
        <f>計分版!F$13</f>
        <v>2.0000000000000001E-10</v>
      </c>
      <c r="W385" s="411">
        <f>計分版!G$13</f>
        <v>3E-10</v>
      </c>
      <c r="X385" s="411">
        <f>計分版!H$13</f>
        <v>4.0000000000000001E-10</v>
      </c>
      <c r="Y385" s="411">
        <f>計分版!I$13</f>
        <v>5.0000000000000003E-10</v>
      </c>
      <c r="Z385" s="411">
        <f>計分版!J$13</f>
        <v>6E-10</v>
      </c>
      <c r="AA385" s="411">
        <f>計分版!K$13</f>
        <v>6.9999999999999996E-10</v>
      </c>
      <c r="AB385" s="411">
        <f>計分版!L$13</f>
        <v>8.0000000000000003E-10</v>
      </c>
      <c r="AC385" s="411">
        <f>計分版!M$13</f>
        <v>8.9999999999999999E-10</v>
      </c>
      <c r="AD385" s="425">
        <f>計分版!N$13</f>
        <v>9.5000000000000003E-10</v>
      </c>
      <c r="AF385" s="425" t="s">
        <v>2308</v>
      </c>
      <c r="AG385" s="425" t="s">
        <v>2309</v>
      </c>
      <c r="AH385" s="425" t="s">
        <v>2308</v>
      </c>
      <c r="AI385" s="425"/>
      <c r="AJ385" s="425"/>
      <c r="AK385" s="425"/>
      <c r="AL385" s="425"/>
      <c r="AM385" s="425"/>
      <c r="AN385" s="174"/>
      <c r="AO385" s="174"/>
      <c r="AP385" s="174"/>
      <c r="AQ385" s="174"/>
      <c r="AR385" s="174"/>
      <c r="AS385" s="174"/>
      <c r="AT385" s="174"/>
    </row>
    <row r="386" spans="1:46">
      <c r="A386" s="2" t="s">
        <v>1190</v>
      </c>
      <c r="B386" s="26" t="s">
        <v>1191</v>
      </c>
      <c r="E386" s="419">
        <v>3</v>
      </c>
      <c r="F386" s="419">
        <v>3</v>
      </c>
      <c r="G386" s="419">
        <v>2</v>
      </c>
      <c r="H386" s="419">
        <v>2</v>
      </c>
      <c r="I386" s="419">
        <v>2</v>
      </c>
      <c r="J386" s="419"/>
      <c r="L386" s="411">
        <f t="shared" si="174"/>
        <v>0</v>
      </c>
      <c r="M386" s="411">
        <f t="shared" si="182"/>
        <v>0</v>
      </c>
      <c r="N386" s="411">
        <f t="shared" si="183"/>
        <v>0</v>
      </c>
      <c r="O386" s="411">
        <f t="shared" si="184"/>
        <v>0</v>
      </c>
      <c r="P386" s="425">
        <f t="shared" si="185"/>
        <v>0</v>
      </c>
      <c r="S386" s="252">
        <f t="shared" si="178"/>
        <v>0</v>
      </c>
      <c r="T386" s="185"/>
      <c r="U386" s="411">
        <f>計分版!E$13</f>
        <v>1E-10</v>
      </c>
      <c r="V386" s="411">
        <f>計分版!F$13</f>
        <v>2.0000000000000001E-10</v>
      </c>
      <c r="W386" s="411">
        <f>計分版!G$13</f>
        <v>3E-10</v>
      </c>
      <c r="X386" s="411">
        <f>計分版!H$13</f>
        <v>4.0000000000000001E-10</v>
      </c>
      <c r="Y386" s="411">
        <f>計分版!I$13</f>
        <v>5.0000000000000003E-10</v>
      </c>
      <c r="Z386" s="411">
        <f>計分版!J$13</f>
        <v>6E-10</v>
      </c>
      <c r="AA386" s="411">
        <f>計分版!K$13</f>
        <v>6.9999999999999996E-10</v>
      </c>
      <c r="AB386" s="411">
        <f>計分版!L$13</f>
        <v>8.0000000000000003E-10</v>
      </c>
      <c r="AC386" s="411">
        <f>計分版!M$13</f>
        <v>8.9999999999999999E-10</v>
      </c>
      <c r="AD386" s="425">
        <f>計分版!N$13</f>
        <v>9.5000000000000003E-10</v>
      </c>
      <c r="AF386" s="425" t="s">
        <v>2308</v>
      </c>
      <c r="AG386" s="425" t="s">
        <v>2309</v>
      </c>
      <c r="AH386" s="425" t="s">
        <v>2308</v>
      </c>
      <c r="AI386" s="425"/>
      <c r="AJ386" s="425"/>
      <c r="AK386" s="425"/>
      <c r="AL386" s="425"/>
      <c r="AM386" s="425"/>
      <c r="AN386" s="174"/>
      <c r="AO386" s="174"/>
      <c r="AP386" s="174"/>
      <c r="AQ386" s="174"/>
      <c r="AR386" s="174"/>
      <c r="AS386" s="174"/>
      <c r="AT386" s="174"/>
    </row>
    <row r="387" spans="1:46">
      <c r="A387" s="2" t="s">
        <v>1904</v>
      </c>
      <c r="B387" s="26" t="s">
        <v>1976</v>
      </c>
      <c r="E387" s="419">
        <v>3</v>
      </c>
      <c r="F387" s="419">
        <v>3</v>
      </c>
      <c r="G387" s="419">
        <v>2</v>
      </c>
      <c r="H387" s="419">
        <v>2</v>
      </c>
      <c r="I387" s="419">
        <v>2</v>
      </c>
      <c r="J387" s="419"/>
      <c r="L387" s="411">
        <f t="shared" si="174"/>
        <v>0</v>
      </c>
      <c r="M387" s="411">
        <f t="shared" si="182"/>
        <v>0</v>
      </c>
      <c r="N387" s="411">
        <f t="shared" si="183"/>
        <v>0</v>
      </c>
      <c r="O387" s="411">
        <f t="shared" si="184"/>
        <v>0</v>
      </c>
      <c r="P387" s="425">
        <f t="shared" si="185"/>
        <v>0</v>
      </c>
      <c r="S387" s="252">
        <f t="shared" si="178"/>
        <v>0</v>
      </c>
      <c r="T387" s="185"/>
      <c r="U387" s="411">
        <f>計分版!E$13</f>
        <v>1E-10</v>
      </c>
      <c r="V387" s="411">
        <f>計分版!F$13</f>
        <v>2.0000000000000001E-10</v>
      </c>
      <c r="W387" s="411">
        <f>計分版!G$13</f>
        <v>3E-10</v>
      </c>
      <c r="X387" s="411">
        <f>計分版!H$13</f>
        <v>4.0000000000000001E-10</v>
      </c>
      <c r="Y387" s="411">
        <f>計分版!I$13</f>
        <v>5.0000000000000003E-10</v>
      </c>
      <c r="Z387" s="411">
        <f>計分版!J$13</f>
        <v>6E-10</v>
      </c>
      <c r="AA387" s="411">
        <f>計分版!K$13</f>
        <v>6.9999999999999996E-10</v>
      </c>
      <c r="AB387" s="411">
        <f>計分版!L$13</f>
        <v>8.0000000000000003E-10</v>
      </c>
      <c r="AC387" s="411">
        <f>計分版!M$13</f>
        <v>8.9999999999999999E-10</v>
      </c>
      <c r="AD387" s="425">
        <f>計分版!N$13</f>
        <v>9.5000000000000003E-10</v>
      </c>
      <c r="AF387" s="425" t="s">
        <v>2308</v>
      </c>
      <c r="AG387" s="425" t="s">
        <v>2309</v>
      </c>
      <c r="AH387" s="425" t="s">
        <v>2308</v>
      </c>
      <c r="AI387" s="425"/>
      <c r="AJ387" s="425"/>
      <c r="AK387" s="425"/>
      <c r="AL387" s="425"/>
      <c r="AM387" s="425"/>
      <c r="AN387" s="174"/>
      <c r="AO387" s="174"/>
      <c r="AP387" s="174"/>
      <c r="AQ387" s="174"/>
      <c r="AR387" s="174"/>
      <c r="AS387" s="174"/>
      <c r="AT387" s="174"/>
    </row>
    <row r="388" spans="1:46">
      <c r="A388" s="2" t="s">
        <v>1192</v>
      </c>
      <c r="B388" s="26" t="s">
        <v>1193</v>
      </c>
      <c r="E388" s="419">
        <v>3</v>
      </c>
      <c r="F388" s="419">
        <v>3</v>
      </c>
      <c r="G388" s="419">
        <v>2</v>
      </c>
      <c r="H388" s="419">
        <v>2</v>
      </c>
      <c r="I388" s="419">
        <v>2</v>
      </c>
      <c r="J388" s="419"/>
      <c r="L388" s="411">
        <f t="shared" si="174"/>
        <v>0</v>
      </c>
      <c r="M388" s="411">
        <f t="shared" si="182"/>
        <v>0</v>
      </c>
      <c r="N388" s="411">
        <f t="shared" si="183"/>
        <v>0</v>
      </c>
      <c r="O388" s="411">
        <f t="shared" si="184"/>
        <v>0</v>
      </c>
      <c r="P388" s="425">
        <f t="shared" si="185"/>
        <v>0</v>
      </c>
      <c r="S388" s="252">
        <f t="shared" si="178"/>
        <v>0</v>
      </c>
      <c r="T388" s="185"/>
      <c r="U388" s="411">
        <f>計分版!E$13</f>
        <v>1E-10</v>
      </c>
      <c r="V388" s="411">
        <f>計分版!F$13</f>
        <v>2.0000000000000001E-10</v>
      </c>
      <c r="W388" s="411">
        <f>計分版!G$13</f>
        <v>3E-10</v>
      </c>
      <c r="X388" s="411">
        <f>計分版!H$13</f>
        <v>4.0000000000000001E-10</v>
      </c>
      <c r="Y388" s="411">
        <f>計分版!I$13</f>
        <v>5.0000000000000003E-10</v>
      </c>
      <c r="Z388" s="411">
        <f>計分版!J$13</f>
        <v>6E-10</v>
      </c>
      <c r="AA388" s="411">
        <f>計分版!K$13</f>
        <v>6.9999999999999996E-10</v>
      </c>
      <c r="AB388" s="411">
        <f>計分版!L$13</f>
        <v>8.0000000000000003E-10</v>
      </c>
      <c r="AC388" s="411">
        <f>計分版!M$13</f>
        <v>8.9999999999999999E-10</v>
      </c>
      <c r="AD388" s="425">
        <f>計分版!N$13</f>
        <v>9.5000000000000003E-10</v>
      </c>
      <c r="AF388" s="425" t="s">
        <v>2308</v>
      </c>
      <c r="AG388" s="425" t="s">
        <v>2309</v>
      </c>
      <c r="AH388" s="425" t="s">
        <v>2308</v>
      </c>
      <c r="AI388" s="425"/>
      <c r="AJ388" s="425"/>
      <c r="AK388" s="425"/>
      <c r="AL388" s="425"/>
      <c r="AM388" s="425"/>
      <c r="AN388" s="174"/>
      <c r="AO388" s="174"/>
      <c r="AP388" s="174"/>
      <c r="AQ388" s="174"/>
      <c r="AR388" s="174"/>
      <c r="AS388" s="174"/>
      <c r="AT388" s="174"/>
    </row>
    <row r="389" spans="1:46">
      <c r="A389" s="174" t="s">
        <v>1194</v>
      </c>
      <c r="B389" s="185" t="s">
        <v>1195</v>
      </c>
      <c r="C389" s="174"/>
      <c r="D389" s="174"/>
      <c r="E389" s="419">
        <v>3</v>
      </c>
      <c r="F389" s="419">
        <v>3</v>
      </c>
      <c r="G389" s="419">
        <v>2</v>
      </c>
      <c r="H389" s="419">
        <v>2</v>
      </c>
      <c r="I389" s="419">
        <v>2</v>
      </c>
      <c r="J389" s="419"/>
      <c r="K389" s="174"/>
      <c r="L389" s="411">
        <f t="shared" si="174"/>
        <v>0</v>
      </c>
      <c r="M389" s="411">
        <f t="shared" si="182"/>
        <v>0</v>
      </c>
      <c r="N389" s="411">
        <f t="shared" si="183"/>
        <v>0</v>
      </c>
      <c r="O389" s="411">
        <f t="shared" si="184"/>
        <v>0</v>
      </c>
      <c r="P389" s="425">
        <f t="shared" si="185"/>
        <v>0</v>
      </c>
      <c r="Q389" s="174"/>
      <c r="R389" s="174"/>
      <c r="S389" s="252">
        <f t="shared" si="178"/>
        <v>0</v>
      </c>
      <c r="T389" s="185"/>
      <c r="U389" s="411">
        <f>計分版!E$13</f>
        <v>1E-10</v>
      </c>
      <c r="V389" s="411">
        <f>計分版!F$13</f>
        <v>2.0000000000000001E-10</v>
      </c>
      <c r="W389" s="411">
        <f>計分版!G$13</f>
        <v>3E-10</v>
      </c>
      <c r="X389" s="411">
        <f>計分版!H$13</f>
        <v>4.0000000000000001E-10</v>
      </c>
      <c r="Y389" s="411">
        <f>計分版!I$13</f>
        <v>5.0000000000000003E-10</v>
      </c>
      <c r="Z389" s="411">
        <f>計分版!J$13</f>
        <v>6E-10</v>
      </c>
      <c r="AA389" s="411">
        <f>計分版!K$13</f>
        <v>6.9999999999999996E-10</v>
      </c>
      <c r="AB389" s="411">
        <f>計分版!L$13</f>
        <v>8.0000000000000003E-10</v>
      </c>
      <c r="AC389" s="411">
        <f>計分版!M$13</f>
        <v>8.9999999999999999E-10</v>
      </c>
      <c r="AD389" s="425">
        <f>計分版!N$13</f>
        <v>9.5000000000000003E-10</v>
      </c>
      <c r="AF389" s="425" t="s">
        <v>2308</v>
      </c>
      <c r="AG389" s="425" t="s">
        <v>2309</v>
      </c>
      <c r="AH389" s="425" t="s">
        <v>2308</v>
      </c>
      <c r="AI389" s="425"/>
      <c r="AJ389" s="425"/>
      <c r="AK389" s="425"/>
      <c r="AL389" s="425"/>
      <c r="AM389" s="425"/>
      <c r="AN389" s="174"/>
      <c r="AO389" s="174"/>
      <c r="AP389" s="174"/>
      <c r="AQ389" s="174"/>
      <c r="AR389" s="174"/>
      <c r="AS389" s="174"/>
      <c r="AT389" s="174"/>
    </row>
    <row r="390" spans="1:46" s="174" customFormat="1">
      <c r="A390" s="174" t="s">
        <v>1914</v>
      </c>
      <c r="B390" s="185" t="s">
        <v>1146</v>
      </c>
      <c r="E390" s="419">
        <v>3</v>
      </c>
      <c r="F390" s="419">
        <v>3</v>
      </c>
      <c r="G390" s="419">
        <v>2</v>
      </c>
      <c r="H390" s="419">
        <v>2</v>
      </c>
      <c r="I390" s="419">
        <v>2</v>
      </c>
      <c r="J390" s="419"/>
      <c r="L390" s="411">
        <f t="shared" si="174"/>
        <v>0</v>
      </c>
      <c r="M390" s="411">
        <f t="shared" si="182"/>
        <v>0</v>
      </c>
      <c r="N390" s="411">
        <f t="shared" si="183"/>
        <v>0</v>
      </c>
      <c r="O390" s="411">
        <f t="shared" si="184"/>
        <v>0</v>
      </c>
      <c r="P390" s="425">
        <f t="shared" si="185"/>
        <v>0</v>
      </c>
      <c r="S390" s="252">
        <f t="shared" si="178"/>
        <v>0</v>
      </c>
      <c r="T390" s="185"/>
      <c r="U390" s="411">
        <f>計分版!E$13</f>
        <v>1E-10</v>
      </c>
      <c r="V390" s="411">
        <f>計分版!F$13</f>
        <v>2.0000000000000001E-10</v>
      </c>
      <c r="W390" s="411">
        <f>計分版!G$13</f>
        <v>3E-10</v>
      </c>
      <c r="X390" s="411">
        <f>計分版!H$13</f>
        <v>4.0000000000000001E-10</v>
      </c>
      <c r="Y390" s="411">
        <f>計分版!I$13</f>
        <v>5.0000000000000003E-10</v>
      </c>
      <c r="Z390" s="411">
        <f>計分版!J$13</f>
        <v>6E-10</v>
      </c>
      <c r="AA390" s="411">
        <f>計分版!K$13</f>
        <v>6.9999999999999996E-10</v>
      </c>
      <c r="AB390" s="411">
        <f>計分版!L$13</f>
        <v>8.0000000000000003E-10</v>
      </c>
      <c r="AC390" s="411">
        <f>計分版!M$13</f>
        <v>8.9999999999999999E-10</v>
      </c>
      <c r="AD390" s="425">
        <f>計分版!N$13</f>
        <v>9.5000000000000003E-10</v>
      </c>
      <c r="AE390" s="182"/>
      <c r="AF390" s="425" t="s">
        <v>2308</v>
      </c>
      <c r="AG390" s="425" t="s">
        <v>2309</v>
      </c>
      <c r="AH390" s="425" t="s">
        <v>2308</v>
      </c>
      <c r="AI390" s="425"/>
      <c r="AJ390" s="425"/>
      <c r="AK390" s="425"/>
      <c r="AL390" s="425"/>
      <c r="AM390" s="425"/>
    </row>
    <row r="391" spans="1:46" s="174" customFormat="1">
      <c r="A391" s="2" t="s">
        <v>1918</v>
      </c>
      <c r="B391" s="26" t="s">
        <v>1979</v>
      </c>
      <c r="C391" s="2"/>
      <c r="D391" s="2"/>
      <c r="E391" s="419">
        <v>3</v>
      </c>
      <c r="F391" s="419">
        <v>3</v>
      </c>
      <c r="G391" s="419">
        <v>2</v>
      </c>
      <c r="H391" s="419">
        <v>2</v>
      </c>
      <c r="I391" s="419">
        <v>2</v>
      </c>
      <c r="J391" s="419"/>
      <c r="K391" s="2"/>
      <c r="L391" s="411">
        <f t="shared" ref="L391:L407" si="186">IF(E391&gt;U391,0,1)</f>
        <v>0</v>
      </c>
      <c r="M391" s="411">
        <f t="shared" si="182"/>
        <v>0</v>
      </c>
      <c r="N391" s="411">
        <f t="shared" si="183"/>
        <v>0</v>
      </c>
      <c r="O391" s="411">
        <f t="shared" si="184"/>
        <v>0</v>
      </c>
      <c r="P391" s="425">
        <f t="shared" si="185"/>
        <v>0</v>
      </c>
      <c r="Q391" s="2"/>
      <c r="R391" s="2"/>
      <c r="S391" s="252">
        <f t="shared" si="178"/>
        <v>0</v>
      </c>
      <c r="T391" s="185"/>
      <c r="U391" s="411">
        <f>計分版!E$13</f>
        <v>1E-10</v>
      </c>
      <c r="V391" s="411">
        <f>計分版!F$13</f>
        <v>2.0000000000000001E-10</v>
      </c>
      <c r="W391" s="411">
        <f>計分版!G$13</f>
        <v>3E-10</v>
      </c>
      <c r="X391" s="411">
        <f>計分版!H$13</f>
        <v>4.0000000000000001E-10</v>
      </c>
      <c r="Y391" s="411">
        <f>計分版!I$13</f>
        <v>5.0000000000000003E-10</v>
      </c>
      <c r="Z391" s="411">
        <f>計分版!J$13</f>
        <v>6E-10</v>
      </c>
      <c r="AA391" s="411">
        <f>計分版!K$13</f>
        <v>6.9999999999999996E-10</v>
      </c>
      <c r="AB391" s="411">
        <f>計分版!L$13</f>
        <v>8.0000000000000003E-10</v>
      </c>
      <c r="AC391" s="411">
        <f>計分版!M$13</f>
        <v>8.9999999999999999E-10</v>
      </c>
      <c r="AD391" s="425">
        <f>計分版!N$13</f>
        <v>9.5000000000000003E-10</v>
      </c>
      <c r="AE391" s="182"/>
      <c r="AF391" s="425" t="s">
        <v>2308</v>
      </c>
      <c r="AG391" s="425" t="s">
        <v>2309</v>
      </c>
      <c r="AH391" s="425" t="s">
        <v>2308</v>
      </c>
      <c r="AI391" s="425"/>
      <c r="AJ391" s="425"/>
      <c r="AK391" s="425"/>
      <c r="AL391" s="425"/>
      <c r="AM391" s="425"/>
    </row>
    <row r="392" spans="1:46">
      <c r="A392" s="2" t="s">
        <v>1196</v>
      </c>
      <c r="B392" s="26" t="s">
        <v>1197</v>
      </c>
      <c r="E392" s="419">
        <v>3</v>
      </c>
      <c r="F392" s="419">
        <v>3</v>
      </c>
      <c r="G392" s="419">
        <v>2</v>
      </c>
      <c r="H392" s="419">
        <v>2</v>
      </c>
      <c r="I392" s="419">
        <v>2</v>
      </c>
      <c r="J392" s="419"/>
      <c r="L392" s="411">
        <f t="shared" si="186"/>
        <v>0</v>
      </c>
      <c r="M392" s="411">
        <f t="shared" si="182"/>
        <v>0</v>
      </c>
      <c r="N392" s="411">
        <f t="shared" si="183"/>
        <v>0</v>
      </c>
      <c r="O392" s="411">
        <f t="shared" si="184"/>
        <v>0</v>
      </c>
      <c r="P392" s="425">
        <f t="shared" si="185"/>
        <v>0</v>
      </c>
      <c r="S392" s="252">
        <f t="shared" si="178"/>
        <v>0</v>
      </c>
      <c r="T392" s="185"/>
      <c r="U392" s="411">
        <f>計分版!E$13</f>
        <v>1E-10</v>
      </c>
      <c r="V392" s="411">
        <f>計分版!F$13</f>
        <v>2.0000000000000001E-10</v>
      </c>
      <c r="W392" s="411">
        <f>計分版!G$13</f>
        <v>3E-10</v>
      </c>
      <c r="X392" s="411">
        <f>計分版!H$13</f>
        <v>4.0000000000000001E-10</v>
      </c>
      <c r="Y392" s="411">
        <f>計分版!I$13</f>
        <v>5.0000000000000003E-10</v>
      </c>
      <c r="Z392" s="411">
        <f>計分版!J$13</f>
        <v>6E-10</v>
      </c>
      <c r="AA392" s="411">
        <f>計分版!K$13</f>
        <v>6.9999999999999996E-10</v>
      </c>
      <c r="AB392" s="411">
        <f>計分版!L$13</f>
        <v>8.0000000000000003E-10</v>
      </c>
      <c r="AC392" s="411">
        <f>計分版!M$13</f>
        <v>8.9999999999999999E-10</v>
      </c>
      <c r="AD392" s="425">
        <f>計分版!N$13</f>
        <v>9.5000000000000003E-10</v>
      </c>
      <c r="AF392" s="425" t="s">
        <v>2308</v>
      </c>
      <c r="AG392" s="425" t="s">
        <v>2309</v>
      </c>
      <c r="AH392" s="425" t="s">
        <v>2308</v>
      </c>
      <c r="AI392" s="425"/>
      <c r="AJ392" s="425"/>
      <c r="AK392" s="425"/>
      <c r="AL392" s="425"/>
      <c r="AM392" s="425"/>
      <c r="AN392" s="174"/>
      <c r="AO392" s="174"/>
      <c r="AP392" s="174"/>
      <c r="AQ392" s="174"/>
      <c r="AR392" s="174"/>
      <c r="AS392" s="174"/>
      <c r="AT392" s="174"/>
    </row>
    <row r="393" spans="1:46">
      <c r="A393" s="2" t="s">
        <v>1198</v>
      </c>
      <c r="B393" s="26" t="s">
        <v>1199</v>
      </c>
      <c r="E393" s="419">
        <v>3</v>
      </c>
      <c r="F393" s="419">
        <v>3</v>
      </c>
      <c r="G393" s="419">
        <v>2</v>
      </c>
      <c r="H393" s="419">
        <v>2</v>
      </c>
      <c r="I393" s="419">
        <v>2</v>
      </c>
      <c r="J393" s="419"/>
      <c r="L393" s="411">
        <f t="shared" si="186"/>
        <v>0</v>
      </c>
      <c r="M393" s="411">
        <f t="shared" si="182"/>
        <v>0</v>
      </c>
      <c r="N393" s="411">
        <f t="shared" si="183"/>
        <v>0</v>
      </c>
      <c r="O393" s="411">
        <f t="shared" si="184"/>
        <v>0</v>
      </c>
      <c r="P393" s="425">
        <f t="shared" si="185"/>
        <v>0</v>
      </c>
      <c r="S393" s="252">
        <f t="shared" si="178"/>
        <v>0</v>
      </c>
      <c r="T393" s="185"/>
      <c r="U393" s="411">
        <f>計分版!E$13</f>
        <v>1E-10</v>
      </c>
      <c r="V393" s="411">
        <f>計分版!F$13</f>
        <v>2.0000000000000001E-10</v>
      </c>
      <c r="W393" s="411">
        <f>計分版!G$13</f>
        <v>3E-10</v>
      </c>
      <c r="X393" s="411">
        <f>計分版!H$13</f>
        <v>4.0000000000000001E-10</v>
      </c>
      <c r="Y393" s="411">
        <f>計分版!I$13</f>
        <v>5.0000000000000003E-10</v>
      </c>
      <c r="Z393" s="411">
        <f>計分版!J$13</f>
        <v>6E-10</v>
      </c>
      <c r="AA393" s="411">
        <f>計分版!K$13</f>
        <v>6.9999999999999996E-10</v>
      </c>
      <c r="AB393" s="411">
        <f>計分版!L$13</f>
        <v>8.0000000000000003E-10</v>
      </c>
      <c r="AC393" s="411">
        <f>計分版!M$13</f>
        <v>8.9999999999999999E-10</v>
      </c>
      <c r="AD393" s="425">
        <f>計分版!N$13</f>
        <v>9.5000000000000003E-10</v>
      </c>
      <c r="AF393" s="425" t="s">
        <v>2308</v>
      </c>
      <c r="AG393" s="425" t="s">
        <v>2309</v>
      </c>
      <c r="AH393" s="425" t="s">
        <v>2308</v>
      </c>
      <c r="AI393" s="425"/>
      <c r="AJ393" s="425"/>
      <c r="AK393" s="425"/>
      <c r="AL393" s="425"/>
      <c r="AM393" s="425"/>
      <c r="AN393" s="174"/>
      <c r="AO393" s="174"/>
      <c r="AP393" s="174"/>
      <c r="AQ393" s="174"/>
      <c r="AR393" s="174"/>
      <c r="AS393" s="174"/>
      <c r="AT393" s="174"/>
    </row>
    <row r="394" spans="1:46">
      <c r="A394" s="2" t="s">
        <v>1200</v>
      </c>
      <c r="B394" s="26" t="s">
        <v>1201</v>
      </c>
      <c r="E394" s="419">
        <v>3</v>
      </c>
      <c r="F394" s="419">
        <v>3</v>
      </c>
      <c r="G394" s="419">
        <v>2</v>
      </c>
      <c r="H394" s="419">
        <v>2</v>
      </c>
      <c r="I394" s="419">
        <v>2</v>
      </c>
      <c r="J394" s="419"/>
      <c r="L394" s="411">
        <f t="shared" si="186"/>
        <v>0</v>
      </c>
      <c r="M394" s="411">
        <f t="shared" si="182"/>
        <v>0</v>
      </c>
      <c r="N394" s="411">
        <f t="shared" si="183"/>
        <v>0</v>
      </c>
      <c r="O394" s="411">
        <f t="shared" si="184"/>
        <v>0</v>
      </c>
      <c r="P394" s="425">
        <f>IF(I394&gt;LARGE(Y394:AD394,1),0,1)</f>
        <v>0</v>
      </c>
      <c r="S394" s="252">
        <f t="shared" si="178"/>
        <v>0</v>
      </c>
      <c r="T394" s="185"/>
      <c r="U394" s="411">
        <f>計分版!E$13</f>
        <v>1E-10</v>
      </c>
      <c r="V394" s="411">
        <f>計分版!F$13</f>
        <v>2.0000000000000001E-10</v>
      </c>
      <c r="W394" s="411">
        <f>計分版!G$13</f>
        <v>3E-10</v>
      </c>
      <c r="X394" s="411">
        <f>計分版!H$13</f>
        <v>4.0000000000000001E-10</v>
      </c>
      <c r="Y394" s="411">
        <f>計分版!I$13</f>
        <v>5.0000000000000003E-10</v>
      </c>
      <c r="Z394" s="411">
        <f>計分版!J$13</f>
        <v>6E-10</v>
      </c>
      <c r="AA394" s="411">
        <f>計分版!K$13</f>
        <v>6.9999999999999996E-10</v>
      </c>
      <c r="AB394" s="411">
        <f>計分版!L$13</f>
        <v>8.0000000000000003E-10</v>
      </c>
      <c r="AC394" s="411">
        <f>計分版!M$13</f>
        <v>8.9999999999999999E-10</v>
      </c>
      <c r="AD394" s="425">
        <f>計分版!N$13</f>
        <v>9.5000000000000003E-10</v>
      </c>
      <c r="AF394" s="425" t="s">
        <v>2308</v>
      </c>
      <c r="AG394" s="425" t="s">
        <v>2309</v>
      </c>
      <c r="AH394" s="425" t="s">
        <v>2308</v>
      </c>
      <c r="AI394" s="425"/>
      <c r="AJ394" s="425"/>
      <c r="AK394" s="425"/>
      <c r="AL394" s="425"/>
      <c r="AM394" s="425"/>
      <c r="AN394" s="174"/>
      <c r="AO394" s="174"/>
      <c r="AP394" s="174"/>
      <c r="AQ394" s="174"/>
      <c r="AR394" s="174"/>
      <c r="AS394" s="174"/>
      <c r="AT394" s="174"/>
    </row>
    <row r="395" spans="1:46">
      <c r="A395" s="2" t="s">
        <v>1202</v>
      </c>
      <c r="B395" s="26" t="s">
        <v>1203</v>
      </c>
      <c r="E395" s="419">
        <v>3</v>
      </c>
      <c r="F395" s="419">
        <v>3</v>
      </c>
      <c r="G395" s="419">
        <v>2</v>
      </c>
      <c r="H395" s="419">
        <v>2</v>
      </c>
      <c r="I395" s="419">
        <v>2</v>
      </c>
      <c r="J395" s="419"/>
      <c r="L395" s="411">
        <f t="shared" si="186"/>
        <v>0</v>
      </c>
      <c r="M395" s="411">
        <f t="shared" si="182"/>
        <v>0</v>
      </c>
      <c r="N395" s="411">
        <f t="shared" si="183"/>
        <v>0</v>
      </c>
      <c r="O395" s="411">
        <f t="shared" si="184"/>
        <v>0</v>
      </c>
      <c r="P395" s="425">
        <f t="shared" si="185"/>
        <v>0</v>
      </c>
      <c r="S395" s="252">
        <f t="shared" si="178"/>
        <v>0</v>
      </c>
      <c r="T395" s="185"/>
      <c r="U395" s="411">
        <f>計分版!E$13</f>
        <v>1E-10</v>
      </c>
      <c r="V395" s="411">
        <f>計分版!F$13</f>
        <v>2.0000000000000001E-10</v>
      </c>
      <c r="W395" s="411">
        <f>計分版!G$13</f>
        <v>3E-10</v>
      </c>
      <c r="X395" s="411">
        <f>計分版!H$13</f>
        <v>4.0000000000000001E-10</v>
      </c>
      <c r="Y395" s="411">
        <f>計分版!I$13</f>
        <v>5.0000000000000003E-10</v>
      </c>
      <c r="Z395" s="411">
        <f>計分版!J$13</f>
        <v>6E-10</v>
      </c>
      <c r="AA395" s="411">
        <f>計分版!K$13</f>
        <v>6.9999999999999996E-10</v>
      </c>
      <c r="AB395" s="411">
        <f>計分版!L$13</f>
        <v>8.0000000000000003E-10</v>
      </c>
      <c r="AC395" s="411">
        <f>計分版!M$13</f>
        <v>8.9999999999999999E-10</v>
      </c>
      <c r="AD395" s="425">
        <f>計分版!N$13</f>
        <v>9.5000000000000003E-10</v>
      </c>
      <c r="AF395" s="425" t="s">
        <v>2308</v>
      </c>
      <c r="AG395" s="425" t="s">
        <v>2309</v>
      </c>
      <c r="AH395" s="425" t="s">
        <v>2308</v>
      </c>
      <c r="AI395" s="425"/>
      <c r="AJ395" s="425"/>
      <c r="AK395" s="425"/>
      <c r="AL395" s="425"/>
      <c r="AM395" s="425"/>
      <c r="AN395" s="174"/>
      <c r="AO395" s="174"/>
      <c r="AP395" s="174"/>
      <c r="AQ395" s="174"/>
      <c r="AR395" s="174"/>
      <c r="AS395" s="174"/>
      <c r="AT395" s="174"/>
    </row>
    <row r="396" spans="1:46">
      <c r="A396" s="2" t="s">
        <v>1204</v>
      </c>
      <c r="B396" s="26" t="s">
        <v>1205</v>
      </c>
      <c r="E396" s="419">
        <v>3</v>
      </c>
      <c r="F396" s="419">
        <v>3</v>
      </c>
      <c r="G396" s="419">
        <v>2</v>
      </c>
      <c r="H396" s="419">
        <v>2</v>
      </c>
      <c r="I396" s="419">
        <v>2</v>
      </c>
      <c r="J396" s="419"/>
      <c r="L396" s="411">
        <f t="shared" si="186"/>
        <v>0</v>
      </c>
      <c r="M396" s="411">
        <f t="shared" si="182"/>
        <v>0</v>
      </c>
      <c r="N396" s="411">
        <f t="shared" si="183"/>
        <v>0</v>
      </c>
      <c r="O396" s="411">
        <f t="shared" si="184"/>
        <v>0</v>
      </c>
      <c r="P396" s="425">
        <f>IF(I396&gt;LARGE(Y396:AD396,1),0,1)</f>
        <v>0</v>
      </c>
      <c r="S396" s="252">
        <f t="shared" si="178"/>
        <v>0</v>
      </c>
      <c r="T396" s="185"/>
      <c r="U396" s="411">
        <f>計分版!E$13</f>
        <v>1E-10</v>
      </c>
      <c r="V396" s="411">
        <f>計分版!F$13</f>
        <v>2.0000000000000001E-10</v>
      </c>
      <c r="W396" s="411">
        <f>計分版!G$13</f>
        <v>3E-10</v>
      </c>
      <c r="X396" s="411">
        <f>計分版!H$13</f>
        <v>4.0000000000000001E-10</v>
      </c>
      <c r="Y396" s="411">
        <f>計分版!I$13</f>
        <v>5.0000000000000003E-10</v>
      </c>
      <c r="Z396" s="411">
        <f>計分版!J$13</f>
        <v>6E-10</v>
      </c>
      <c r="AA396" s="411">
        <f>計分版!K$13</f>
        <v>6.9999999999999996E-10</v>
      </c>
      <c r="AB396" s="411">
        <f>計分版!L$13</f>
        <v>8.0000000000000003E-10</v>
      </c>
      <c r="AC396" s="411">
        <f>計分版!M$13</f>
        <v>8.9999999999999999E-10</v>
      </c>
      <c r="AD396" s="425">
        <f>計分版!N$13</f>
        <v>9.5000000000000003E-10</v>
      </c>
      <c r="AF396" s="425" t="s">
        <v>2308</v>
      </c>
      <c r="AG396" s="425" t="s">
        <v>2309</v>
      </c>
      <c r="AH396" s="425" t="s">
        <v>2308</v>
      </c>
      <c r="AI396" s="425"/>
      <c r="AJ396" s="425"/>
      <c r="AK396" s="425"/>
      <c r="AL396" s="425"/>
      <c r="AM396" s="425"/>
      <c r="AN396" s="174"/>
      <c r="AO396" s="174"/>
      <c r="AP396" s="174"/>
      <c r="AQ396" s="174"/>
      <c r="AR396" s="174"/>
      <c r="AS396" s="174"/>
      <c r="AT396" s="174"/>
    </row>
    <row r="397" spans="1:46">
      <c r="A397" s="2" t="s">
        <v>1206</v>
      </c>
      <c r="B397" s="26" t="s">
        <v>1207</v>
      </c>
      <c r="E397" s="419">
        <v>3</v>
      </c>
      <c r="F397" s="419">
        <v>3</v>
      </c>
      <c r="G397" s="419">
        <v>2</v>
      </c>
      <c r="H397" s="419">
        <v>2</v>
      </c>
      <c r="I397" s="419">
        <v>2</v>
      </c>
      <c r="J397" s="419"/>
      <c r="L397" s="411">
        <f t="shared" si="186"/>
        <v>0</v>
      </c>
      <c r="M397" s="411">
        <f t="shared" si="182"/>
        <v>0</v>
      </c>
      <c r="N397" s="411">
        <f t="shared" si="183"/>
        <v>0</v>
      </c>
      <c r="O397" s="411">
        <f t="shared" si="184"/>
        <v>0</v>
      </c>
      <c r="P397" s="252">
        <f>IF(I397&gt;LARGE(Z397:AC397,1),0,1)</f>
        <v>0</v>
      </c>
      <c r="S397" s="252">
        <f t="shared" si="178"/>
        <v>0</v>
      </c>
      <c r="T397" s="185"/>
      <c r="U397" s="411">
        <f>計分版!E$13</f>
        <v>1E-10</v>
      </c>
      <c r="V397" s="411">
        <f>計分版!F$13</f>
        <v>2.0000000000000001E-10</v>
      </c>
      <c r="W397" s="411">
        <f>計分版!G$13</f>
        <v>3E-10</v>
      </c>
      <c r="X397" s="411">
        <f>計分版!H$13</f>
        <v>4.0000000000000001E-10</v>
      </c>
      <c r="Y397" s="411">
        <f>計分版!I$13</f>
        <v>5.0000000000000003E-10</v>
      </c>
      <c r="Z397" s="411">
        <f>計分版!J$13</f>
        <v>6E-10</v>
      </c>
      <c r="AA397" s="411">
        <f>計分版!K$13</f>
        <v>6.9999999999999996E-10</v>
      </c>
      <c r="AB397" s="411">
        <f>計分版!L$13</f>
        <v>8.0000000000000003E-10</v>
      </c>
      <c r="AC397" s="411">
        <f>計分版!M$13</f>
        <v>8.9999999999999999E-10</v>
      </c>
      <c r="AD397" s="425">
        <f>計分版!N$13</f>
        <v>9.5000000000000003E-10</v>
      </c>
      <c r="AF397" s="425"/>
      <c r="AG397" s="425"/>
      <c r="AH397" s="425" t="s">
        <v>2308</v>
      </c>
      <c r="AI397" s="425"/>
      <c r="AJ397" s="425"/>
      <c r="AK397" s="425"/>
      <c r="AL397" s="425"/>
      <c r="AM397" s="425"/>
      <c r="AN397" s="174"/>
      <c r="AO397" s="174"/>
      <c r="AP397" s="174"/>
      <c r="AQ397" s="174"/>
      <c r="AR397" s="174"/>
      <c r="AS397" s="174"/>
      <c r="AT397" s="174"/>
    </row>
    <row r="398" spans="1:46">
      <c r="A398" s="2" t="s">
        <v>1208</v>
      </c>
      <c r="B398" s="26" t="s">
        <v>1209</v>
      </c>
      <c r="E398" s="419">
        <v>3</v>
      </c>
      <c r="F398" s="419">
        <v>3</v>
      </c>
      <c r="G398" s="419">
        <v>2</v>
      </c>
      <c r="H398" s="419">
        <v>2</v>
      </c>
      <c r="I398" s="419">
        <v>2</v>
      </c>
      <c r="J398" s="419"/>
      <c r="L398" s="411">
        <f t="shared" si="186"/>
        <v>0</v>
      </c>
      <c r="M398" s="411">
        <f t="shared" si="182"/>
        <v>0</v>
      </c>
      <c r="N398" s="411">
        <f t="shared" si="183"/>
        <v>0</v>
      </c>
      <c r="O398" s="411">
        <f t="shared" si="184"/>
        <v>0</v>
      </c>
      <c r="P398" s="425">
        <f t="shared" ref="P398:P400" si="187">IF(I398&gt;LARGE(Z398:AC398,1),0,1)</f>
        <v>0</v>
      </c>
      <c r="S398" s="252">
        <f t="shared" si="178"/>
        <v>0</v>
      </c>
      <c r="T398" s="185"/>
      <c r="U398" s="411">
        <f>計分版!E$13</f>
        <v>1E-10</v>
      </c>
      <c r="V398" s="411">
        <f>計分版!F$13</f>
        <v>2.0000000000000001E-10</v>
      </c>
      <c r="W398" s="411">
        <f>計分版!G$13</f>
        <v>3E-10</v>
      </c>
      <c r="X398" s="411">
        <f>計分版!H$13</f>
        <v>4.0000000000000001E-10</v>
      </c>
      <c r="Y398" s="411">
        <f>計分版!I$13</f>
        <v>5.0000000000000003E-10</v>
      </c>
      <c r="Z398" s="411">
        <f>計分版!J$13</f>
        <v>6E-10</v>
      </c>
      <c r="AA398" s="411">
        <f>計分版!K$13</f>
        <v>6.9999999999999996E-10</v>
      </c>
      <c r="AB398" s="411">
        <f>計分版!L$13</f>
        <v>8.0000000000000003E-10</v>
      </c>
      <c r="AC398" s="411">
        <f>計分版!M$13</f>
        <v>8.9999999999999999E-10</v>
      </c>
      <c r="AD398" s="425">
        <f>計分版!N$13</f>
        <v>9.5000000000000003E-10</v>
      </c>
      <c r="AF398" s="425"/>
      <c r="AG398" s="425"/>
      <c r="AH398" s="425" t="s">
        <v>2308</v>
      </c>
      <c r="AI398" s="425"/>
      <c r="AJ398" s="425"/>
      <c r="AK398" s="425"/>
      <c r="AL398" s="425"/>
      <c r="AM398" s="425"/>
      <c r="AN398" s="174"/>
      <c r="AO398" s="174"/>
      <c r="AP398" s="174"/>
      <c r="AQ398" s="174"/>
      <c r="AR398" s="174"/>
      <c r="AS398" s="174"/>
      <c r="AT398" s="174"/>
    </row>
    <row r="399" spans="1:46">
      <c r="A399" s="2" t="s">
        <v>1210</v>
      </c>
      <c r="B399" s="26" t="s">
        <v>1211</v>
      </c>
      <c r="E399" s="419">
        <v>3</v>
      </c>
      <c r="F399" s="419">
        <v>3</v>
      </c>
      <c r="G399" s="419">
        <v>2</v>
      </c>
      <c r="H399" s="419">
        <v>2</v>
      </c>
      <c r="I399" s="419">
        <v>2</v>
      </c>
      <c r="J399" s="419"/>
      <c r="L399" s="411">
        <f t="shared" si="186"/>
        <v>0</v>
      </c>
      <c r="M399" s="411">
        <f t="shared" si="182"/>
        <v>0</v>
      </c>
      <c r="N399" s="411">
        <f t="shared" si="183"/>
        <v>0</v>
      </c>
      <c r="O399" s="411">
        <f t="shared" si="184"/>
        <v>0</v>
      </c>
      <c r="P399" s="425">
        <f t="shared" si="187"/>
        <v>0</v>
      </c>
      <c r="S399" s="252">
        <f t="shared" si="178"/>
        <v>0</v>
      </c>
      <c r="T399" s="185"/>
      <c r="U399" s="411">
        <f>計分版!E$13</f>
        <v>1E-10</v>
      </c>
      <c r="V399" s="411">
        <f>計分版!F$13</f>
        <v>2.0000000000000001E-10</v>
      </c>
      <c r="W399" s="411">
        <f>計分版!G$13</f>
        <v>3E-10</v>
      </c>
      <c r="X399" s="411">
        <f>計分版!H$13</f>
        <v>4.0000000000000001E-10</v>
      </c>
      <c r="Y399" s="411">
        <f>計分版!I$13</f>
        <v>5.0000000000000003E-10</v>
      </c>
      <c r="Z399" s="411">
        <f>計分版!J$13</f>
        <v>6E-10</v>
      </c>
      <c r="AA399" s="411">
        <f>計分版!K$13</f>
        <v>6.9999999999999996E-10</v>
      </c>
      <c r="AB399" s="411">
        <f>計分版!L$13</f>
        <v>8.0000000000000003E-10</v>
      </c>
      <c r="AC399" s="411">
        <f>計分版!M$13</f>
        <v>8.9999999999999999E-10</v>
      </c>
      <c r="AD399" s="425">
        <f>計分版!N$13</f>
        <v>9.5000000000000003E-10</v>
      </c>
      <c r="AF399" s="425"/>
      <c r="AG399" s="425"/>
      <c r="AH399" s="425" t="s">
        <v>2308</v>
      </c>
      <c r="AI399" s="425"/>
      <c r="AJ399" s="425"/>
      <c r="AK399" s="425"/>
      <c r="AL399" s="425"/>
      <c r="AM399" s="425"/>
      <c r="AN399" s="174"/>
      <c r="AO399" s="174"/>
      <c r="AP399" s="174"/>
      <c r="AQ399" s="174"/>
      <c r="AR399" s="174"/>
      <c r="AS399" s="174"/>
      <c r="AT399" s="174"/>
    </row>
    <row r="400" spans="1:46">
      <c r="A400" s="2" t="s">
        <v>1212</v>
      </c>
      <c r="B400" s="26" t="s">
        <v>1213</v>
      </c>
      <c r="E400" s="419">
        <v>3</v>
      </c>
      <c r="F400" s="419">
        <v>3</v>
      </c>
      <c r="G400" s="419">
        <v>2</v>
      </c>
      <c r="H400" s="419">
        <v>2</v>
      </c>
      <c r="I400" s="419">
        <v>2</v>
      </c>
      <c r="J400" s="419"/>
      <c r="L400" s="411">
        <f t="shared" si="186"/>
        <v>0</v>
      </c>
      <c r="M400" s="411">
        <f t="shared" si="182"/>
        <v>0</v>
      </c>
      <c r="N400" s="411">
        <f t="shared" si="183"/>
        <v>0</v>
      </c>
      <c r="O400" s="411">
        <f t="shared" si="184"/>
        <v>0</v>
      </c>
      <c r="P400" s="425">
        <f t="shared" si="187"/>
        <v>0</v>
      </c>
      <c r="S400" s="252">
        <f t="shared" si="178"/>
        <v>0</v>
      </c>
      <c r="T400" s="185"/>
      <c r="U400" s="411">
        <f>計分版!E$13</f>
        <v>1E-10</v>
      </c>
      <c r="V400" s="411">
        <f>計分版!F$13</f>
        <v>2.0000000000000001E-10</v>
      </c>
      <c r="W400" s="411">
        <f>計分版!G$13</f>
        <v>3E-10</v>
      </c>
      <c r="X400" s="411">
        <f>計分版!H$13</f>
        <v>4.0000000000000001E-10</v>
      </c>
      <c r="Y400" s="411">
        <f>計分版!I$13</f>
        <v>5.0000000000000003E-10</v>
      </c>
      <c r="Z400" s="411">
        <f>計分版!J$13</f>
        <v>6E-10</v>
      </c>
      <c r="AA400" s="411">
        <f>計分版!K$13</f>
        <v>6.9999999999999996E-10</v>
      </c>
      <c r="AB400" s="411">
        <f>計分版!L$13</f>
        <v>8.0000000000000003E-10</v>
      </c>
      <c r="AC400" s="411">
        <f>計分版!M$13</f>
        <v>8.9999999999999999E-10</v>
      </c>
      <c r="AD400" s="425">
        <f>計分版!N$13</f>
        <v>9.5000000000000003E-10</v>
      </c>
      <c r="AF400" s="425"/>
      <c r="AG400" s="425"/>
      <c r="AH400" s="425" t="s">
        <v>2308</v>
      </c>
      <c r="AI400" s="425"/>
      <c r="AJ400" s="425"/>
      <c r="AK400" s="425"/>
      <c r="AL400" s="425"/>
      <c r="AM400" s="425"/>
      <c r="AN400" s="174"/>
      <c r="AO400" s="174"/>
      <c r="AP400" s="174"/>
      <c r="AQ400" s="174"/>
      <c r="AR400" s="174"/>
      <c r="AS400" s="174"/>
      <c r="AT400" s="174"/>
    </row>
    <row r="401" spans="1:46">
      <c r="A401" s="2" t="s">
        <v>1214</v>
      </c>
      <c r="B401" s="26" t="s">
        <v>1215</v>
      </c>
      <c r="E401" s="419">
        <v>3</v>
      </c>
      <c r="F401" s="419">
        <v>3</v>
      </c>
      <c r="G401" s="419">
        <v>2</v>
      </c>
      <c r="H401" s="419">
        <v>2</v>
      </c>
      <c r="I401" s="419">
        <v>2</v>
      </c>
      <c r="J401" s="419"/>
      <c r="L401" s="411">
        <f t="shared" si="186"/>
        <v>0</v>
      </c>
      <c r="M401" s="411">
        <f t="shared" si="182"/>
        <v>0</v>
      </c>
      <c r="N401" s="411">
        <f t="shared" si="183"/>
        <v>0</v>
      </c>
      <c r="O401" s="411">
        <f t="shared" si="184"/>
        <v>0</v>
      </c>
      <c r="P401" s="252">
        <f>IF(計分版!T414=0,0,1)</f>
        <v>0</v>
      </c>
      <c r="S401" s="252">
        <f t="shared" si="178"/>
        <v>0</v>
      </c>
      <c r="T401" s="185"/>
      <c r="U401" s="411">
        <f>計分版!E$13</f>
        <v>1E-10</v>
      </c>
      <c r="V401" s="411">
        <f>計分版!F$13</f>
        <v>2.0000000000000001E-10</v>
      </c>
      <c r="W401" s="411">
        <f>計分版!G$13</f>
        <v>3E-10</v>
      </c>
      <c r="X401" s="411">
        <f>計分版!H$13</f>
        <v>4.0000000000000001E-10</v>
      </c>
      <c r="Y401" s="411">
        <f>計分版!I$13</f>
        <v>5.0000000000000003E-10</v>
      </c>
      <c r="Z401" s="411">
        <f>計分版!J$13</f>
        <v>6E-10</v>
      </c>
      <c r="AA401" s="411">
        <f>計分版!K$13</f>
        <v>6.9999999999999996E-10</v>
      </c>
      <c r="AB401" s="411">
        <f>計分版!L$13</f>
        <v>8.0000000000000003E-10</v>
      </c>
      <c r="AC401" s="411">
        <f>計分版!M$13</f>
        <v>8.9999999999999999E-10</v>
      </c>
      <c r="AD401" s="425">
        <f>計分版!N$13</f>
        <v>9.5000000000000003E-10</v>
      </c>
      <c r="AF401" s="425" t="s">
        <v>2308</v>
      </c>
      <c r="AG401" s="425"/>
      <c r="AH401" s="425" t="s">
        <v>2308</v>
      </c>
      <c r="AI401" s="425"/>
      <c r="AJ401" s="425"/>
      <c r="AK401" s="425"/>
      <c r="AL401" s="425"/>
      <c r="AM401" s="425"/>
      <c r="AN401" s="174"/>
      <c r="AO401" s="174"/>
      <c r="AP401" s="174"/>
      <c r="AQ401" s="174"/>
      <c r="AR401" s="174"/>
      <c r="AS401" s="174"/>
      <c r="AT401" s="174"/>
    </row>
    <row r="402" spans="1:46">
      <c r="A402" s="2" t="s">
        <v>1216</v>
      </c>
      <c r="B402" s="26" t="s">
        <v>1217</v>
      </c>
      <c r="E402" s="419">
        <v>3</v>
      </c>
      <c r="F402" s="419">
        <v>3</v>
      </c>
      <c r="G402" s="419">
        <v>2</v>
      </c>
      <c r="H402" s="419">
        <v>2</v>
      </c>
      <c r="I402" s="419">
        <v>2</v>
      </c>
      <c r="J402" s="419"/>
      <c r="L402" s="411">
        <f t="shared" si="186"/>
        <v>0</v>
      </c>
      <c r="M402" s="411">
        <f t="shared" si="182"/>
        <v>0</v>
      </c>
      <c r="N402" s="411">
        <f t="shared" si="183"/>
        <v>0</v>
      </c>
      <c r="O402" s="411">
        <f t="shared" si="184"/>
        <v>0</v>
      </c>
      <c r="P402" s="252">
        <f>IF(I402&gt;LARGE(Z402:AC402,1),0,1)</f>
        <v>0</v>
      </c>
      <c r="S402" s="252">
        <f t="shared" si="178"/>
        <v>0</v>
      </c>
      <c r="T402" s="185"/>
      <c r="U402" s="411">
        <f>計分版!E$13</f>
        <v>1E-10</v>
      </c>
      <c r="V402" s="411">
        <f>計分版!F$13</f>
        <v>2.0000000000000001E-10</v>
      </c>
      <c r="W402" s="411">
        <f>計分版!G$13</f>
        <v>3E-10</v>
      </c>
      <c r="X402" s="411">
        <f>計分版!H$13</f>
        <v>4.0000000000000001E-10</v>
      </c>
      <c r="Y402" s="411">
        <f>計分版!I$13</f>
        <v>5.0000000000000003E-10</v>
      </c>
      <c r="Z402" s="411">
        <f>計分版!J$13</f>
        <v>6E-10</v>
      </c>
      <c r="AA402" s="411">
        <f>計分版!K$13</f>
        <v>6.9999999999999996E-10</v>
      </c>
      <c r="AB402" s="411">
        <f>計分版!L$13</f>
        <v>8.0000000000000003E-10</v>
      </c>
      <c r="AC402" s="411">
        <f>計分版!M$13</f>
        <v>8.9999999999999999E-10</v>
      </c>
      <c r="AD402" s="425">
        <f>計分版!N$13</f>
        <v>9.5000000000000003E-10</v>
      </c>
      <c r="AF402" s="425"/>
      <c r="AG402" s="425"/>
      <c r="AH402" s="425" t="s">
        <v>2308</v>
      </c>
      <c r="AI402" s="425"/>
      <c r="AJ402" s="425"/>
      <c r="AK402" s="425"/>
      <c r="AL402" s="425"/>
      <c r="AM402" s="425"/>
      <c r="AN402" s="174"/>
      <c r="AO402" s="174"/>
      <c r="AP402" s="174"/>
      <c r="AQ402" s="174"/>
      <c r="AR402" s="174"/>
      <c r="AS402" s="174"/>
      <c r="AT402" s="174"/>
    </row>
    <row r="403" spans="1:46">
      <c r="A403" s="2" t="s">
        <v>1218</v>
      </c>
      <c r="B403" s="26" t="s">
        <v>1219</v>
      </c>
      <c r="E403" s="419">
        <v>3</v>
      </c>
      <c r="F403" s="419">
        <v>3</v>
      </c>
      <c r="G403" s="419">
        <v>2</v>
      </c>
      <c r="H403" s="419">
        <v>2</v>
      </c>
      <c r="I403" s="419">
        <v>2</v>
      </c>
      <c r="J403" s="419"/>
      <c r="L403" s="411">
        <f t="shared" si="186"/>
        <v>0</v>
      </c>
      <c r="M403" s="411">
        <f t="shared" si="182"/>
        <v>0</v>
      </c>
      <c r="N403" s="411">
        <f t="shared" si="183"/>
        <v>0</v>
      </c>
      <c r="O403" s="411">
        <f t="shared" si="184"/>
        <v>0</v>
      </c>
      <c r="P403" s="425">
        <f t="shared" ref="P403:P405" si="188">IF(I403&gt;LARGE(Z403:AC403,1),0,1)</f>
        <v>0</v>
      </c>
      <c r="S403" s="252">
        <f t="shared" si="178"/>
        <v>0</v>
      </c>
      <c r="T403" s="185"/>
      <c r="U403" s="411">
        <f>計分版!E$13</f>
        <v>1E-10</v>
      </c>
      <c r="V403" s="411">
        <f>計分版!F$13</f>
        <v>2.0000000000000001E-10</v>
      </c>
      <c r="W403" s="411">
        <f>計分版!G$13</f>
        <v>3E-10</v>
      </c>
      <c r="X403" s="411">
        <f>計分版!H$13</f>
        <v>4.0000000000000001E-10</v>
      </c>
      <c r="Y403" s="411">
        <f>計分版!I$13</f>
        <v>5.0000000000000003E-10</v>
      </c>
      <c r="Z403" s="411">
        <f>計分版!J$13</f>
        <v>6E-10</v>
      </c>
      <c r="AA403" s="411">
        <f>計分版!K$13</f>
        <v>6.9999999999999996E-10</v>
      </c>
      <c r="AB403" s="411">
        <f>計分版!L$13</f>
        <v>8.0000000000000003E-10</v>
      </c>
      <c r="AC403" s="411">
        <f>計分版!M$13</f>
        <v>8.9999999999999999E-10</v>
      </c>
      <c r="AD403" s="425">
        <f>計分版!N$13</f>
        <v>9.5000000000000003E-10</v>
      </c>
      <c r="AF403" s="425"/>
      <c r="AG403" s="425"/>
      <c r="AH403" s="425" t="s">
        <v>2308</v>
      </c>
      <c r="AI403" s="425"/>
      <c r="AJ403" s="425"/>
      <c r="AK403" s="425"/>
      <c r="AL403" s="425"/>
      <c r="AM403" s="425"/>
      <c r="AN403" s="174"/>
      <c r="AO403" s="174"/>
      <c r="AP403" s="174"/>
      <c r="AQ403" s="174"/>
      <c r="AR403" s="174"/>
      <c r="AS403" s="174"/>
      <c r="AT403" s="174"/>
    </row>
    <row r="404" spans="1:46">
      <c r="A404" s="2" t="s">
        <v>1220</v>
      </c>
      <c r="B404" s="26" t="s">
        <v>1221</v>
      </c>
      <c r="E404" s="419">
        <v>3</v>
      </c>
      <c r="F404" s="419">
        <v>3</v>
      </c>
      <c r="G404" s="419">
        <v>2</v>
      </c>
      <c r="H404" s="419">
        <v>2</v>
      </c>
      <c r="I404" s="419">
        <v>2</v>
      </c>
      <c r="J404" s="419"/>
      <c r="L404" s="411">
        <f t="shared" si="186"/>
        <v>0</v>
      </c>
      <c r="M404" s="411">
        <f t="shared" si="182"/>
        <v>0</v>
      </c>
      <c r="N404" s="411">
        <f t="shared" si="183"/>
        <v>0</v>
      </c>
      <c r="O404" s="411">
        <f t="shared" si="184"/>
        <v>0</v>
      </c>
      <c r="P404" s="425">
        <f t="shared" si="188"/>
        <v>0</v>
      </c>
      <c r="S404" s="252">
        <f t="shared" si="178"/>
        <v>0</v>
      </c>
      <c r="T404" s="185"/>
      <c r="U404" s="411">
        <f>計分版!E$13</f>
        <v>1E-10</v>
      </c>
      <c r="V404" s="411">
        <f>計分版!F$13</f>
        <v>2.0000000000000001E-10</v>
      </c>
      <c r="W404" s="411">
        <f>計分版!G$13</f>
        <v>3E-10</v>
      </c>
      <c r="X404" s="411">
        <f>計分版!H$13</f>
        <v>4.0000000000000001E-10</v>
      </c>
      <c r="Y404" s="411">
        <f>計分版!I$13</f>
        <v>5.0000000000000003E-10</v>
      </c>
      <c r="Z404" s="411">
        <f>計分版!J$13</f>
        <v>6E-10</v>
      </c>
      <c r="AA404" s="411">
        <f>計分版!K$13</f>
        <v>6.9999999999999996E-10</v>
      </c>
      <c r="AB404" s="411">
        <f>計分版!L$13</f>
        <v>8.0000000000000003E-10</v>
      </c>
      <c r="AC404" s="411">
        <f>計分版!M$13</f>
        <v>8.9999999999999999E-10</v>
      </c>
      <c r="AD404" s="425">
        <f>計分版!N$13</f>
        <v>9.5000000000000003E-10</v>
      </c>
      <c r="AF404" s="425"/>
      <c r="AG404" s="425"/>
      <c r="AH404" s="425" t="s">
        <v>2308</v>
      </c>
      <c r="AI404" s="425"/>
      <c r="AJ404" s="425"/>
      <c r="AK404" s="425"/>
      <c r="AL404" s="425"/>
      <c r="AM404" s="425"/>
      <c r="AN404" s="174"/>
      <c r="AO404" s="174"/>
      <c r="AP404" s="174"/>
      <c r="AQ404" s="174"/>
      <c r="AR404" s="174"/>
      <c r="AS404" s="174"/>
      <c r="AT404" s="174"/>
    </row>
    <row r="405" spans="1:46">
      <c r="A405" s="2" t="s">
        <v>1222</v>
      </c>
      <c r="B405" s="26" t="s">
        <v>1223</v>
      </c>
      <c r="E405" s="419">
        <v>3</v>
      </c>
      <c r="F405" s="419">
        <v>3</v>
      </c>
      <c r="G405" s="419">
        <v>2</v>
      </c>
      <c r="H405" s="419">
        <v>2</v>
      </c>
      <c r="I405" s="419">
        <v>2</v>
      </c>
      <c r="J405" s="419"/>
      <c r="L405" s="411">
        <f t="shared" si="186"/>
        <v>0</v>
      </c>
      <c r="M405" s="411">
        <f t="shared" si="182"/>
        <v>0</v>
      </c>
      <c r="N405" s="411">
        <f t="shared" si="183"/>
        <v>0</v>
      </c>
      <c r="O405" s="411">
        <f t="shared" si="184"/>
        <v>0</v>
      </c>
      <c r="P405" s="425">
        <f t="shared" si="188"/>
        <v>0</v>
      </c>
      <c r="S405" s="252">
        <f t="shared" si="178"/>
        <v>0</v>
      </c>
      <c r="T405" s="185"/>
      <c r="U405" s="411">
        <f>計分版!E$13</f>
        <v>1E-10</v>
      </c>
      <c r="V405" s="411">
        <f>計分版!F$13</f>
        <v>2.0000000000000001E-10</v>
      </c>
      <c r="W405" s="411">
        <f>計分版!G$13</f>
        <v>3E-10</v>
      </c>
      <c r="X405" s="411">
        <f>計分版!H$13</f>
        <v>4.0000000000000001E-10</v>
      </c>
      <c r="Y405" s="411">
        <f>計分版!I$13</f>
        <v>5.0000000000000003E-10</v>
      </c>
      <c r="Z405" s="411">
        <f>計分版!J$13</f>
        <v>6E-10</v>
      </c>
      <c r="AA405" s="411">
        <f>計分版!K$13</f>
        <v>6.9999999999999996E-10</v>
      </c>
      <c r="AB405" s="411">
        <f>計分版!L$13</f>
        <v>8.0000000000000003E-10</v>
      </c>
      <c r="AC405" s="411">
        <f>計分版!M$13</f>
        <v>8.9999999999999999E-10</v>
      </c>
      <c r="AD405" s="425">
        <f>計分版!N$13</f>
        <v>9.5000000000000003E-10</v>
      </c>
      <c r="AF405" s="425"/>
      <c r="AG405" s="425"/>
      <c r="AH405" s="425" t="s">
        <v>2308</v>
      </c>
      <c r="AI405" s="425"/>
      <c r="AJ405" s="425"/>
      <c r="AK405" s="425"/>
      <c r="AL405" s="425"/>
      <c r="AM405" s="425"/>
      <c r="AN405" s="174"/>
      <c r="AO405" s="174"/>
      <c r="AP405" s="174"/>
      <c r="AQ405" s="174"/>
      <c r="AR405" s="174"/>
      <c r="AS405" s="174"/>
      <c r="AT405" s="174"/>
    </row>
    <row r="406" spans="1:46">
      <c r="A406" s="2" t="s">
        <v>1224</v>
      </c>
      <c r="B406" s="2" t="s">
        <v>1225</v>
      </c>
      <c r="E406" s="419">
        <v>3</v>
      </c>
      <c r="F406" s="419">
        <v>3</v>
      </c>
      <c r="G406" s="419">
        <v>2</v>
      </c>
      <c r="H406" s="419">
        <v>2</v>
      </c>
      <c r="I406" s="419">
        <v>2</v>
      </c>
      <c r="J406" s="419"/>
      <c r="L406" s="411">
        <f t="shared" si="186"/>
        <v>0</v>
      </c>
      <c r="M406" s="411">
        <f t="shared" si="182"/>
        <v>0</v>
      </c>
      <c r="N406" s="411">
        <f t="shared" si="183"/>
        <v>0</v>
      </c>
      <c r="O406" s="411">
        <f t="shared" si="184"/>
        <v>0</v>
      </c>
      <c r="P406" s="425">
        <f>IF(I406&gt;LARGE(Z406:AC406,1),0,1)</f>
        <v>0</v>
      </c>
      <c r="S406" s="252">
        <f t="shared" si="178"/>
        <v>0</v>
      </c>
      <c r="T406" s="185"/>
      <c r="U406" s="411">
        <f>計分版!E$13</f>
        <v>1E-10</v>
      </c>
      <c r="V406" s="411">
        <f>計分版!F$13</f>
        <v>2.0000000000000001E-10</v>
      </c>
      <c r="W406" s="411">
        <f>計分版!G$13</f>
        <v>3E-10</v>
      </c>
      <c r="X406" s="411">
        <f>計分版!H$13</f>
        <v>4.0000000000000001E-10</v>
      </c>
      <c r="Y406" s="411">
        <f>計分版!I$13</f>
        <v>5.0000000000000003E-10</v>
      </c>
      <c r="Z406" s="411">
        <f>計分版!J$13</f>
        <v>6E-10</v>
      </c>
      <c r="AA406" s="411">
        <f>計分版!K$13</f>
        <v>6.9999999999999996E-10</v>
      </c>
      <c r="AB406" s="411">
        <f>計分版!L$13</f>
        <v>8.0000000000000003E-10</v>
      </c>
      <c r="AC406" s="411">
        <f>計分版!M$13</f>
        <v>8.9999999999999999E-10</v>
      </c>
      <c r="AD406" s="425">
        <f>計分版!N$13</f>
        <v>9.5000000000000003E-10</v>
      </c>
      <c r="AF406" s="425"/>
      <c r="AG406" s="425"/>
      <c r="AH406" s="425" t="s">
        <v>2308</v>
      </c>
      <c r="AI406" s="425"/>
      <c r="AJ406" s="425"/>
      <c r="AK406" s="425"/>
      <c r="AL406" s="425"/>
      <c r="AM406" s="425"/>
      <c r="AN406" s="174"/>
      <c r="AO406" s="174"/>
      <c r="AP406" s="174"/>
      <c r="AQ406" s="174"/>
      <c r="AR406" s="174"/>
      <c r="AS406" s="174"/>
      <c r="AT406" s="174"/>
    </row>
    <row r="407" spans="1:46">
      <c r="A407" s="2" t="s">
        <v>1967</v>
      </c>
      <c r="B407" s="2" t="s">
        <v>1982</v>
      </c>
      <c r="E407" s="419">
        <v>3</v>
      </c>
      <c r="F407" s="419">
        <v>3</v>
      </c>
      <c r="G407" s="419">
        <v>2</v>
      </c>
      <c r="H407" s="419">
        <v>2</v>
      </c>
      <c r="I407" s="419">
        <v>2</v>
      </c>
      <c r="J407" s="419"/>
      <c r="L407" s="411">
        <f t="shared" si="186"/>
        <v>0</v>
      </c>
      <c r="M407" s="411">
        <f t="shared" si="182"/>
        <v>0</v>
      </c>
      <c r="N407" s="411">
        <f t="shared" si="183"/>
        <v>0</v>
      </c>
      <c r="O407" s="411">
        <f t="shared" si="184"/>
        <v>0</v>
      </c>
      <c r="P407" s="252">
        <f>IF(I407&gt;LARGE(Z407:AC407,1),0,1)</f>
        <v>0</v>
      </c>
      <c r="S407" s="252">
        <f t="shared" si="178"/>
        <v>0</v>
      </c>
      <c r="T407" s="2"/>
      <c r="U407" s="411">
        <f>計分版!E$13</f>
        <v>1E-10</v>
      </c>
      <c r="V407" s="411">
        <f>計分版!F$13</f>
        <v>2.0000000000000001E-10</v>
      </c>
      <c r="W407" s="411">
        <f>計分版!G$13</f>
        <v>3E-10</v>
      </c>
      <c r="X407" s="411">
        <f>計分版!H$13</f>
        <v>4.0000000000000001E-10</v>
      </c>
      <c r="Y407" s="411">
        <f>計分版!I$13</f>
        <v>5.0000000000000003E-10</v>
      </c>
      <c r="Z407" s="411">
        <f>計分版!J$13</f>
        <v>6E-10</v>
      </c>
      <c r="AA407" s="411">
        <f>計分版!K$13</f>
        <v>6.9999999999999996E-10</v>
      </c>
      <c r="AB407" s="411">
        <f>計分版!L$13</f>
        <v>8.0000000000000003E-10</v>
      </c>
      <c r="AC407" s="411">
        <f>計分版!M$13</f>
        <v>8.9999999999999999E-10</v>
      </c>
      <c r="AD407" s="425">
        <f>計分版!N$13</f>
        <v>9.5000000000000003E-10</v>
      </c>
      <c r="AF407" s="425"/>
      <c r="AG407" s="425"/>
      <c r="AH407" s="425"/>
      <c r="AI407" s="425"/>
      <c r="AJ407" s="425"/>
      <c r="AK407" s="425"/>
      <c r="AL407" s="425"/>
      <c r="AM407" s="425"/>
      <c r="AN407" s="174"/>
      <c r="AO407" s="174"/>
      <c r="AP407" s="174"/>
      <c r="AQ407" s="174"/>
      <c r="AR407" s="174"/>
      <c r="AS407" s="174"/>
      <c r="AT407" s="174"/>
    </row>
    <row r="408" spans="1:46">
      <c r="A408" s="2" t="s">
        <v>1970</v>
      </c>
      <c r="B408" s="2" t="s">
        <v>1984</v>
      </c>
      <c r="E408" s="419">
        <v>3</v>
      </c>
      <c r="F408" s="419">
        <v>3</v>
      </c>
      <c r="G408" s="419">
        <v>2</v>
      </c>
      <c r="H408" s="419">
        <v>2</v>
      </c>
      <c r="I408" s="419">
        <v>2</v>
      </c>
      <c r="J408" s="419"/>
      <c r="L408" s="411">
        <f t="shared" ref="L408" si="189">IF(E408&gt;U408,0,1)</f>
        <v>0</v>
      </c>
      <c r="M408" s="411">
        <f t="shared" ref="M408" si="190">IF(F408&gt;V408,0,1)</f>
        <v>0</v>
      </c>
      <c r="N408" s="411">
        <f t="shared" ref="N408" si="191">IF(G408&gt;W408,0,1)</f>
        <v>0</v>
      </c>
      <c r="O408" s="411">
        <f t="shared" ref="O408" si="192">IF(H408&gt;X408,0,1)</f>
        <v>0</v>
      </c>
      <c r="P408" s="252">
        <f>IF(I408&gt;LARGE(Z408:AC408,1),0,IF(計分版!T421=0,2,1))</f>
        <v>0</v>
      </c>
      <c r="S408" s="252">
        <f t="shared" si="178"/>
        <v>0</v>
      </c>
      <c r="T408" s="2"/>
      <c r="U408" s="411">
        <f>計分版!E$13</f>
        <v>1E-10</v>
      </c>
      <c r="V408" s="411">
        <f>計分版!F$13</f>
        <v>2.0000000000000001E-10</v>
      </c>
      <c r="W408" s="411">
        <f>計分版!G$13</f>
        <v>3E-10</v>
      </c>
      <c r="X408" s="411">
        <f>計分版!H$13</f>
        <v>4.0000000000000001E-10</v>
      </c>
      <c r="Y408" s="411">
        <f>計分版!I$13</f>
        <v>5.0000000000000003E-10</v>
      </c>
      <c r="Z408" s="411">
        <f>計分版!J$13</f>
        <v>6E-10</v>
      </c>
      <c r="AA408" s="411">
        <f>計分版!K$13</f>
        <v>6.9999999999999996E-10</v>
      </c>
      <c r="AB408" s="411">
        <f>計分版!L$13</f>
        <v>8.0000000000000003E-10</v>
      </c>
      <c r="AC408" s="411">
        <f>計分版!M$13</f>
        <v>8.9999999999999999E-10</v>
      </c>
      <c r="AD408" s="425">
        <f>計分版!N$13</f>
        <v>9.5000000000000003E-10</v>
      </c>
      <c r="AF408" s="425"/>
      <c r="AG408" s="425"/>
      <c r="AH408" s="425"/>
      <c r="AI408" s="425"/>
      <c r="AJ408" s="425"/>
      <c r="AK408" s="425"/>
      <c r="AL408" s="425"/>
      <c r="AM408" s="425"/>
      <c r="AN408" s="174"/>
      <c r="AO408" s="174"/>
      <c r="AP408" s="174"/>
      <c r="AQ408" s="174"/>
      <c r="AR408" s="174"/>
      <c r="AS408" s="174"/>
      <c r="AT408" s="174"/>
    </row>
    <row r="409" spans="1:46">
      <c r="T409" s="2"/>
      <c r="AD409" s="425"/>
      <c r="AF409" s="425"/>
      <c r="AG409" s="425"/>
      <c r="AH409" s="425"/>
      <c r="AI409" s="425"/>
      <c r="AJ409" s="425"/>
      <c r="AK409" s="425"/>
      <c r="AL409" s="425"/>
      <c r="AM409" s="425"/>
      <c r="AN409" s="174"/>
      <c r="AO409" s="174"/>
      <c r="AP409" s="174"/>
      <c r="AQ409" s="174"/>
      <c r="AR409" s="174"/>
      <c r="AS409" s="174"/>
      <c r="AT409" s="174"/>
    </row>
    <row r="410" spans="1:46">
      <c r="T410" s="2"/>
      <c r="AD410" s="425"/>
      <c r="AF410" s="425"/>
      <c r="AG410" s="425"/>
      <c r="AH410" s="425"/>
      <c r="AI410" s="425"/>
      <c r="AJ410" s="425"/>
      <c r="AK410" s="425"/>
      <c r="AL410" s="425"/>
      <c r="AM410" s="425"/>
      <c r="AN410" s="174"/>
      <c r="AO410" s="174"/>
      <c r="AP410" s="174"/>
      <c r="AQ410" s="174"/>
      <c r="AR410" s="174"/>
      <c r="AS410" s="174"/>
      <c r="AT410" s="174"/>
    </row>
    <row r="411" spans="1:46">
      <c r="AF411" s="425"/>
      <c r="AG411" s="425"/>
      <c r="AH411" s="425"/>
      <c r="AI411" s="425"/>
      <c r="AJ411" s="425"/>
      <c r="AK411" s="425"/>
      <c r="AL411" s="425"/>
      <c r="AM411" s="425"/>
      <c r="AN411" s="174"/>
      <c r="AO411" s="174"/>
      <c r="AP411" s="174"/>
      <c r="AQ411" s="174"/>
    </row>
    <row r="412" spans="1:46">
      <c r="AF412" s="425"/>
      <c r="AG412" s="425"/>
      <c r="AH412" s="425"/>
      <c r="AI412" s="425"/>
      <c r="AJ412" s="425"/>
      <c r="AK412" s="425"/>
      <c r="AL412" s="425"/>
      <c r="AM412" s="425"/>
      <c r="AN412" s="174"/>
      <c r="AO412" s="174"/>
      <c r="AP412" s="174"/>
      <c r="AQ412" s="174"/>
    </row>
    <row r="413" spans="1:46">
      <c r="AF413" s="425"/>
      <c r="AG413" s="425"/>
      <c r="AH413" s="425"/>
      <c r="AI413" s="425"/>
      <c r="AJ413" s="425"/>
      <c r="AK413" s="425"/>
      <c r="AL413" s="425"/>
      <c r="AM413" s="425"/>
      <c r="AN413" s="174"/>
      <c r="AO413" s="174"/>
      <c r="AP413" s="174"/>
      <c r="AQ413" s="174"/>
    </row>
  </sheetData>
  <mergeCells count="2">
    <mergeCell ref="D158:D159"/>
    <mergeCell ref="D182:D183"/>
  </mergeCells>
  <phoneticPr fontId="2" type="noConversion"/>
  <conditionalFormatting sqref="Q271 L85:Q85 M161 N165 N168 P147:Q168 N169:Q181 O182:Q207 M270 M277:M281 P40:Q53 P56:Q84 P88:Q132 P239:Q270 P272:Q281">
    <cfRule type="cellIs" dxfId="660" priority="546" operator="equal">
      <formula>0</formula>
    </cfRule>
    <cfRule type="cellIs" dxfId="659" priority="547" operator="equal">
      <formula>2</formula>
    </cfRule>
    <cfRule type="cellIs" dxfId="658" priority="548" operator="equal">
      <formula>1</formula>
    </cfRule>
  </conditionalFormatting>
  <conditionalFormatting sqref="S88:S132 M321 S3:S53 S56:S85 S147:S207 S239:S281 S300:S322 P300:P322 M301">
    <cfRule type="cellIs" dxfId="657" priority="543" operator="equal">
      <formula>2</formula>
    </cfRule>
    <cfRule type="cellIs" dxfId="656" priority="544" operator="equal">
      <formula>1</formula>
    </cfRule>
    <cfRule type="cellIs" dxfId="655" priority="545" operator="equal">
      <formula>0</formula>
    </cfRule>
  </conditionalFormatting>
  <conditionalFormatting sqref="P211:Q235">
    <cfRule type="cellIs" dxfId="654" priority="402" operator="equal">
      <formula>0</formula>
    </cfRule>
    <cfRule type="cellIs" dxfId="653" priority="403" operator="equal">
      <formula>2</formula>
    </cfRule>
    <cfRule type="cellIs" dxfId="652" priority="404" operator="equal">
      <formula>1</formula>
    </cfRule>
  </conditionalFormatting>
  <conditionalFormatting sqref="S211:S215 S217:S235">
    <cfRule type="cellIs" dxfId="651" priority="393" operator="equal">
      <formula>2</formula>
    </cfRule>
    <cfRule type="cellIs" dxfId="650" priority="394" operator="equal">
      <formula>1</formula>
    </cfRule>
    <cfRule type="cellIs" dxfId="649" priority="395" operator="equal">
      <formula>0</formula>
    </cfRule>
  </conditionalFormatting>
  <conditionalFormatting sqref="L53:O53">
    <cfRule type="cellIs" dxfId="648" priority="320" operator="equal">
      <formula>0</formula>
    </cfRule>
    <cfRule type="cellIs" dxfId="647" priority="321" operator="equal">
      <formula>2</formula>
    </cfRule>
    <cfRule type="cellIs" dxfId="646" priority="322" operator="equal">
      <formula>1</formula>
    </cfRule>
  </conditionalFormatting>
  <conditionalFormatting sqref="P3:Q25 P26:P27">
    <cfRule type="cellIs" dxfId="645" priority="317" operator="equal">
      <formula>0</formula>
    </cfRule>
    <cfRule type="cellIs" dxfId="644" priority="318" operator="equal">
      <formula>2</formula>
    </cfRule>
    <cfRule type="cellIs" dxfId="643" priority="319" operator="equal">
      <formula>1</formula>
    </cfRule>
  </conditionalFormatting>
  <conditionalFormatting sqref="L3:O52">
    <cfRule type="cellIs" dxfId="642" priority="314" operator="equal">
      <formula>0</formula>
    </cfRule>
    <cfRule type="cellIs" dxfId="641" priority="315" operator="equal">
      <formula>2</formula>
    </cfRule>
    <cfRule type="cellIs" dxfId="640" priority="316" operator="equal">
      <formula>1</formula>
    </cfRule>
  </conditionalFormatting>
  <conditionalFormatting sqref="P285:P296">
    <cfRule type="cellIs" dxfId="639" priority="267" operator="equal">
      <formula>0</formula>
    </cfRule>
    <cfRule type="cellIs" dxfId="638" priority="268" operator="equal">
      <formula>2</formula>
    </cfRule>
    <cfRule type="cellIs" dxfId="637" priority="269" operator="equal">
      <formula>1</formula>
    </cfRule>
  </conditionalFormatting>
  <conditionalFormatting sqref="S285:S296">
    <cfRule type="cellIs" dxfId="636" priority="264" operator="equal">
      <formula>2</formula>
    </cfRule>
    <cfRule type="cellIs" dxfId="635" priority="265" operator="equal">
      <formula>1</formula>
    </cfRule>
    <cfRule type="cellIs" dxfId="634" priority="266" operator="equal">
      <formula>0</formula>
    </cfRule>
  </conditionalFormatting>
  <conditionalFormatting sqref="P271">
    <cfRule type="cellIs" dxfId="633" priority="218" operator="equal">
      <formula>0</formula>
    </cfRule>
    <cfRule type="cellIs" dxfId="632" priority="219" operator="equal">
      <formula>2</formula>
    </cfRule>
    <cfRule type="cellIs" dxfId="631" priority="220" operator="equal">
      <formula>1</formula>
    </cfRule>
  </conditionalFormatting>
  <conditionalFormatting sqref="P134:P143">
    <cfRule type="cellIs" dxfId="630" priority="215" operator="equal">
      <formula>0</formula>
    </cfRule>
    <cfRule type="cellIs" dxfId="629" priority="216" operator="equal">
      <formula>2</formula>
    </cfRule>
    <cfRule type="cellIs" dxfId="628" priority="217" operator="equal">
      <formula>1</formula>
    </cfRule>
  </conditionalFormatting>
  <conditionalFormatting sqref="S134:S143">
    <cfRule type="cellIs" dxfId="627" priority="212" operator="equal">
      <formula>2</formula>
    </cfRule>
    <cfRule type="cellIs" dxfId="626" priority="213" operator="equal">
      <formula>1</formula>
    </cfRule>
    <cfRule type="cellIs" dxfId="625" priority="214" operator="equal">
      <formula>0</formula>
    </cfRule>
  </conditionalFormatting>
  <conditionalFormatting sqref="S326:S360">
    <cfRule type="cellIs" dxfId="624" priority="196" operator="equal">
      <formula>2</formula>
    </cfRule>
    <cfRule type="cellIs" dxfId="623" priority="197" operator="equal">
      <formula>1</formula>
    </cfRule>
    <cfRule type="cellIs" dxfId="622" priority="198" operator="equal">
      <formula>0</formula>
    </cfRule>
  </conditionalFormatting>
  <conditionalFormatting sqref="P326:P360">
    <cfRule type="cellIs" dxfId="621" priority="193" operator="equal">
      <formula>0</formula>
    </cfRule>
    <cfRule type="cellIs" dxfId="620" priority="194" operator="equal">
      <formula>2</formula>
    </cfRule>
    <cfRule type="cellIs" dxfId="619" priority="195" operator="equal">
      <formula>1</formula>
    </cfRule>
  </conditionalFormatting>
  <conditionalFormatting sqref="M379:O381">
    <cfRule type="cellIs" dxfId="618" priority="180" operator="equal">
      <formula>0</formula>
    </cfRule>
    <cfRule type="cellIs" dxfId="617" priority="181" operator="equal">
      <formula>2</formula>
    </cfRule>
    <cfRule type="cellIs" dxfId="616" priority="182" operator="equal">
      <formula>1</formula>
    </cfRule>
  </conditionalFormatting>
  <conditionalFormatting sqref="S364:S408">
    <cfRule type="cellIs" dxfId="615" priority="177" operator="equal">
      <formula>2</formula>
    </cfRule>
    <cfRule type="cellIs" dxfId="614" priority="178" operator="equal">
      <formula>1</formula>
    </cfRule>
    <cfRule type="cellIs" dxfId="613" priority="179" operator="equal">
      <formula>0</formula>
    </cfRule>
  </conditionalFormatting>
  <conditionalFormatting sqref="P364:P408">
    <cfRule type="cellIs" dxfId="612" priority="174" operator="equal">
      <formula>0</formula>
    </cfRule>
    <cfRule type="cellIs" dxfId="611" priority="175" operator="equal">
      <formula>2</formula>
    </cfRule>
    <cfRule type="cellIs" dxfId="610" priority="176" operator="equal">
      <formula>1</formula>
    </cfRule>
  </conditionalFormatting>
  <conditionalFormatting sqref="S216">
    <cfRule type="cellIs" dxfId="609" priority="69" operator="equal">
      <formula>2</formula>
    </cfRule>
    <cfRule type="cellIs" dxfId="608" priority="70" operator="equal">
      <formula>1</formula>
    </cfRule>
    <cfRule type="cellIs" dxfId="607" priority="71" operator="equal">
      <formula>0</formula>
    </cfRule>
  </conditionalFormatting>
  <conditionalFormatting sqref="L56:O84">
    <cfRule type="cellIs" dxfId="606" priority="66" operator="equal">
      <formula>0</formula>
    </cfRule>
    <cfRule type="cellIs" dxfId="605" priority="67" operator="equal">
      <formula>2</formula>
    </cfRule>
    <cfRule type="cellIs" dxfId="604" priority="68" operator="equal">
      <formula>1</formula>
    </cfRule>
  </conditionalFormatting>
  <conditionalFormatting sqref="L88:O132">
    <cfRule type="cellIs" dxfId="603" priority="63" operator="equal">
      <formula>0</formula>
    </cfRule>
    <cfRule type="cellIs" dxfId="602" priority="64" operator="equal">
      <formula>2</formula>
    </cfRule>
    <cfRule type="cellIs" dxfId="601" priority="65" operator="equal">
      <formula>1</formula>
    </cfRule>
  </conditionalFormatting>
  <conditionalFormatting sqref="L134:O143">
    <cfRule type="cellIs" dxfId="600" priority="60" operator="equal">
      <formula>0</formula>
    </cfRule>
    <cfRule type="cellIs" dxfId="599" priority="61" operator="equal">
      <formula>2</formula>
    </cfRule>
    <cfRule type="cellIs" dxfId="598" priority="62" operator="equal">
      <formula>1</formula>
    </cfRule>
  </conditionalFormatting>
  <conditionalFormatting sqref="L147:O160 N161:O161 L161:L164 M162:O164 L165:M166 O165:O166 N166 L167:O167 O168 L168:M207 N182:N207">
    <cfRule type="cellIs" dxfId="597" priority="57" operator="equal">
      <formula>0</formula>
    </cfRule>
    <cfRule type="cellIs" dxfId="596" priority="58" operator="equal">
      <formula>2</formula>
    </cfRule>
    <cfRule type="cellIs" dxfId="595" priority="59" operator="equal">
      <formula>1</formula>
    </cfRule>
  </conditionalFormatting>
  <conditionalFormatting sqref="L211:O235">
    <cfRule type="cellIs" dxfId="594" priority="52" operator="equal">
      <formula>0</formula>
    </cfRule>
    <cfRule type="cellIs" dxfId="593" priority="53" operator="equal">
      <formula>2</formula>
    </cfRule>
    <cfRule type="cellIs" dxfId="592" priority="54" operator="equal">
      <formula>1</formula>
    </cfRule>
  </conditionalFormatting>
  <conditionalFormatting sqref="L239:O269 N270:O274 L270:L274 M271:M274 N277:O281 L275:O276 L277:L281">
    <cfRule type="cellIs" dxfId="591" priority="49" operator="equal">
      <formula>0</formula>
    </cfRule>
    <cfRule type="cellIs" dxfId="590" priority="50" operator="equal">
      <formula>2</formula>
    </cfRule>
    <cfRule type="cellIs" dxfId="589" priority="51" operator="equal">
      <formula>1</formula>
    </cfRule>
  </conditionalFormatting>
  <conditionalFormatting sqref="L285:O296">
    <cfRule type="cellIs" dxfId="588" priority="46" operator="equal">
      <formula>0</formula>
    </cfRule>
    <cfRule type="cellIs" dxfId="587" priority="47" operator="equal">
      <formula>2</formula>
    </cfRule>
    <cfRule type="cellIs" dxfId="586" priority="48" operator="equal">
      <formula>1</formula>
    </cfRule>
  </conditionalFormatting>
  <conditionalFormatting sqref="M300:O300 N301:O301 N321:O321">
    <cfRule type="cellIs" dxfId="585" priority="43" operator="equal">
      <formula>0</formula>
    </cfRule>
    <cfRule type="cellIs" dxfId="584" priority="44" operator="equal">
      <formula>2</formula>
    </cfRule>
    <cfRule type="cellIs" dxfId="583" priority="45" operator="equal">
      <formula>1</formula>
    </cfRule>
  </conditionalFormatting>
  <conditionalFormatting sqref="L300">
    <cfRule type="cellIs" dxfId="582" priority="40" operator="equal">
      <formula>2</formula>
    </cfRule>
    <cfRule type="cellIs" dxfId="581" priority="41" operator="equal">
      <formula>1</formula>
    </cfRule>
    <cfRule type="cellIs" dxfId="580" priority="42" operator="equal">
      <formula>0</formula>
    </cfRule>
  </conditionalFormatting>
  <conditionalFormatting sqref="L301">
    <cfRule type="cellIs" dxfId="579" priority="37" operator="equal">
      <formula>0</formula>
    </cfRule>
    <cfRule type="cellIs" dxfId="578" priority="38" operator="equal">
      <formula>2</formula>
    </cfRule>
    <cfRule type="cellIs" dxfId="577" priority="39" operator="equal">
      <formula>1</formula>
    </cfRule>
  </conditionalFormatting>
  <conditionalFormatting sqref="L302:O311">
    <cfRule type="cellIs" dxfId="576" priority="34" operator="equal">
      <formula>0</formula>
    </cfRule>
    <cfRule type="cellIs" dxfId="575" priority="35" operator="equal">
      <formula>2</formula>
    </cfRule>
    <cfRule type="cellIs" dxfId="574" priority="36" operator="equal">
      <formula>1</formula>
    </cfRule>
  </conditionalFormatting>
  <conditionalFormatting sqref="M313">
    <cfRule type="cellIs" dxfId="573" priority="31" operator="equal">
      <formula>2</formula>
    </cfRule>
    <cfRule type="cellIs" dxfId="572" priority="32" operator="equal">
      <formula>1</formula>
    </cfRule>
    <cfRule type="cellIs" dxfId="571" priority="33" operator="equal">
      <formula>0</formula>
    </cfRule>
  </conditionalFormatting>
  <conditionalFormatting sqref="M312:O312 N313:O313">
    <cfRule type="cellIs" dxfId="570" priority="28" operator="equal">
      <formula>0</formula>
    </cfRule>
    <cfRule type="cellIs" dxfId="569" priority="29" operator="equal">
      <formula>2</formula>
    </cfRule>
    <cfRule type="cellIs" dxfId="568" priority="30" operator="equal">
      <formula>1</formula>
    </cfRule>
  </conditionalFormatting>
  <conditionalFormatting sqref="L312">
    <cfRule type="cellIs" dxfId="567" priority="25" operator="equal">
      <formula>2</formula>
    </cfRule>
    <cfRule type="cellIs" dxfId="566" priority="26" operator="equal">
      <formula>1</formula>
    </cfRule>
    <cfRule type="cellIs" dxfId="565" priority="27" operator="equal">
      <formula>0</formula>
    </cfRule>
  </conditionalFormatting>
  <conditionalFormatting sqref="L313">
    <cfRule type="cellIs" dxfId="564" priority="22" operator="equal">
      <formula>0</formula>
    </cfRule>
    <cfRule type="cellIs" dxfId="563" priority="23" operator="equal">
      <formula>2</formula>
    </cfRule>
    <cfRule type="cellIs" dxfId="562" priority="24" operator="equal">
      <formula>1</formula>
    </cfRule>
  </conditionalFormatting>
  <conditionalFormatting sqref="L314:O320 L321:L322 M322:O322">
    <cfRule type="cellIs" dxfId="561" priority="19" operator="equal">
      <formula>0</formula>
    </cfRule>
    <cfRule type="cellIs" dxfId="560" priority="20" operator="equal">
      <formula>2</formula>
    </cfRule>
    <cfRule type="cellIs" dxfId="559" priority="21" operator="equal">
      <formula>1</formula>
    </cfRule>
  </conditionalFormatting>
  <conditionalFormatting sqref="L326:O360">
    <cfRule type="cellIs" dxfId="558" priority="16" operator="equal">
      <formula>0</formula>
    </cfRule>
    <cfRule type="cellIs" dxfId="557" priority="17" operator="equal">
      <formula>2</formula>
    </cfRule>
    <cfRule type="cellIs" dxfId="556" priority="18" operator="equal">
      <formula>1</formula>
    </cfRule>
  </conditionalFormatting>
  <conditionalFormatting sqref="L364:O378 L379:L390">
    <cfRule type="cellIs" dxfId="555" priority="13" operator="equal">
      <formula>0</formula>
    </cfRule>
    <cfRule type="cellIs" dxfId="554" priority="14" operator="equal">
      <formula>2</formula>
    </cfRule>
    <cfRule type="cellIs" dxfId="553" priority="15" operator="equal">
      <formula>1</formula>
    </cfRule>
  </conditionalFormatting>
  <conditionalFormatting sqref="L391:O408 M382:O390">
    <cfRule type="cellIs" dxfId="552" priority="10" operator="equal">
      <formula>0</formula>
    </cfRule>
    <cfRule type="cellIs" dxfId="551" priority="11" operator="equal">
      <formula>2</formula>
    </cfRule>
    <cfRule type="cellIs" dxfId="550" priority="12" operator="equal">
      <formula>1</formula>
    </cfRule>
  </conditionalFormatting>
  <conditionalFormatting sqref="P28:Q39">
    <cfRule type="cellIs" dxfId="549" priority="7" operator="equal">
      <formula>0</formula>
    </cfRule>
    <cfRule type="cellIs" dxfId="548" priority="8" operator="equal">
      <formula>2</formula>
    </cfRule>
    <cfRule type="cellIs" dxfId="547" priority="9" operator="equal">
      <formula>1</formula>
    </cfRule>
  </conditionalFormatting>
  <conditionalFormatting sqref="E3:J408">
    <cfRule type="expression" dxfId="546" priority="1">
      <formula>L3=0</formula>
    </cfRule>
    <cfRule type="expression" dxfId="545" priority="2">
      <formula>L3=2</formula>
    </cfRule>
    <cfRule type="expression" dxfId="544" priority="3">
      <formula>L3=1</formula>
    </cfRule>
  </conditionalFormatting>
  <pageMargins left="0.7" right="0.7" top="0.75" bottom="0.75" header="0.3" footer="0.3"/>
  <pageSetup paperSize="9"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1"/>
  <dimension ref="A1:U43"/>
  <sheetViews>
    <sheetView showGridLines="0" tabSelected="1" zoomScale="115" zoomScaleNormal="115" workbookViewId="0">
      <selection activeCell="C8" sqref="C8"/>
    </sheetView>
  </sheetViews>
  <sheetFormatPr defaultColWidth="0" defaultRowHeight="15.6" zeroHeight="1"/>
  <cols>
    <col min="1" max="1" width="9" style="210" customWidth="1"/>
    <col min="2" max="2" width="17" style="210" customWidth="1"/>
    <col min="3" max="3" width="13.109375" style="210" customWidth="1"/>
    <col min="4" max="4" width="6.6640625" style="210" customWidth="1"/>
    <col min="5" max="5" width="4.6640625" style="210" customWidth="1"/>
    <col min="6" max="6" width="8.88671875" style="210" customWidth="1"/>
    <col min="7" max="7" width="7.6640625" style="211" customWidth="1"/>
    <col min="8" max="8" width="9.33203125" style="211" customWidth="1"/>
    <col min="9" max="9" width="7.6640625" style="210" customWidth="1"/>
    <col min="10" max="12" width="7.109375" style="210" customWidth="1"/>
    <col min="13" max="13" width="7.6640625" style="210" customWidth="1"/>
    <col min="14" max="14" width="5.6640625" style="210" customWidth="1"/>
    <col min="15" max="15" width="7.44140625" style="210" customWidth="1"/>
    <col min="16" max="16" width="7.33203125" style="210" customWidth="1"/>
    <col min="17" max="17" width="3.6640625" style="210" customWidth="1"/>
    <col min="18" max="21" width="9" style="210" customWidth="1"/>
    <col min="22" max="16384" width="9" style="210" hidden="1"/>
  </cols>
  <sheetData>
    <row r="1" spans="1:17"/>
    <row r="2" spans="1:17" ht="19.5" customHeight="1">
      <c r="B2" s="488" t="s">
        <v>2509</v>
      </c>
      <c r="H2" s="212" t="s">
        <v>1013</v>
      </c>
    </row>
    <row r="3" spans="1:17">
      <c r="G3" s="213"/>
      <c r="H3" s="214" t="s">
        <v>2467</v>
      </c>
    </row>
    <row r="4" spans="1:17">
      <c r="H4" s="214" t="s">
        <v>2468</v>
      </c>
    </row>
    <row r="5" spans="1:17">
      <c r="A5" s="264" t="s">
        <v>2014</v>
      </c>
      <c r="B5" s="215" t="s">
        <v>0</v>
      </c>
      <c r="E5" s="264" t="s">
        <v>2015</v>
      </c>
      <c r="F5" s="216" t="s">
        <v>2303</v>
      </c>
      <c r="K5" s="269" t="s">
        <v>2507</v>
      </c>
      <c r="L5" s="70"/>
      <c r="M5" s="70"/>
      <c r="N5" s="70"/>
      <c r="O5" s="269"/>
      <c r="P5" s="269"/>
    </row>
    <row r="6" spans="1:17">
      <c r="B6" s="262" t="s">
        <v>1015</v>
      </c>
      <c r="D6" s="219"/>
      <c r="K6" s="270" t="s">
        <v>2508</v>
      </c>
      <c r="L6" s="70"/>
      <c r="M6" s="70"/>
      <c r="N6" s="70"/>
      <c r="O6" s="270"/>
      <c r="P6" s="270"/>
    </row>
    <row r="7" spans="1:17">
      <c r="A7" s="387"/>
      <c r="B7" s="215" t="s">
        <v>5</v>
      </c>
      <c r="D7" s="220" t="s">
        <v>986</v>
      </c>
      <c r="F7" s="215" t="s">
        <v>59</v>
      </c>
      <c r="G7" s="221">
        <f>IF(計分版!I19=FALSE,計分版!B19,計分版!E19)</f>
        <v>3.3999999999999998E-9</v>
      </c>
      <c r="H7" s="215" t="s">
        <v>61</v>
      </c>
      <c r="I7" s="221">
        <f>IF(計分版!I19=FALSE,計分版!B21,計分版!G19)</f>
        <v>1.9000000000000001E-9</v>
      </c>
      <c r="K7" s="270"/>
      <c r="L7" s="70"/>
      <c r="M7" s="70"/>
      <c r="N7" s="70"/>
      <c r="O7" s="270"/>
      <c r="P7" s="270"/>
    </row>
    <row r="8" spans="1:17">
      <c r="B8" s="476" t="s">
        <v>2</v>
      </c>
      <c r="C8" s="477" t="s">
        <v>44</v>
      </c>
      <c r="D8" s="222"/>
      <c r="F8" s="215" t="s">
        <v>58</v>
      </c>
      <c r="G8" s="221">
        <f>IF(計分版!I19=FALSE,計分版!B20,計分版!E20)</f>
        <v>3.7E-9</v>
      </c>
      <c r="H8" s="215" t="s">
        <v>60</v>
      </c>
      <c r="I8" s="221">
        <f>IF(計分版!I19=FALSE,計分版!B22,計分版!G20)</f>
        <v>2.7000000000000002E-9</v>
      </c>
      <c r="K8" s="270"/>
      <c r="L8" s="70"/>
      <c r="M8" s="70"/>
      <c r="N8" s="70"/>
      <c r="O8" s="269"/>
      <c r="P8" s="269"/>
    </row>
    <row r="9" spans="1:17">
      <c r="B9" s="210" t="s">
        <v>1</v>
      </c>
      <c r="C9" s="222" t="s">
        <v>44</v>
      </c>
      <c r="D9" s="222"/>
      <c r="F9" s="210" t="s">
        <v>62</v>
      </c>
      <c r="J9" s="319"/>
      <c r="K9" s="320" t="s">
        <v>1049</v>
      </c>
      <c r="O9" s="218"/>
      <c r="P9" s="218"/>
    </row>
    <row r="10" spans="1:17">
      <c r="B10" s="476" t="s">
        <v>3</v>
      </c>
      <c r="C10" s="477" t="s">
        <v>44</v>
      </c>
      <c r="D10" s="222"/>
      <c r="O10" s="218"/>
      <c r="P10" s="218"/>
    </row>
    <row r="11" spans="1:17">
      <c r="B11" s="210" t="s">
        <v>4</v>
      </c>
      <c r="C11" s="222" t="s">
        <v>44</v>
      </c>
      <c r="D11" s="222"/>
      <c r="E11" s="264" t="s">
        <v>2016</v>
      </c>
      <c r="F11" s="223" t="s">
        <v>987</v>
      </c>
      <c r="I11" s="224" t="s">
        <v>2304</v>
      </c>
    </row>
    <row r="12" spans="1:17">
      <c r="B12" s="476" t="s">
        <v>64</v>
      </c>
      <c r="C12" s="477" t="s">
        <v>44</v>
      </c>
      <c r="D12" s="222"/>
      <c r="E12" s="225"/>
      <c r="F12" s="244" t="s">
        <v>988</v>
      </c>
      <c r="G12" s="227"/>
      <c r="I12" s="228" t="s">
        <v>1351</v>
      </c>
    </row>
    <row r="13" spans="1:17" ht="14.4" customHeight="1">
      <c r="C13" s="222"/>
      <c r="D13" s="222"/>
      <c r="E13" s="225"/>
      <c r="G13" s="227"/>
      <c r="H13" s="227"/>
      <c r="O13" s="282" t="s">
        <v>2031</v>
      </c>
      <c r="P13" s="282" t="s">
        <v>2436</v>
      </c>
      <c r="Q13" s="263" t="s">
        <v>1014</v>
      </c>
    </row>
    <row r="14" spans="1:17">
      <c r="B14" s="215" t="s">
        <v>6</v>
      </c>
      <c r="C14" s="222"/>
      <c r="D14" s="222"/>
      <c r="E14" s="225"/>
      <c r="F14" s="225"/>
      <c r="G14" s="229" t="s">
        <v>989</v>
      </c>
      <c r="H14" s="229" t="s">
        <v>990</v>
      </c>
      <c r="I14" s="230" t="s">
        <v>996</v>
      </c>
      <c r="J14" s="282" t="s">
        <v>368</v>
      </c>
      <c r="K14" s="282" t="s">
        <v>994</v>
      </c>
      <c r="L14" s="282" t="s">
        <v>995</v>
      </c>
      <c r="M14" s="217" t="s">
        <v>1012</v>
      </c>
      <c r="N14" s="282" t="s">
        <v>361</v>
      </c>
      <c r="O14" s="282" t="s">
        <v>2437</v>
      </c>
      <c r="P14" s="282" t="s">
        <v>2438</v>
      </c>
      <c r="Q14" s="217" t="s">
        <v>1016</v>
      </c>
    </row>
    <row r="15" spans="1:17">
      <c r="B15" s="476" t="s">
        <v>2503</v>
      </c>
      <c r="C15" s="477" t="s">
        <v>44</v>
      </c>
      <c r="D15" s="222"/>
      <c r="E15" s="231" t="s">
        <v>991</v>
      </c>
      <c r="F15" s="232" t="s">
        <v>358</v>
      </c>
      <c r="G15" s="246" t="str">
        <f>'A123'!B16</f>
        <v>CUHK</v>
      </c>
      <c r="H15" s="246" t="str">
        <f>'A123'!D16</f>
        <v>PSYCHOLOGY</v>
      </c>
      <c r="I15" s="248" t="str">
        <f>'A123'!E16</f>
        <v>Best 5</v>
      </c>
      <c r="J15" s="280">
        <f>'A123'!F16</f>
        <v>37.5</v>
      </c>
      <c r="K15" s="280">
        <f>'A123'!G16</f>
        <v>35.25</v>
      </c>
      <c r="L15" s="280">
        <f>'A123'!H16</f>
        <v>33</v>
      </c>
      <c r="M15" s="412">
        <f>'A123'!I16</f>
        <v>3.9500000000000006E-9</v>
      </c>
      <c r="N15" s="280">
        <f>'A123'!J16</f>
        <v>54</v>
      </c>
      <c r="O15" s="280">
        <f>'A123'!K16</f>
        <v>57</v>
      </c>
      <c r="P15" s="485">
        <f>'A123'!L16</f>
        <v>6.709090909090909</v>
      </c>
      <c r="Q15" s="245">
        <f>'A123'!M16</f>
        <v>0</v>
      </c>
    </row>
    <row r="16" spans="1:17">
      <c r="B16" s="210" t="s">
        <v>2504</v>
      </c>
      <c r="C16" s="222" t="s">
        <v>44</v>
      </c>
      <c r="D16" s="222"/>
      <c r="E16" s="233"/>
      <c r="F16" s="234"/>
      <c r="G16" s="235" t="str">
        <f>'A123'!C16</f>
        <v>心理學</v>
      </c>
      <c r="H16" s="236"/>
      <c r="I16" s="219"/>
      <c r="J16" s="281">
        <f>IF('A123'!A1=FALSE,'A123'!B5,'A123'!F5)</f>
        <v>-9493670885.0759487</v>
      </c>
      <c r="K16" s="281">
        <f>IF('A123'!A1=FALSE,'A123'!C5,'A123'!G5)</f>
        <v>-8924050631.9113903</v>
      </c>
      <c r="L16" s="281">
        <f>IF('A123'!A1=FALSE,'A123'!D5,'A123'!H5)</f>
        <v>-8354430378.7468338</v>
      </c>
      <c r="M16" s="236"/>
      <c r="N16" s="236"/>
      <c r="O16" s="236"/>
      <c r="P16" s="236"/>
    </row>
    <row r="17" spans="1:20">
      <c r="B17" s="476" t="s">
        <v>2353</v>
      </c>
      <c r="C17" s="477" t="s">
        <v>44</v>
      </c>
      <c r="D17" s="222"/>
      <c r="E17" s="231" t="s">
        <v>992</v>
      </c>
      <c r="F17" s="232" t="s">
        <v>2354</v>
      </c>
      <c r="G17" s="246" t="str">
        <f>'A123'!B17</f>
        <v>LingU</v>
      </c>
      <c r="H17" s="246" t="str">
        <f>'A123'!D17</f>
        <v>BA (Hons) Cultural Stud</v>
      </c>
      <c r="I17" s="248" t="str">
        <f>'A123'!E17</f>
        <v>Best 5</v>
      </c>
      <c r="J17" s="280" t="str">
        <f>'A123'!F17</f>
        <v>/</v>
      </c>
      <c r="K17" s="280">
        <f>'A123'!G17</f>
        <v>26</v>
      </c>
      <c r="L17" s="280">
        <f>'A123'!H17</f>
        <v>25</v>
      </c>
      <c r="M17" s="412">
        <f>'A123'!I17</f>
        <v>3.9500000000000006E-9</v>
      </c>
      <c r="N17" s="280">
        <f>'A123'!J17</f>
        <v>25</v>
      </c>
      <c r="O17" s="280">
        <f>'A123'!K17</f>
        <v>26</v>
      </c>
      <c r="P17" s="485">
        <f>'A123'!L17</f>
        <v>14.428571428571429</v>
      </c>
      <c r="Q17" s="247">
        <f>'A123'!M17</f>
        <v>0</v>
      </c>
      <c r="R17" s="210" t="s">
        <v>1247</v>
      </c>
    </row>
    <row r="18" spans="1:20">
      <c r="B18" s="210" t="s">
        <v>2037</v>
      </c>
      <c r="C18" s="210" t="s">
        <v>44</v>
      </c>
      <c r="D18" s="222"/>
      <c r="E18" s="233"/>
      <c r="F18" s="226"/>
      <c r="G18" s="235" t="str">
        <f>'A123'!C17</f>
        <v>文化研究(榮譽)文學士</v>
      </c>
      <c r="H18" s="236"/>
      <c r="I18" s="219"/>
      <c r="J18" s="281" t="str">
        <f>IF('A123'!A1=FALSE,'A123'!B7,'A123'!F7)</f>
        <v/>
      </c>
      <c r="K18" s="281">
        <f>IF('A123'!A1=FALSE,'A123'!C7,'A123'!G7)</f>
        <v>-6582278480.0126572</v>
      </c>
      <c r="L18" s="281">
        <f>IF('A123'!A1=FALSE,'A123'!D7,'A123'!H7)</f>
        <v>-6329113923.0506325</v>
      </c>
      <c r="M18" s="236"/>
      <c r="N18" s="236"/>
      <c r="O18" s="236"/>
      <c r="P18" s="236"/>
    </row>
    <row r="19" spans="1:20">
      <c r="B19" s="476" t="s">
        <v>2176</v>
      </c>
      <c r="C19" s="476" t="s">
        <v>44</v>
      </c>
      <c r="D19" s="222"/>
      <c r="E19" s="231" t="s">
        <v>993</v>
      </c>
      <c r="F19" s="232"/>
      <c r="G19" s="246" t="str">
        <f>'A123'!B18</f>
        <v/>
      </c>
      <c r="H19" s="246" t="str">
        <f>'A123'!D18</f>
        <v/>
      </c>
      <c r="I19" s="248" t="str">
        <f>'A123'!E18</f>
        <v/>
      </c>
      <c r="J19" s="280" t="str">
        <f>'A123'!F18</f>
        <v/>
      </c>
      <c r="K19" s="280" t="str">
        <f>'A123'!G18</f>
        <v/>
      </c>
      <c r="L19" s="280" t="str">
        <f>'A123'!H18</f>
        <v/>
      </c>
      <c r="M19" s="412" t="str">
        <f>'A123'!I18</f>
        <v/>
      </c>
      <c r="N19" s="280" t="str">
        <f>'A123'!J18</f>
        <v/>
      </c>
      <c r="O19" s="280" t="str">
        <f>'A123'!K18</f>
        <v/>
      </c>
      <c r="P19" s="485" t="str">
        <f>'A123'!L18</f>
        <v/>
      </c>
      <c r="Q19" s="247" t="str">
        <f>'A123'!M18</f>
        <v/>
      </c>
    </row>
    <row r="20" spans="1:20">
      <c r="A20" s="388"/>
      <c r="D20" s="222"/>
      <c r="E20" s="225"/>
      <c r="F20" s="226"/>
      <c r="G20" s="235" t="str">
        <f>'A123'!C18</f>
        <v/>
      </c>
      <c r="H20" s="237"/>
      <c r="I20" s="219"/>
      <c r="J20" s="281" t="str">
        <f>IF('A123'!A1=FALSE,'A123'!B9,'A123'!F9)</f>
        <v/>
      </c>
      <c r="K20" s="281" t="str">
        <f>IF('A123'!A1=FALSE,'A123'!C9,'A123'!G9)</f>
        <v/>
      </c>
      <c r="L20" s="281" t="str">
        <f>IF('A123'!A1=FALSE,'A123'!D9,'A123'!H9)</f>
        <v/>
      </c>
      <c r="M20" s="235"/>
      <c r="N20" s="263" t="s">
        <v>2445</v>
      </c>
      <c r="P20" s="263" t="s">
        <v>2439</v>
      </c>
    </row>
    <row r="21" spans="1:20">
      <c r="E21" s="225"/>
      <c r="F21" s="238"/>
      <c r="H21" s="227"/>
    </row>
    <row r="22" spans="1:20" ht="18">
      <c r="B22" s="239" t="s">
        <v>1248</v>
      </c>
      <c r="E22" s="497" t="s">
        <v>984</v>
      </c>
      <c r="F22" s="497"/>
      <c r="G22" s="497"/>
      <c r="H22" s="497"/>
      <c r="I22" s="497"/>
      <c r="J22" s="497"/>
      <c r="K22" s="497"/>
      <c r="L22" s="497"/>
      <c r="M22" s="497"/>
      <c r="N22" s="497"/>
    </row>
    <row r="23" spans="1:20">
      <c r="B23" s="219" t="s">
        <v>985</v>
      </c>
    </row>
    <row r="24" spans="1:20">
      <c r="B24" s="240" t="s">
        <v>2017</v>
      </c>
      <c r="C24" s="498" t="s">
        <v>1350</v>
      </c>
      <c r="D24" s="498"/>
      <c r="E24" s="498"/>
      <c r="F24" s="498"/>
      <c r="G24" s="498"/>
      <c r="H24" s="498"/>
      <c r="I24" s="498"/>
      <c r="J24" s="498"/>
      <c r="K24" s="498"/>
      <c r="L24" s="498"/>
      <c r="M24" s="498"/>
      <c r="N24" s="498"/>
      <c r="O24" s="498"/>
      <c r="P24" s="479"/>
    </row>
    <row r="25" spans="1:20"/>
    <row r="26" spans="1:20">
      <c r="A26" s="264" t="s">
        <v>2237</v>
      </c>
      <c r="B26" s="215" t="s">
        <v>2295</v>
      </c>
      <c r="F26" s="472" t="s">
        <v>1050</v>
      </c>
      <c r="G26" s="472"/>
      <c r="H26" s="473"/>
      <c r="I26" s="473"/>
      <c r="J26" s="476"/>
      <c r="K26" s="475"/>
      <c r="L26" s="475"/>
      <c r="M26" s="475"/>
      <c r="O26" s="478" t="s">
        <v>2163</v>
      </c>
      <c r="P26" s="478"/>
      <c r="Q26" s="478"/>
      <c r="R26" s="476"/>
      <c r="S26" s="476"/>
      <c r="T26" s="476"/>
    </row>
    <row r="27" spans="1:20">
      <c r="B27" s="388" t="s">
        <v>2236</v>
      </c>
      <c r="D27" s="388" t="s">
        <v>2031</v>
      </c>
      <c r="F27" s="478" t="s">
        <v>2481</v>
      </c>
      <c r="G27" s="474"/>
      <c r="H27" s="473"/>
      <c r="I27" s="472"/>
      <c r="J27" s="475" t="s">
        <v>2466</v>
      </c>
      <c r="K27" s="475"/>
      <c r="L27" s="475"/>
      <c r="M27" s="475"/>
      <c r="O27" s="476"/>
      <c r="P27" s="476"/>
      <c r="Q27" s="476"/>
      <c r="R27" s="476"/>
      <c r="S27" s="476"/>
      <c r="T27" s="476"/>
    </row>
    <row r="28" spans="1:20" ht="16.5" customHeight="1">
      <c r="A28" s="387"/>
      <c r="B28" s="215" t="s">
        <v>5</v>
      </c>
      <c r="D28" s="387" t="s">
        <v>2238</v>
      </c>
      <c r="F28" s="475" t="s">
        <v>2480</v>
      </c>
      <c r="G28" s="475"/>
      <c r="H28" s="475"/>
      <c r="I28" s="475"/>
      <c r="J28" s="475" t="s">
        <v>2465</v>
      </c>
      <c r="K28" s="475"/>
      <c r="L28" s="475"/>
      <c r="M28" s="475"/>
      <c r="O28" s="499" t="s">
        <v>2296</v>
      </c>
      <c r="P28" s="499"/>
      <c r="Q28" s="499"/>
      <c r="R28" s="499"/>
      <c r="S28" s="499"/>
      <c r="T28" s="499"/>
    </row>
    <row r="29" spans="1:20">
      <c r="B29" s="210" t="s">
        <v>2</v>
      </c>
      <c r="C29" s="389" t="str">
        <f>IF(計分版!$I$20=FALSE,主頁!C8,計分版!Q7)</f>
        <v>請選擇等級</v>
      </c>
      <c r="F29" s="270"/>
      <c r="G29" s="490"/>
      <c r="H29" s="490"/>
      <c r="I29" s="475"/>
      <c r="J29" s="475" t="s">
        <v>2464</v>
      </c>
      <c r="K29" s="475"/>
      <c r="L29" s="475"/>
      <c r="M29" s="475"/>
      <c r="O29" s="499"/>
      <c r="P29" s="499"/>
      <c r="Q29" s="499"/>
      <c r="R29" s="499"/>
      <c r="S29" s="499"/>
      <c r="T29" s="499"/>
    </row>
    <row r="30" spans="1:20">
      <c r="B30" s="210" t="s">
        <v>1</v>
      </c>
      <c r="C30" s="389" t="str">
        <f>IF(計分版!$I$20=FALSE,主頁!C9,計分版!R7)</f>
        <v>請選擇等級</v>
      </c>
      <c r="F30" s="478" t="s">
        <v>2505</v>
      </c>
      <c r="G30" s="475"/>
      <c r="H30" s="475"/>
      <c r="I30" s="475"/>
      <c r="J30" s="475" t="s">
        <v>2463</v>
      </c>
      <c r="K30" s="475"/>
      <c r="L30" s="475"/>
      <c r="M30" s="475"/>
      <c r="O30" s="499"/>
      <c r="P30" s="499"/>
      <c r="Q30" s="499"/>
      <c r="R30" s="499"/>
      <c r="S30" s="499"/>
      <c r="T30" s="499"/>
    </row>
    <row r="31" spans="1:20">
      <c r="B31" s="210" t="s">
        <v>3</v>
      </c>
      <c r="C31" s="389" t="str">
        <f>IF(計分版!$I$20=FALSE,主頁!C10,計分版!S7)</f>
        <v>請選擇等級</v>
      </c>
      <c r="F31" s="475" t="s">
        <v>2506</v>
      </c>
      <c r="G31" s="475"/>
      <c r="H31" s="473"/>
      <c r="I31" s="472"/>
      <c r="J31" s="475" t="s">
        <v>2462</v>
      </c>
      <c r="K31" s="475"/>
      <c r="L31" s="475"/>
      <c r="M31" s="475"/>
      <c r="O31" s="499"/>
      <c r="P31" s="499"/>
      <c r="Q31" s="499"/>
      <c r="R31" s="499"/>
      <c r="S31" s="499"/>
      <c r="T31" s="499"/>
    </row>
    <row r="32" spans="1:20">
      <c r="B32" s="210" t="s">
        <v>4</v>
      </c>
      <c r="C32" s="389" t="str">
        <f>IF(計分版!$I$20=FALSE,主頁!C11,計分版!T7)</f>
        <v>請選擇等級</v>
      </c>
      <c r="F32" s="270" t="s">
        <v>2479</v>
      </c>
      <c r="G32" s="475"/>
      <c r="H32" s="473"/>
      <c r="I32" s="473"/>
      <c r="J32" s="475" t="s">
        <v>2458</v>
      </c>
      <c r="K32" s="475"/>
      <c r="L32" s="475"/>
      <c r="M32" s="475"/>
      <c r="O32" s="499"/>
      <c r="P32" s="499"/>
      <c r="Q32" s="499"/>
      <c r="R32" s="499"/>
      <c r="S32" s="499"/>
      <c r="T32" s="499"/>
    </row>
    <row r="33" spans="2:20">
      <c r="B33" s="210" t="s">
        <v>64</v>
      </c>
      <c r="C33" s="389" t="str">
        <f>IF(計分版!$I$20=FALSE,主頁!C12,計分版!U7)</f>
        <v>請選擇等級</v>
      </c>
      <c r="F33" s="270" t="s">
        <v>2478</v>
      </c>
      <c r="G33" s="475"/>
      <c r="H33" s="475"/>
      <c r="I33" s="473"/>
      <c r="J33" s="475" t="s">
        <v>2454</v>
      </c>
      <c r="K33" s="475"/>
      <c r="L33" s="475"/>
      <c r="M33" s="475"/>
      <c r="O33" s="499"/>
      <c r="P33" s="499"/>
      <c r="Q33" s="499"/>
      <c r="R33" s="499"/>
      <c r="S33" s="499"/>
      <c r="T33" s="499"/>
    </row>
    <row r="34" spans="2:20" ht="15" customHeight="1">
      <c r="C34" s="222"/>
      <c r="F34" s="270" t="s">
        <v>2477</v>
      </c>
      <c r="G34" s="475"/>
      <c r="H34" s="473"/>
      <c r="I34" s="472"/>
      <c r="J34" s="475" t="s">
        <v>2456</v>
      </c>
      <c r="K34" s="475"/>
      <c r="L34" s="475"/>
      <c r="M34" s="475"/>
      <c r="O34" s="499"/>
      <c r="P34" s="499"/>
      <c r="Q34" s="499"/>
      <c r="R34" s="499"/>
      <c r="S34" s="499"/>
      <c r="T34" s="499"/>
    </row>
    <row r="35" spans="2:20">
      <c r="B35" s="215" t="s">
        <v>6</v>
      </c>
      <c r="C35" s="222"/>
      <c r="F35" s="270" t="s">
        <v>2476</v>
      </c>
      <c r="G35" s="475"/>
      <c r="H35" s="473"/>
      <c r="I35" s="473"/>
      <c r="J35" s="475" t="s">
        <v>2435</v>
      </c>
      <c r="K35" s="475"/>
      <c r="L35" s="475"/>
      <c r="M35" s="475"/>
      <c r="O35" s="499"/>
      <c r="P35" s="499"/>
      <c r="Q35" s="499"/>
      <c r="R35" s="499"/>
      <c r="S35" s="499"/>
      <c r="T35" s="499"/>
    </row>
    <row r="36" spans="2:20">
      <c r="B36" s="210" t="str">
        <f>B15</f>
        <v>請選擇第一選修科</v>
      </c>
      <c r="C36" s="389" t="str">
        <f>IF(計分版!$I$20=FALSE,主頁!C15,計分版!V7)</f>
        <v>請選擇等級</v>
      </c>
      <c r="F36" s="270" t="s">
        <v>2475</v>
      </c>
      <c r="G36" s="475"/>
      <c r="H36" s="473"/>
      <c r="I36" s="473"/>
      <c r="J36" s="475" t="s">
        <v>2326</v>
      </c>
      <c r="K36" s="475"/>
      <c r="L36" s="475"/>
      <c r="M36" s="475"/>
      <c r="O36" s="499"/>
      <c r="P36" s="499"/>
      <c r="Q36" s="499"/>
      <c r="R36" s="499"/>
      <c r="S36" s="499"/>
      <c r="T36" s="499"/>
    </row>
    <row r="37" spans="2:20">
      <c r="B37" s="210" t="str">
        <f t="shared" ref="B37:B40" si="0">B16</f>
        <v>請選擇第二選修科</v>
      </c>
      <c r="C37" s="389" t="str">
        <f>IF(計分版!$I$20=FALSE,主頁!C16,計分版!W7)</f>
        <v>請選擇等級</v>
      </c>
      <c r="F37" s="270" t="s">
        <v>2471</v>
      </c>
      <c r="G37" s="475"/>
      <c r="H37" s="473"/>
      <c r="I37" s="472"/>
      <c r="J37" s="475" t="s">
        <v>2455</v>
      </c>
      <c r="K37" s="475"/>
      <c r="L37" s="475"/>
      <c r="M37" s="475"/>
      <c r="O37" s="499"/>
      <c r="P37" s="499"/>
      <c r="Q37" s="499"/>
      <c r="R37" s="499"/>
      <c r="S37" s="499"/>
      <c r="T37" s="499"/>
    </row>
    <row r="38" spans="2:20">
      <c r="B38" s="210" t="str">
        <f t="shared" si="0"/>
        <v>請選擇第三選修科</v>
      </c>
      <c r="C38" s="389" t="str">
        <f>IF(計分版!$I$20=FALSE,主頁!C17,計分版!X7)</f>
        <v>請選擇等級</v>
      </c>
      <c r="F38" s="270" t="s">
        <v>2474</v>
      </c>
      <c r="G38" s="475"/>
      <c r="H38" s="473"/>
      <c r="I38" s="473"/>
      <c r="J38" s="475" t="s">
        <v>2457</v>
      </c>
      <c r="K38" s="475"/>
      <c r="L38" s="475"/>
      <c r="M38" s="475"/>
      <c r="O38" s="499"/>
      <c r="P38" s="499"/>
      <c r="Q38" s="499"/>
      <c r="R38" s="499"/>
      <c r="S38" s="499"/>
      <c r="T38" s="499"/>
    </row>
    <row r="39" spans="2:20">
      <c r="B39" s="210" t="str">
        <f t="shared" si="0"/>
        <v>請選擇第四選修科</v>
      </c>
      <c r="C39" s="389" t="str">
        <f>IF(計分版!$I$20=FALSE,主頁!C18,計分版!Y7)</f>
        <v>請選擇等級</v>
      </c>
      <c r="F39" s="475" t="s">
        <v>2470</v>
      </c>
      <c r="G39" s="473"/>
      <c r="H39" s="473"/>
      <c r="I39" s="474"/>
      <c r="J39" s="475" t="s">
        <v>2315</v>
      </c>
      <c r="K39" s="475"/>
      <c r="L39" s="475"/>
      <c r="M39" s="475"/>
      <c r="O39" s="499"/>
      <c r="P39" s="499"/>
      <c r="Q39" s="499"/>
      <c r="R39" s="499"/>
      <c r="S39" s="499"/>
      <c r="T39" s="499"/>
    </row>
    <row r="40" spans="2:20">
      <c r="B40" s="210" t="str">
        <f t="shared" si="0"/>
        <v>請選擇語言科目</v>
      </c>
      <c r="C40" s="389" t="str">
        <f>IF(計分版!$I$20=FALSE,主頁!C19,計分版!Z7)</f>
        <v>請選擇等級</v>
      </c>
      <c r="F40" s="270" t="s">
        <v>2469</v>
      </c>
      <c r="G40" s="475"/>
      <c r="H40" s="473"/>
      <c r="I40" s="475"/>
      <c r="J40" s="475" t="s">
        <v>2301</v>
      </c>
      <c r="K40" s="475"/>
      <c r="L40" s="475"/>
      <c r="M40" s="475"/>
      <c r="O40" s="499"/>
      <c r="P40" s="499"/>
      <c r="Q40" s="499"/>
      <c r="R40" s="499"/>
      <c r="S40" s="499"/>
      <c r="T40" s="499"/>
    </row>
    <row r="41" spans="2:20">
      <c r="B41" s="392" t="s">
        <v>2357</v>
      </c>
      <c r="F41" s="476"/>
      <c r="G41" s="473"/>
      <c r="H41" s="473"/>
      <c r="I41" s="475"/>
      <c r="J41" s="475"/>
      <c r="K41" s="475"/>
      <c r="L41" s="475"/>
      <c r="M41" s="475"/>
      <c r="O41" s="499"/>
      <c r="P41" s="499"/>
      <c r="Q41" s="499"/>
      <c r="R41" s="499"/>
      <c r="S41" s="499"/>
      <c r="T41" s="499"/>
    </row>
    <row r="42" spans="2:20">
      <c r="B42" s="392" t="s">
        <v>2378</v>
      </c>
    </row>
    <row r="43" spans="2:20"/>
  </sheetData>
  <mergeCells count="3">
    <mergeCell ref="E22:N22"/>
    <mergeCell ref="C24:O24"/>
    <mergeCell ref="O28:T41"/>
  </mergeCells>
  <phoneticPr fontId="2" type="noConversion"/>
  <conditionalFormatting sqref="Q15 Q17 Q19">
    <cfRule type="cellIs" dxfId="543" priority="18611" operator="equal">
      <formula>0</formula>
    </cfRule>
    <cfRule type="cellIs" dxfId="542" priority="18612" operator="equal">
      <formula>1</formula>
    </cfRule>
  </conditionalFormatting>
  <conditionalFormatting sqref="Q17 Q19 Q15">
    <cfRule type="cellIs" dxfId="541" priority="18610" operator="equal">
      <formula>2</formula>
    </cfRule>
  </conditionalFormatting>
  <conditionalFormatting sqref="J16:L16 J18:L18 J20:L20">
    <cfRule type="containsBlanks" priority="18603" stopIfTrue="1">
      <formula>LEN(TRIM(J16))=0</formula>
    </cfRule>
    <cfRule type="cellIs" dxfId="540" priority="18604" operator="lessThan">
      <formula>0</formula>
    </cfRule>
    <cfRule type="cellIs" dxfId="539" priority="18605" operator="greaterThanOrEqual">
      <formula>0</formula>
    </cfRule>
  </conditionalFormatting>
  <conditionalFormatting sqref="B9:C9 B11:C11 B16:C16 B18:C18 F8:I8 B30:C30 B32:C32 B37:C37 B39:C39">
    <cfRule type="expression" dxfId="538" priority="18598">
      <formula>TRUE</formula>
    </cfRule>
  </conditionalFormatting>
  <conditionalFormatting sqref="B7:C7 B14:C14 B28:C28 B35:C35">
    <cfRule type="expression" dxfId="537" priority="18597">
      <formula>TRUE</formula>
    </cfRule>
  </conditionalFormatting>
  <conditionalFormatting sqref="D8 D10 D12 D15 D17 D19">
    <cfRule type="expression" dxfId="536" priority="18596">
      <formula>TRUE</formula>
    </cfRule>
  </conditionalFormatting>
  <conditionalFormatting sqref="D9 D11 D16 D18">
    <cfRule type="expression" dxfId="535" priority="18595">
      <formula>TRUE</formula>
    </cfRule>
  </conditionalFormatting>
  <conditionalFormatting sqref="F7:I7 B29:C29 B31:C31 B33:C33 B36:C36 B38:C38 B40:C40 K5:P8 J28:J35 F37:F40">
    <cfRule type="expression" dxfId="534" priority="18592">
      <formula>TRUE</formula>
    </cfRule>
  </conditionalFormatting>
  <conditionalFormatting sqref="F15 F17 F19">
    <cfRule type="expression" dxfId="533" priority="18589">
      <formula>TRUE</formula>
    </cfRule>
  </conditionalFormatting>
  <conditionalFormatting sqref="C29">
    <cfRule type="expression" dxfId="532" priority="18569">
      <formula>$C$29=0</formula>
    </cfRule>
  </conditionalFormatting>
  <conditionalFormatting sqref="C40">
    <cfRule type="expression" dxfId="531" priority="18568">
      <formula>$C$40=0</formula>
    </cfRule>
  </conditionalFormatting>
  <conditionalFormatting sqref="C38">
    <cfRule type="expression" dxfId="530" priority="18567">
      <formula>$C$38=0</formula>
    </cfRule>
  </conditionalFormatting>
  <conditionalFormatting sqref="C36">
    <cfRule type="expression" dxfId="529" priority="18566">
      <formula>$C$36=0</formula>
    </cfRule>
  </conditionalFormatting>
  <conditionalFormatting sqref="C33">
    <cfRule type="expression" dxfId="528" priority="18565">
      <formula>$C$33=0</formula>
    </cfRule>
  </conditionalFormatting>
  <conditionalFormatting sqref="C31">
    <cfRule type="expression" dxfId="527" priority="18564">
      <formula>$C$31=0</formula>
    </cfRule>
  </conditionalFormatting>
  <conditionalFormatting sqref="C30">
    <cfRule type="expression" dxfId="526" priority="18563">
      <formula>$C$30=0</formula>
    </cfRule>
  </conditionalFormatting>
  <conditionalFormatting sqref="C32">
    <cfRule type="expression" dxfId="525" priority="18562">
      <formula>$C$32=0</formula>
    </cfRule>
  </conditionalFormatting>
  <conditionalFormatting sqref="C37">
    <cfRule type="expression" dxfId="524" priority="18561">
      <formula>$C$37=0</formula>
    </cfRule>
  </conditionalFormatting>
  <conditionalFormatting sqref="C39">
    <cfRule type="expression" dxfId="523" priority="18560">
      <formula>$C$39=0</formula>
    </cfRule>
  </conditionalFormatting>
  <conditionalFormatting sqref="J36">
    <cfRule type="expression" dxfId="522" priority="147">
      <formula>TRUE</formula>
    </cfRule>
  </conditionalFormatting>
  <conditionalFormatting sqref="J35">
    <cfRule type="expression" dxfId="521" priority="146">
      <formula>TRUE</formula>
    </cfRule>
  </conditionalFormatting>
  <conditionalFormatting sqref="F40">
    <cfRule type="expression" dxfId="520" priority="145">
      <formula>TRUE</formula>
    </cfRule>
  </conditionalFormatting>
  <conditionalFormatting sqref="F28">
    <cfRule type="expression" dxfId="519" priority="141">
      <formula>TRUE</formula>
    </cfRule>
  </conditionalFormatting>
  <conditionalFormatting sqref="J28">
    <cfRule type="expression" dxfId="518" priority="140">
      <formula>TRUE</formula>
    </cfRule>
  </conditionalFormatting>
  <conditionalFormatting sqref="F40">
    <cfRule type="expression" dxfId="517" priority="139">
      <formula>TRUE</formula>
    </cfRule>
  </conditionalFormatting>
  <conditionalFormatting sqref="J29">
    <cfRule type="expression" dxfId="516" priority="129">
      <formula>TRUE</formula>
    </cfRule>
  </conditionalFormatting>
  <conditionalFormatting sqref="F37">
    <cfRule type="expression" dxfId="515" priority="130">
      <formula>TRUE</formula>
    </cfRule>
  </conditionalFormatting>
  <conditionalFormatting sqref="J28">
    <cfRule type="expression" dxfId="514" priority="128">
      <formula>TRUE</formula>
    </cfRule>
  </conditionalFormatting>
  <conditionalFormatting sqref="J30">
    <cfRule type="expression" dxfId="513" priority="127">
      <formula>TRUE</formula>
    </cfRule>
  </conditionalFormatting>
  <conditionalFormatting sqref="J29">
    <cfRule type="expression" dxfId="512" priority="126">
      <formula>TRUE</formula>
    </cfRule>
  </conditionalFormatting>
  <conditionalFormatting sqref="J28">
    <cfRule type="expression" dxfId="511" priority="125">
      <formula>TRUE</formula>
    </cfRule>
  </conditionalFormatting>
  <conditionalFormatting sqref="J28">
    <cfRule type="expression" dxfId="510" priority="124">
      <formula>TRUE</formula>
    </cfRule>
  </conditionalFormatting>
  <conditionalFormatting sqref="F40">
    <cfRule type="expression" dxfId="509" priority="123">
      <formula>TRUE</formula>
    </cfRule>
  </conditionalFormatting>
  <conditionalFormatting sqref="F38">
    <cfRule type="expression" dxfId="508" priority="121">
      <formula>TRUE</formula>
    </cfRule>
  </conditionalFormatting>
  <conditionalFormatting sqref="F39">
    <cfRule type="expression" dxfId="507" priority="120">
      <formula>TRUE</formula>
    </cfRule>
  </conditionalFormatting>
  <conditionalFormatting sqref="F40">
    <cfRule type="expression" dxfId="506" priority="119">
      <formula>TRUE</formula>
    </cfRule>
  </conditionalFormatting>
  <conditionalFormatting sqref="F39">
    <cfRule type="expression" dxfId="505" priority="118">
      <formula>TRUE</formula>
    </cfRule>
  </conditionalFormatting>
  <conditionalFormatting sqref="F31">
    <cfRule type="expression" dxfId="504" priority="117">
      <formula>TRUE</formula>
    </cfRule>
  </conditionalFormatting>
  <conditionalFormatting sqref="F31">
    <cfRule type="expression" dxfId="503" priority="115">
      <formula>TRUE</formula>
    </cfRule>
  </conditionalFormatting>
  <conditionalFormatting sqref="F31">
    <cfRule type="expression" dxfId="502" priority="116">
      <formula>TRUE</formula>
    </cfRule>
  </conditionalFormatting>
  <conditionalFormatting sqref="J28">
    <cfRule type="expression" dxfId="501" priority="114">
      <formula>TRUE</formula>
    </cfRule>
  </conditionalFormatting>
  <conditionalFormatting sqref="F40">
    <cfRule type="expression" dxfId="500" priority="113">
      <formula>TRUE</formula>
    </cfRule>
  </conditionalFormatting>
  <conditionalFormatting sqref="J29">
    <cfRule type="expression" dxfId="499" priority="112">
      <formula>TRUE</formula>
    </cfRule>
  </conditionalFormatting>
  <conditionalFormatting sqref="J28">
    <cfRule type="expression" dxfId="498" priority="111">
      <formula>TRUE</formula>
    </cfRule>
  </conditionalFormatting>
  <conditionalFormatting sqref="F40">
    <cfRule type="expression" dxfId="497" priority="110">
      <formula>TRUE</formula>
    </cfRule>
  </conditionalFormatting>
  <conditionalFormatting sqref="F40">
    <cfRule type="expression" dxfId="496" priority="109">
      <formula>TRUE</formula>
    </cfRule>
  </conditionalFormatting>
  <conditionalFormatting sqref="F39">
    <cfRule type="expression" dxfId="495" priority="108">
      <formula>TRUE</formula>
    </cfRule>
  </conditionalFormatting>
  <conditionalFormatting sqref="J29">
    <cfRule type="expression" dxfId="494" priority="107">
      <formula>TRUE</formula>
    </cfRule>
  </conditionalFormatting>
  <conditionalFormatting sqref="J30">
    <cfRule type="expression" dxfId="493" priority="106">
      <formula>TRUE</formula>
    </cfRule>
  </conditionalFormatting>
  <conditionalFormatting sqref="J29">
    <cfRule type="expression" dxfId="492" priority="105">
      <formula>TRUE</formula>
    </cfRule>
  </conditionalFormatting>
  <conditionalFormatting sqref="F39">
    <cfRule type="expression" dxfId="491" priority="104">
      <formula>TRUE</formula>
    </cfRule>
  </conditionalFormatting>
  <conditionalFormatting sqref="F39">
    <cfRule type="expression" dxfId="490" priority="102">
      <formula>TRUE</formula>
    </cfRule>
  </conditionalFormatting>
  <conditionalFormatting sqref="F39">
    <cfRule type="expression" dxfId="489" priority="103">
      <formula>TRUE</formula>
    </cfRule>
  </conditionalFormatting>
  <conditionalFormatting sqref="J31">
    <cfRule type="expression" dxfId="488" priority="101">
      <formula>TRUE</formula>
    </cfRule>
  </conditionalFormatting>
  <conditionalFormatting sqref="J30">
    <cfRule type="expression" dxfId="487" priority="100">
      <formula>TRUE</formula>
    </cfRule>
  </conditionalFormatting>
  <conditionalFormatting sqref="J32">
    <cfRule type="expression" dxfId="486" priority="99">
      <formula>TRUE</formula>
    </cfRule>
  </conditionalFormatting>
  <conditionalFormatting sqref="J31">
    <cfRule type="expression" dxfId="485" priority="98">
      <formula>TRUE</formula>
    </cfRule>
  </conditionalFormatting>
  <conditionalFormatting sqref="J30">
    <cfRule type="expression" dxfId="484" priority="97">
      <formula>TRUE</formula>
    </cfRule>
  </conditionalFormatting>
  <conditionalFormatting sqref="J30">
    <cfRule type="expression" dxfId="483" priority="96">
      <formula>TRUE</formula>
    </cfRule>
  </conditionalFormatting>
  <conditionalFormatting sqref="J29">
    <cfRule type="expression" dxfId="482" priority="95">
      <formula>TRUE</formula>
    </cfRule>
  </conditionalFormatting>
  <conditionalFormatting sqref="J28">
    <cfRule type="expression" dxfId="481" priority="94">
      <formula>TRUE</formula>
    </cfRule>
  </conditionalFormatting>
  <conditionalFormatting sqref="J29">
    <cfRule type="expression" dxfId="480" priority="93">
      <formula>TRUE</formula>
    </cfRule>
  </conditionalFormatting>
  <conditionalFormatting sqref="J28">
    <cfRule type="expression" dxfId="479" priority="92">
      <formula>TRUE</formula>
    </cfRule>
  </conditionalFormatting>
  <conditionalFormatting sqref="J30">
    <cfRule type="expression" dxfId="478" priority="91">
      <formula>TRUE</formula>
    </cfRule>
  </conditionalFormatting>
  <conditionalFormatting sqref="J29">
    <cfRule type="expression" dxfId="477" priority="90">
      <formula>TRUE</formula>
    </cfRule>
  </conditionalFormatting>
  <conditionalFormatting sqref="J31">
    <cfRule type="expression" dxfId="476" priority="89">
      <formula>TRUE</formula>
    </cfRule>
  </conditionalFormatting>
  <conditionalFormatting sqref="J30">
    <cfRule type="expression" dxfId="475" priority="88">
      <formula>TRUE</formula>
    </cfRule>
  </conditionalFormatting>
  <conditionalFormatting sqref="J29">
    <cfRule type="expression" dxfId="474" priority="87">
      <formula>TRUE</formula>
    </cfRule>
  </conditionalFormatting>
  <conditionalFormatting sqref="J29">
    <cfRule type="expression" dxfId="473" priority="86">
      <formula>TRUE</formula>
    </cfRule>
  </conditionalFormatting>
  <conditionalFormatting sqref="J28">
    <cfRule type="expression" dxfId="472" priority="85">
      <formula>TRUE</formula>
    </cfRule>
  </conditionalFormatting>
  <conditionalFormatting sqref="F36:F38">
    <cfRule type="expression" dxfId="471" priority="84">
      <formula>TRUE</formula>
    </cfRule>
  </conditionalFormatting>
  <conditionalFormatting sqref="J37">
    <cfRule type="expression" dxfId="470" priority="82">
      <formula>TRUE</formula>
    </cfRule>
  </conditionalFormatting>
  <conditionalFormatting sqref="J36">
    <cfRule type="expression" dxfId="469" priority="81">
      <formula>TRUE</formula>
    </cfRule>
  </conditionalFormatting>
  <conditionalFormatting sqref="J33">
    <cfRule type="expression" dxfId="468" priority="80">
      <formula>TRUE</formula>
    </cfRule>
  </conditionalFormatting>
  <conditionalFormatting sqref="J28">
    <cfRule type="expression" dxfId="467" priority="79">
      <formula>TRUE</formula>
    </cfRule>
  </conditionalFormatting>
  <conditionalFormatting sqref="J29">
    <cfRule type="expression" dxfId="466" priority="78">
      <formula>TRUE</formula>
    </cfRule>
  </conditionalFormatting>
  <conditionalFormatting sqref="J28">
    <cfRule type="expression" dxfId="465" priority="77">
      <formula>TRUE</formula>
    </cfRule>
  </conditionalFormatting>
  <conditionalFormatting sqref="J30">
    <cfRule type="expression" dxfId="464" priority="75">
      <formula>TRUE</formula>
    </cfRule>
  </conditionalFormatting>
  <conditionalFormatting sqref="F38">
    <cfRule type="expression" dxfId="463" priority="76">
      <formula>TRUE</formula>
    </cfRule>
  </conditionalFormatting>
  <conditionalFormatting sqref="J29">
    <cfRule type="expression" dxfId="462" priority="74">
      <formula>TRUE</formula>
    </cfRule>
  </conditionalFormatting>
  <conditionalFormatting sqref="J31">
    <cfRule type="expression" dxfId="461" priority="73">
      <formula>TRUE</formula>
    </cfRule>
  </conditionalFormatting>
  <conditionalFormatting sqref="J30">
    <cfRule type="expression" dxfId="460" priority="72">
      <formula>TRUE</formula>
    </cfRule>
  </conditionalFormatting>
  <conditionalFormatting sqref="J29">
    <cfRule type="expression" dxfId="459" priority="71">
      <formula>TRUE</formula>
    </cfRule>
  </conditionalFormatting>
  <conditionalFormatting sqref="J29">
    <cfRule type="expression" dxfId="458" priority="70">
      <formula>TRUE</formula>
    </cfRule>
  </conditionalFormatting>
  <conditionalFormatting sqref="J28">
    <cfRule type="expression" dxfId="457" priority="69">
      <formula>TRUE</formula>
    </cfRule>
  </conditionalFormatting>
  <conditionalFormatting sqref="F39">
    <cfRule type="expression" dxfId="456" priority="68">
      <formula>TRUE</formula>
    </cfRule>
  </conditionalFormatting>
  <conditionalFormatting sqref="F40">
    <cfRule type="expression" dxfId="455" priority="67">
      <formula>TRUE</formula>
    </cfRule>
  </conditionalFormatting>
  <conditionalFormatting sqref="J28">
    <cfRule type="expression" dxfId="454" priority="66">
      <formula>TRUE</formula>
    </cfRule>
  </conditionalFormatting>
  <conditionalFormatting sqref="F40">
    <cfRule type="expression" dxfId="453" priority="65">
      <formula>TRUE</formula>
    </cfRule>
  </conditionalFormatting>
  <conditionalFormatting sqref="J29">
    <cfRule type="expression" dxfId="452" priority="64">
      <formula>TRUE</formula>
    </cfRule>
  </conditionalFormatting>
  <conditionalFormatting sqref="J28">
    <cfRule type="expression" dxfId="451" priority="63">
      <formula>TRUE</formula>
    </cfRule>
  </conditionalFormatting>
  <conditionalFormatting sqref="J30">
    <cfRule type="expression" dxfId="450" priority="62">
      <formula>TRUE</formula>
    </cfRule>
  </conditionalFormatting>
  <conditionalFormatting sqref="J29">
    <cfRule type="expression" dxfId="449" priority="61">
      <formula>TRUE</formula>
    </cfRule>
  </conditionalFormatting>
  <conditionalFormatting sqref="J28">
    <cfRule type="expression" dxfId="448" priority="60">
      <formula>TRUE</formula>
    </cfRule>
  </conditionalFormatting>
  <conditionalFormatting sqref="J28">
    <cfRule type="expression" dxfId="447" priority="59">
      <formula>TRUE</formula>
    </cfRule>
  </conditionalFormatting>
  <conditionalFormatting sqref="F40">
    <cfRule type="expression" dxfId="446" priority="58">
      <formula>TRUE</formula>
    </cfRule>
  </conditionalFormatting>
  <conditionalFormatting sqref="J30">
    <cfRule type="expression" dxfId="445" priority="57">
      <formula>TRUE</formula>
    </cfRule>
  </conditionalFormatting>
  <conditionalFormatting sqref="J31">
    <cfRule type="expression" dxfId="444" priority="56">
      <formula>TRUE</formula>
    </cfRule>
  </conditionalFormatting>
  <conditionalFormatting sqref="J30">
    <cfRule type="expression" dxfId="443" priority="55">
      <formula>TRUE</formula>
    </cfRule>
  </conditionalFormatting>
  <conditionalFormatting sqref="F40">
    <cfRule type="expression" dxfId="442" priority="54">
      <formula>TRUE</formula>
    </cfRule>
  </conditionalFormatting>
  <conditionalFormatting sqref="F40">
    <cfRule type="expression" dxfId="441" priority="52">
      <formula>TRUE</formula>
    </cfRule>
  </conditionalFormatting>
  <conditionalFormatting sqref="F40">
    <cfRule type="expression" dxfId="440" priority="53">
      <formula>TRUE</formula>
    </cfRule>
  </conditionalFormatting>
  <conditionalFormatting sqref="J32">
    <cfRule type="expression" dxfId="439" priority="51">
      <formula>TRUE</formula>
    </cfRule>
  </conditionalFormatting>
  <conditionalFormatting sqref="J31">
    <cfRule type="expression" dxfId="438" priority="50">
      <formula>TRUE</formula>
    </cfRule>
  </conditionalFormatting>
  <conditionalFormatting sqref="J32">
    <cfRule type="expression" dxfId="437" priority="49">
      <formula>TRUE</formula>
    </cfRule>
  </conditionalFormatting>
  <conditionalFormatting sqref="J31">
    <cfRule type="expression" dxfId="436" priority="48">
      <formula>TRUE</formula>
    </cfRule>
  </conditionalFormatting>
  <conditionalFormatting sqref="J31">
    <cfRule type="expression" dxfId="435" priority="47">
      <formula>TRUE</formula>
    </cfRule>
  </conditionalFormatting>
  <conditionalFormatting sqref="J30">
    <cfRule type="expression" dxfId="434" priority="46">
      <formula>TRUE</formula>
    </cfRule>
  </conditionalFormatting>
  <conditionalFormatting sqref="J29">
    <cfRule type="expression" dxfId="433" priority="45">
      <formula>TRUE</formula>
    </cfRule>
  </conditionalFormatting>
  <conditionalFormatting sqref="J30">
    <cfRule type="expression" dxfId="432" priority="44">
      <formula>TRUE</formula>
    </cfRule>
  </conditionalFormatting>
  <conditionalFormatting sqref="J29">
    <cfRule type="expression" dxfId="431" priority="43">
      <formula>TRUE</formula>
    </cfRule>
  </conditionalFormatting>
  <conditionalFormatting sqref="J31">
    <cfRule type="expression" dxfId="430" priority="42">
      <formula>TRUE</formula>
    </cfRule>
  </conditionalFormatting>
  <conditionalFormatting sqref="J30">
    <cfRule type="expression" dxfId="429" priority="41">
      <formula>TRUE</formula>
    </cfRule>
  </conditionalFormatting>
  <conditionalFormatting sqref="J32">
    <cfRule type="expression" dxfId="428" priority="40">
      <formula>TRUE</formula>
    </cfRule>
  </conditionalFormatting>
  <conditionalFormatting sqref="J31">
    <cfRule type="expression" dxfId="427" priority="39">
      <formula>TRUE</formula>
    </cfRule>
  </conditionalFormatting>
  <conditionalFormatting sqref="J30">
    <cfRule type="expression" dxfId="426" priority="38">
      <formula>TRUE</formula>
    </cfRule>
  </conditionalFormatting>
  <conditionalFormatting sqref="J30">
    <cfRule type="expression" dxfId="425" priority="37">
      <formula>TRUE</formula>
    </cfRule>
  </conditionalFormatting>
  <conditionalFormatting sqref="J29">
    <cfRule type="expression" dxfId="424" priority="36">
      <formula>TRUE</formula>
    </cfRule>
  </conditionalFormatting>
  <conditionalFormatting sqref="F35">
    <cfRule type="expression" dxfId="423" priority="35">
      <formula>TRUE</formula>
    </cfRule>
  </conditionalFormatting>
  <conditionalFormatting sqref="F34">
    <cfRule type="expression" dxfId="422" priority="34">
      <formula>TRUE</formula>
    </cfRule>
  </conditionalFormatting>
  <conditionalFormatting sqref="F33">
    <cfRule type="expression" dxfId="421" priority="33">
      <formula>TRUE</formula>
    </cfRule>
  </conditionalFormatting>
  <conditionalFormatting sqref="J27">
    <cfRule type="expression" dxfId="420" priority="30">
      <formula>TRUE</formula>
    </cfRule>
  </conditionalFormatting>
  <conditionalFormatting sqref="J27">
    <cfRule type="expression" dxfId="419" priority="29">
      <formula>TRUE</formula>
    </cfRule>
  </conditionalFormatting>
  <conditionalFormatting sqref="J27">
    <cfRule type="expression" dxfId="418" priority="28">
      <formula>TRUE</formula>
    </cfRule>
  </conditionalFormatting>
  <conditionalFormatting sqref="J27">
    <cfRule type="expression" dxfId="417" priority="27">
      <formula>TRUE</formula>
    </cfRule>
  </conditionalFormatting>
  <conditionalFormatting sqref="J27">
    <cfRule type="expression" dxfId="416" priority="26">
      <formula>TRUE</formula>
    </cfRule>
  </conditionalFormatting>
  <conditionalFormatting sqref="J27">
    <cfRule type="expression" dxfId="415" priority="25">
      <formula>TRUE</formula>
    </cfRule>
  </conditionalFormatting>
  <conditionalFormatting sqref="J27">
    <cfRule type="expression" dxfId="414" priority="24">
      <formula>TRUE</formula>
    </cfRule>
  </conditionalFormatting>
  <conditionalFormatting sqref="J27">
    <cfRule type="expression" dxfId="413" priority="23">
      <formula>TRUE</formula>
    </cfRule>
  </conditionalFormatting>
  <conditionalFormatting sqref="J27">
    <cfRule type="expression" dxfId="412" priority="22">
      <formula>TRUE</formula>
    </cfRule>
  </conditionalFormatting>
  <conditionalFormatting sqref="J27">
    <cfRule type="expression" dxfId="411" priority="21">
      <formula>TRUE</formula>
    </cfRule>
  </conditionalFormatting>
  <conditionalFormatting sqref="J27">
    <cfRule type="expression" dxfId="410" priority="20">
      <formula>TRUE</formula>
    </cfRule>
  </conditionalFormatting>
  <conditionalFormatting sqref="J27">
    <cfRule type="expression" dxfId="409" priority="19">
      <formula>TRUE</formula>
    </cfRule>
  </conditionalFormatting>
  <conditionalFormatting sqref="J27">
    <cfRule type="expression" dxfId="408" priority="17">
      <formula>TRUE</formula>
    </cfRule>
  </conditionalFormatting>
  <conditionalFormatting sqref="J27">
    <cfRule type="expression" dxfId="407" priority="18">
      <formula>TRUE</formula>
    </cfRule>
  </conditionalFormatting>
  <conditionalFormatting sqref="F38">
    <cfRule type="expression" dxfId="406" priority="16">
      <formula>TRUE</formula>
    </cfRule>
  </conditionalFormatting>
  <conditionalFormatting sqref="F39">
    <cfRule type="expression" dxfId="405" priority="15">
      <formula>TRUE</formula>
    </cfRule>
  </conditionalFormatting>
  <conditionalFormatting sqref="F40">
    <cfRule type="expression" dxfId="404" priority="14">
      <formula>TRUE</formula>
    </cfRule>
  </conditionalFormatting>
  <conditionalFormatting sqref="F40">
    <cfRule type="expression" dxfId="403" priority="13">
      <formula>TRUE</formula>
    </cfRule>
  </conditionalFormatting>
  <conditionalFormatting sqref="F40">
    <cfRule type="expression" dxfId="402" priority="12">
      <formula>TRUE</formula>
    </cfRule>
  </conditionalFormatting>
  <conditionalFormatting sqref="F40">
    <cfRule type="expression" dxfId="401" priority="11">
      <formula>TRUE</formula>
    </cfRule>
  </conditionalFormatting>
  <conditionalFormatting sqref="F40">
    <cfRule type="expression" dxfId="400" priority="9">
      <formula>TRUE</formula>
    </cfRule>
  </conditionalFormatting>
  <conditionalFormatting sqref="F40">
    <cfRule type="expression" dxfId="399" priority="10">
      <formula>TRUE</formula>
    </cfRule>
  </conditionalFormatting>
  <conditionalFormatting sqref="F39">
    <cfRule type="expression" dxfId="398" priority="8">
      <formula>TRUE</formula>
    </cfRule>
  </conditionalFormatting>
  <conditionalFormatting sqref="F40">
    <cfRule type="expression" dxfId="397" priority="7">
      <formula>TRUE</formula>
    </cfRule>
  </conditionalFormatting>
  <conditionalFormatting sqref="F36">
    <cfRule type="expression" dxfId="396" priority="6">
      <formula>TRUE</formula>
    </cfRule>
  </conditionalFormatting>
  <conditionalFormatting sqref="F35">
    <cfRule type="expression" dxfId="395" priority="5">
      <formula>TRUE</formula>
    </cfRule>
  </conditionalFormatting>
  <conditionalFormatting sqref="F34">
    <cfRule type="expression" dxfId="394" priority="4">
      <formula>TRUE</formula>
    </cfRule>
  </conditionalFormatting>
  <conditionalFormatting sqref="F33">
    <cfRule type="expression" dxfId="393" priority="3">
      <formula>TRUE</formula>
    </cfRule>
  </conditionalFormatting>
  <conditionalFormatting sqref="F32">
    <cfRule type="expression" dxfId="392" priority="2">
      <formula>TRUE</formula>
    </cfRule>
  </conditionalFormatting>
  <conditionalFormatting sqref="F29">
    <cfRule type="expression" dxfId="391" priority="1">
      <formula>TRUE</formula>
    </cfRule>
  </conditionalFormatting>
  <dataValidations xWindow="600" yWindow="521" count="6">
    <dataValidation type="list" allowBlank="1" showInputMessage="1" showErrorMessage="1" errorTitle="ERROR" error="請選擇所修讀的選修科目" sqref="B16" xr:uid="{00000000-0002-0000-0300-000000000000}">
      <formula1>第二選修科</formula1>
    </dataValidation>
    <dataValidation type="list" allowBlank="1" showInputMessage="1" showErrorMessage="1" sqref="B18" xr:uid="{00000000-0002-0000-0300-000001000000}">
      <formula1>第四選修科</formula1>
    </dataValidation>
    <dataValidation type="list" allowBlank="1" showInputMessage="1" showErrorMessage="1" sqref="B19" xr:uid="{00000000-0002-0000-0300-000002000000}">
      <formula1>丙類選修科</formula1>
    </dataValidation>
    <dataValidation type="list" allowBlank="1" showInputMessage="1" showErrorMessage="1" sqref="C8:C12 C15:C18" xr:uid="{00000000-0002-0000-0300-000003000000}">
      <formula1>等級</formula1>
    </dataValidation>
    <dataValidation type="list" allowBlank="1" showInputMessage="1" showErrorMessage="1" sqref="C19" xr:uid="{00000000-0002-0000-0300-000004000000}">
      <formula1>丙類科目等級</formula1>
    </dataValidation>
    <dataValidation allowBlank="1" showInputMessage="1" showErrorMessage="1" errorTitle="ERROR" error="請選擇所修讀的選修科目" sqref="B36:B40" xr:uid="{00000000-0002-0000-0300-000005000000}"/>
  </dataValidations>
  <hyperlinks>
    <hyperlink ref="E22" r:id="rId1" xr:uid="{00000000-0004-0000-0300-000000000000}"/>
    <hyperlink ref="C24" r:id="rId2" xr:uid="{00000000-0004-0000-0300-000001000000}"/>
  </hyperlinks>
  <pageMargins left="0.7" right="0.7" top="0.75" bottom="0.75" header="0.3" footer="0.3"/>
  <pageSetup paperSize="9" orientation="portrait" horizontalDpi="1200" verticalDpi="1200" r:id="rId3"/>
  <ignoredErrors>
    <ignoredError sqref="E5 A5 E11 A26" numberStoredAsText="1"/>
  </ignoredErrors>
  <drawing r:id="rId4"/>
  <legacyDrawing r:id="rId5"/>
  <mc:AlternateContent xmlns:mc="http://schemas.openxmlformats.org/markup-compatibility/2006">
    <mc:Choice Requires="x14">
      <controls>
        <mc:AlternateContent xmlns:mc="http://schemas.openxmlformats.org/markup-compatibility/2006">
          <mc:Choice Requires="x14">
            <control shapeId="1046" r:id="rId6" name=" 22">
              <controlPr defaultSize="0" autoFill="0" autoLine="0" autoPict="0">
                <anchor moveWithCells="1">
                  <from>
                    <xdr:col>7</xdr:col>
                    <xdr:colOff>297180</xdr:colOff>
                    <xdr:row>3</xdr:row>
                    <xdr:rowOff>175260</xdr:rowOff>
                  </from>
                  <to>
                    <xdr:col>8</xdr:col>
                    <xdr:colOff>403860</xdr:colOff>
                    <xdr:row>5</xdr:row>
                    <xdr:rowOff>7620</xdr:rowOff>
                  </to>
                </anchor>
              </controlPr>
            </control>
          </mc:Choice>
        </mc:AlternateContent>
        <mc:AlternateContent xmlns:mc="http://schemas.openxmlformats.org/markup-compatibility/2006">
          <mc:Choice Requires="x14">
            <control shapeId="1054" r:id="rId7" name=" 30">
              <controlPr defaultSize="0" autoFill="0" autoLine="0" autoPict="0">
                <anchor moveWithCells="1">
                  <from>
                    <xdr:col>2</xdr:col>
                    <xdr:colOff>236220</xdr:colOff>
                    <xdr:row>3</xdr:row>
                    <xdr:rowOff>152400</xdr:rowOff>
                  </from>
                  <to>
                    <xdr:col>3</xdr:col>
                    <xdr:colOff>60960</xdr:colOff>
                    <xdr:row>5</xdr:row>
                    <xdr:rowOff>0</xdr:rowOff>
                  </to>
                </anchor>
              </controlPr>
            </control>
          </mc:Choice>
        </mc:AlternateContent>
        <mc:AlternateContent xmlns:mc="http://schemas.openxmlformats.org/markup-compatibility/2006">
          <mc:Choice Requires="x14">
            <control shapeId="1056" r:id="rId8" name=" 32">
              <controlPr defaultSize="0" autoFill="0" autoLine="0" autoPict="0">
                <anchor moveWithCells="1">
                  <from>
                    <xdr:col>11</xdr:col>
                    <xdr:colOff>144780</xdr:colOff>
                    <xdr:row>10</xdr:row>
                    <xdr:rowOff>175260</xdr:rowOff>
                  </from>
                  <to>
                    <xdr:col>13</xdr:col>
                    <xdr:colOff>335280</xdr:colOff>
                    <xdr:row>12</xdr:row>
                    <xdr:rowOff>30480</xdr:rowOff>
                  </to>
                </anchor>
              </controlPr>
            </control>
          </mc:Choice>
        </mc:AlternateContent>
        <mc:AlternateContent xmlns:mc="http://schemas.openxmlformats.org/markup-compatibility/2006">
          <mc:Choice Requires="x14">
            <control shapeId="1071" r:id="rId9" name=" 47">
              <controlPr defaultSize="0" autoFill="0" autoLine="0" autoPict="0">
                <anchor moveWithCells="1">
                  <from>
                    <xdr:col>3</xdr:col>
                    <xdr:colOff>114300</xdr:colOff>
                    <xdr:row>27</xdr:row>
                    <xdr:rowOff>182880</xdr:rowOff>
                  </from>
                  <to>
                    <xdr:col>3</xdr:col>
                    <xdr:colOff>312420</xdr:colOff>
                    <xdr:row>29</xdr:row>
                    <xdr:rowOff>22860</xdr:rowOff>
                  </to>
                </anchor>
              </controlPr>
            </control>
          </mc:Choice>
        </mc:AlternateContent>
        <mc:AlternateContent xmlns:mc="http://schemas.openxmlformats.org/markup-compatibility/2006">
          <mc:Choice Requires="x14">
            <control shapeId="1072" r:id="rId10" name=" 48">
              <controlPr defaultSize="0" autoFill="0" autoLine="0" autoPict="0">
                <anchor moveWithCells="1">
                  <from>
                    <xdr:col>3</xdr:col>
                    <xdr:colOff>114300</xdr:colOff>
                    <xdr:row>28</xdr:row>
                    <xdr:rowOff>182880</xdr:rowOff>
                  </from>
                  <to>
                    <xdr:col>3</xdr:col>
                    <xdr:colOff>312420</xdr:colOff>
                    <xdr:row>30</xdr:row>
                    <xdr:rowOff>38100</xdr:rowOff>
                  </to>
                </anchor>
              </controlPr>
            </control>
          </mc:Choice>
        </mc:AlternateContent>
        <mc:AlternateContent xmlns:mc="http://schemas.openxmlformats.org/markup-compatibility/2006">
          <mc:Choice Requires="x14">
            <control shapeId="1073" r:id="rId11" name=" 49">
              <controlPr defaultSize="0" autoFill="0" autoLine="0" autoPict="0">
                <anchor moveWithCells="1">
                  <from>
                    <xdr:col>3</xdr:col>
                    <xdr:colOff>114300</xdr:colOff>
                    <xdr:row>29</xdr:row>
                    <xdr:rowOff>182880</xdr:rowOff>
                  </from>
                  <to>
                    <xdr:col>3</xdr:col>
                    <xdr:colOff>312420</xdr:colOff>
                    <xdr:row>31</xdr:row>
                    <xdr:rowOff>38100</xdr:rowOff>
                  </to>
                </anchor>
              </controlPr>
            </control>
          </mc:Choice>
        </mc:AlternateContent>
        <mc:AlternateContent xmlns:mc="http://schemas.openxmlformats.org/markup-compatibility/2006">
          <mc:Choice Requires="x14">
            <control shapeId="1074" r:id="rId12" name=" 50">
              <controlPr defaultSize="0" autoFill="0" autoLine="0" autoPict="0">
                <anchor moveWithCells="1">
                  <from>
                    <xdr:col>3</xdr:col>
                    <xdr:colOff>114300</xdr:colOff>
                    <xdr:row>30</xdr:row>
                    <xdr:rowOff>160020</xdr:rowOff>
                  </from>
                  <to>
                    <xdr:col>3</xdr:col>
                    <xdr:colOff>312420</xdr:colOff>
                    <xdr:row>32</xdr:row>
                    <xdr:rowOff>22860</xdr:rowOff>
                  </to>
                </anchor>
              </controlPr>
            </control>
          </mc:Choice>
        </mc:AlternateContent>
        <mc:AlternateContent xmlns:mc="http://schemas.openxmlformats.org/markup-compatibility/2006">
          <mc:Choice Requires="x14">
            <control shapeId="1075" r:id="rId13" name=" 51">
              <controlPr defaultSize="0" autoFill="0" autoLine="0" autoPict="0">
                <anchor moveWithCells="1">
                  <from>
                    <xdr:col>3</xdr:col>
                    <xdr:colOff>121920</xdr:colOff>
                    <xdr:row>31</xdr:row>
                    <xdr:rowOff>175260</xdr:rowOff>
                  </from>
                  <to>
                    <xdr:col>3</xdr:col>
                    <xdr:colOff>327660</xdr:colOff>
                    <xdr:row>33</xdr:row>
                    <xdr:rowOff>38100</xdr:rowOff>
                  </to>
                </anchor>
              </controlPr>
            </control>
          </mc:Choice>
        </mc:AlternateContent>
        <mc:AlternateContent xmlns:mc="http://schemas.openxmlformats.org/markup-compatibility/2006">
          <mc:Choice Requires="x14">
            <control shapeId="1076" r:id="rId14" name=" 52">
              <controlPr defaultSize="0" autoFill="0" autoLine="0" autoPict="0">
                <anchor moveWithCells="1">
                  <from>
                    <xdr:col>3</xdr:col>
                    <xdr:colOff>114300</xdr:colOff>
                    <xdr:row>34</xdr:row>
                    <xdr:rowOff>182880</xdr:rowOff>
                  </from>
                  <to>
                    <xdr:col>3</xdr:col>
                    <xdr:colOff>327660</xdr:colOff>
                    <xdr:row>36</xdr:row>
                    <xdr:rowOff>22860</xdr:rowOff>
                  </to>
                </anchor>
              </controlPr>
            </control>
          </mc:Choice>
        </mc:AlternateContent>
        <mc:AlternateContent xmlns:mc="http://schemas.openxmlformats.org/markup-compatibility/2006">
          <mc:Choice Requires="x14">
            <control shapeId="1077" r:id="rId15" name=" 53">
              <controlPr defaultSize="0" autoFill="0" autoLine="0" autoPict="0">
                <anchor moveWithCells="1">
                  <from>
                    <xdr:col>3</xdr:col>
                    <xdr:colOff>114300</xdr:colOff>
                    <xdr:row>35</xdr:row>
                    <xdr:rowOff>182880</xdr:rowOff>
                  </from>
                  <to>
                    <xdr:col>3</xdr:col>
                    <xdr:colOff>327660</xdr:colOff>
                    <xdr:row>37</xdr:row>
                    <xdr:rowOff>38100</xdr:rowOff>
                  </to>
                </anchor>
              </controlPr>
            </control>
          </mc:Choice>
        </mc:AlternateContent>
        <mc:AlternateContent xmlns:mc="http://schemas.openxmlformats.org/markup-compatibility/2006">
          <mc:Choice Requires="x14">
            <control shapeId="1078" r:id="rId16" name=" 54">
              <controlPr defaultSize="0" autoFill="0" autoLine="0" autoPict="0">
                <anchor moveWithCells="1">
                  <from>
                    <xdr:col>3</xdr:col>
                    <xdr:colOff>114300</xdr:colOff>
                    <xdr:row>36</xdr:row>
                    <xdr:rowOff>182880</xdr:rowOff>
                  </from>
                  <to>
                    <xdr:col>3</xdr:col>
                    <xdr:colOff>327660</xdr:colOff>
                    <xdr:row>38</xdr:row>
                    <xdr:rowOff>38100</xdr:rowOff>
                  </to>
                </anchor>
              </controlPr>
            </control>
          </mc:Choice>
        </mc:AlternateContent>
        <mc:AlternateContent xmlns:mc="http://schemas.openxmlformats.org/markup-compatibility/2006">
          <mc:Choice Requires="x14">
            <control shapeId="1079" r:id="rId17" name=" 55">
              <controlPr defaultSize="0" autoFill="0" autoLine="0" autoPict="0">
                <anchor moveWithCells="1">
                  <from>
                    <xdr:col>3</xdr:col>
                    <xdr:colOff>114300</xdr:colOff>
                    <xdr:row>37</xdr:row>
                    <xdr:rowOff>175260</xdr:rowOff>
                  </from>
                  <to>
                    <xdr:col>3</xdr:col>
                    <xdr:colOff>327660</xdr:colOff>
                    <xdr:row>39</xdr:row>
                    <xdr:rowOff>38100</xdr:rowOff>
                  </to>
                </anchor>
              </controlPr>
            </control>
          </mc:Choice>
        </mc:AlternateContent>
        <mc:AlternateContent xmlns:mc="http://schemas.openxmlformats.org/markup-compatibility/2006">
          <mc:Choice Requires="x14">
            <control shapeId="1080" r:id="rId18" name=" 56">
              <controlPr defaultSize="0" autoFill="0" autoLine="0" autoPict="0">
                <anchor moveWithCells="1">
                  <from>
                    <xdr:col>3</xdr:col>
                    <xdr:colOff>114300</xdr:colOff>
                    <xdr:row>38</xdr:row>
                    <xdr:rowOff>182880</xdr:rowOff>
                  </from>
                  <to>
                    <xdr:col>3</xdr:col>
                    <xdr:colOff>327660</xdr:colOff>
                    <xdr:row>40</xdr:row>
                    <xdr:rowOff>38100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8593" id="{6CAD0F26-2001-4988-9531-0167F18DAF91}">
            <xm:f>計分版!$I$20=FALSE</xm:f>
            <x14:dxf>
              <font>
                <color theme="9" tint="0.79998168889431442"/>
              </font>
              <fill>
                <patternFill>
                  <bgColor theme="9" tint="0.79998168889431442"/>
                </patternFill>
              </fill>
            </x14:dxf>
          </x14:cfRule>
          <xm:sqref>D7:D19</xm:sqref>
        </x14:conditionalFormatting>
        <x14:conditionalFormatting xmlns:xm="http://schemas.microsoft.com/office/excel/2006/main">
          <x14:cfRule type="expression" priority="18601" id="{14C6DFB2-997D-4E2B-A554-28B260EC6BE6}">
            <xm:f>'A123'!$A$1=TRUE</xm:f>
            <x14:dxf>
              <numFmt numFmtId="182" formatCode="0.0%"/>
            </x14:dxf>
          </x14:cfRule>
          <xm:sqref>J16:L16 J18:L18 J20:L20</xm:sqref>
        </x14:conditionalFormatting>
        <x14:conditionalFormatting xmlns:xm="http://schemas.microsoft.com/office/excel/2006/main">
          <x14:cfRule type="expression" priority="18600" id="{2FE182C6-4275-4538-821D-2D367B293D90}">
            <xm:f>計分版!$I$20=TRUE</xm:f>
            <x14:dxf>
              <font>
                <color rgb="FFF2F2F2"/>
              </font>
            </x14:dxf>
          </x14:cfRule>
          <xm:sqref>C8 C10 C12 C15 C17 C19</xm:sqref>
        </x14:conditionalFormatting>
        <x14:conditionalFormatting xmlns:xm="http://schemas.microsoft.com/office/excel/2006/main">
          <x14:cfRule type="expression" priority="18599" id="{88FDDA21-0782-4A20-9559-C7B15BDF7C53}">
            <xm:f>計分版!$I$20=TRUE</xm:f>
            <x14:dxf>
              <font>
                <color rgb="FFE7E6E6"/>
              </font>
            </x14:dxf>
          </x14:cfRule>
          <xm:sqref>C9 C11 C16 C18</xm:sqref>
        </x14:conditionalFormatting>
        <x14:conditionalFormatting xmlns:xm="http://schemas.microsoft.com/office/excel/2006/main">
          <x14:cfRule type="expression" priority="18613" id="{65E73305-FB6A-45B1-B4E0-1092425F6418}">
            <xm:f>計分版!$I$20=TRUE</xm:f>
            <x14:dxf>
              <fill>
                <patternFill>
                  <bgColor theme="9" tint="0.39994506668294322"/>
                </patternFill>
              </fill>
            </x14:dxf>
          </x14:cfRule>
          <xm:sqref>D7 D14</xm:sqref>
        </x14:conditionalFormatting>
      </x14:conditionalFormattings>
    </ext>
    <ext xmlns:x14="http://schemas.microsoft.com/office/spreadsheetml/2009/9/main" uri="{CCE6A557-97BC-4b89-ADB6-D9C93CAAB3DF}">
      <x14:dataValidations xmlns:xm="http://schemas.microsoft.com/office/excel/2006/main" xWindow="600" yWindow="521" count="2">
        <x14:dataValidation type="list" allowBlank="1" showInputMessage="1" showErrorMessage="1" errorTitle="ERROR" error="請選擇所修讀的選修科目" xr:uid="{00000000-0002-0000-0300-000006000000}">
          <x14:formula1>
            <xm:f>選單!$E$2:$E$25</xm:f>
          </x14:formula1>
          <xm:sqref>B17</xm:sqref>
        </x14:dataValidation>
        <x14:dataValidation type="list" allowBlank="1" showInputMessage="1" showErrorMessage="1" errorTitle="ERROR" error="請選擇所修讀的選修科目" xr:uid="{00000000-0002-0000-0300-000007000000}">
          <x14:formula1>
            <xm:f>選單!$C$2:$C$25</xm:f>
          </x14:formula1>
          <xm:sqref>B15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5"/>
  <dimension ref="A1:AX73"/>
  <sheetViews>
    <sheetView zoomScaleNormal="100" workbookViewId="0">
      <pane ySplit="1" topLeftCell="A2" activePane="bottomLeft" state="frozen"/>
      <selection pane="bottomLeft"/>
    </sheetView>
  </sheetViews>
  <sheetFormatPr defaultColWidth="0" defaultRowHeight="0" customHeight="1" zeroHeight="1"/>
  <cols>
    <col min="1" max="1" width="7.109375" style="175" customWidth="1"/>
    <col min="2" max="2" width="9.109375" style="5" customWidth="1"/>
    <col min="3" max="3" width="25.77734375" style="186" customWidth="1"/>
    <col min="4" max="4" width="10.6640625" style="5" hidden="1" customWidth="1"/>
    <col min="5" max="5" width="7.77734375" style="307" customWidth="1"/>
    <col min="6" max="7" width="7.77734375" style="5" customWidth="1"/>
    <col min="8" max="8" width="7.77734375" style="338" customWidth="1"/>
    <col min="9" max="10" width="7.6640625" style="5" customWidth="1"/>
    <col min="11" max="11" width="4.88671875" style="53" customWidth="1"/>
    <col min="12" max="12" width="4.6640625" style="371" customWidth="1"/>
    <col min="13" max="13" width="9.77734375" style="5" customWidth="1"/>
    <col min="14" max="19" width="2.21875" style="5" customWidth="1"/>
    <col min="20" max="20" width="8.88671875" style="5" customWidth="1"/>
    <col min="21" max="21" width="6.33203125" style="175" customWidth="1"/>
    <col min="22" max="25" width="6.33203125" style="5" customWidth="1"/>
    <col min="26" max="26" width="6.33203125" style="175" customWidth="1"/>
    <col min="27" max="27" width="8.88671875" style="175" customWidth="1"/>
    <col min="28" max="33" width="6.33203125" style="175" customWidth="1"/>
    <col min="34" max="34" width="3.109375" style="175" customWidth="1"/>
    <col min="35" max="35" width="8.109375" style="175" customWidth="1"/>
    <col min="36" max="50" width="8.88671875" style="175" hidden="1" customWidth="1"/>
    <col min="51" max="16384" width="8.88671875" style="5" hidden="1"/>
  </cols>
  <sheetData>
    <row r="1" spans="1:50" s="54" customFormat="1" ht="18" customHeight="1">
      <c r="A1" s="54" t="s">
        <v>203</v>
      </c>
      <c r="B1" s="54" t="s">
        <v>298</v>
      </c>
      <c r="C1" s="312" t="s">
        <v>367</v>
      </c>
      <c r="E1" s="301" t="s">
        <v>204</v>
      </c>
      <c r="F1" s="256" t="s">
        <v>300</v>
      </c>
      <c r="G1" s="256" t="s">
        <v>301</v>
      </c>
      <c r="H1" s="332" t="s">
        <v>205</v>
      </c>
      <c r="I1" s="500" t="s">
        <v>363</v>
      </c>
      <c r="J1" s="500"/>
      <c r="K1" s="55" t="s">
        <v>361</v>
      </c>
      <c r="L1" s="368" t="s">
        <v>376</v>
      </c>
      <c r="M1" s="55" t="s">
        <v>2177</v>
      </c>
      <c r="N1" s="55" t="s">
        <v>369</v>
      </c>
      <c r="O1" s="55" t="s">
        <v>370</v>
      </c>
      <c r="P1" s="55" t="s">
        <v>371</v>
      </c>
      <c r="Q1" s="55" t="s">
        <v>372</v>
      </c>
      <c r="R1" s="55" t="s">
        <v>373</v>
      </c>
      <c r="S1" s="55" t="s">
        <v>374</v>
      </c>
      <c r="T1" s="265" t="s">
        <v>2029</v>
      </c>
      <c r="U1" s="265" t="s">
        <v>2028</v>
      </c>
      <c r="V1" s="265" t="s">
        <v>2021</v>
      </c>
      <c r="W1" s="265" t="s">
        <v>2022</v>
      </c>
      <c r="X1" s="265" t="s">
        <v>2023</v>
      </c>
      <c r="Y1" s="265" t="s">
        <v>2024</v>
      </c>
      <c r="Z1" s="265" t="s">
        <v>2025</v>
      </c>
      <c r="AA1" s="265" t="s">
        <v>2034</v>
      </c>
      <c r="AB1" s="265" t="s">
        <v>2028</v>
      </c>
      <c r="AC1" s="265" t="s">
        <v>2021</v>
      </c>
      <c r="AD1" s="265" t="s">
        <v>2022</v>
      </c>
      <c r="AE1" s="265" t="s">
        <v>2023</v>
      </c>
      <c r="AF1" s="265" t="s">
        <v>2024</v>
      </c>
      <c r="AG1" s="265" t="s">
        <v>2025</v>
      </c>
      <c r="AH1" s="265"/>
      <c r="AI1" s="265"/>
    </row>
    <row r="2" spans="1:50" s="179" customFormat="1" ht="18" customHeight="1">
      <c r="A2" s="175" t="s">
        <v>629</v>
      </c>
      <c r="B2" s="5" t="s">
        <v>779</v>
      </c>
      <c r="C2" s="186" t="s">
        <v>630</v>
      </c>
      <c r="D2" s="5" t="s">
        <v>1404</v>
      </c>
      <c r="E2" s="307" t="s">
        <v>195</v>
      </c>
      <c r="F2" s="7">
        <v>27</v>
      </c>
      <c r="G2" s="7">
        <v>26</v>
      </c>
      <c r="H2" s="193">
        <f>計分版!D25</f>
        <v>2.8499999999999999E-9</v>
      </c>
      <c r="I2" s="39">
        <f>IF(I$1="差距(Median)",H2-F2,IF(I$1="差距(LQ)",H2-G2))</f>
        <v>-26.999999997149999</v>
      </c>
      <c r="J2" s="40">
        <f>IF(I$1="差距(Median)",(H2-F2)/H2,IF(I$1="差距(LQ)",(H2-G2)/H2))</f>
        <v>-9473684209.5263157</v>
      </c>
      <c r="K2" s="101">
        <v>10</v>
      </c>
      <c r="L2" s="380">
        <f>入學要求!S3</f>
        <v>0</v>
      </c>
      <c r="M2" s="41" t="s">
        <v>2178</v>
      </c>
      <c r="N2" s="127">
        <v>3</v>
      </c>
      <c r="O2" s="127">
        <v>3</v>
      </c>
      <c r="P2" s="127">
        <v>4</v>
      </c>
      <c r="Q2" s="127">
        <v>2</v>
      </c>
      <c r="R2" s="127">
        <v>3</v>
      </c>
      <c r="S2" s="127">
        <v>3</v>
      </c>
      <c r="T2" s="501" t="s">
        <v>2030</v>
      </c>
      <c r="U2" s="272">
        <f>IF($T$2="2018年",'Offer Statistics'!H2,IF($T$2="2019年",'Offer Statistics'!H53,IF($T$2="2020年",'Offer Statistics'!H104)))</f>
        <v>9</v>
      </c>
      <c r="V2" s="284">
        <f>IF($T$2="2018年",'Offer Statistics'!C2,IF($T$2="2019年",'Offer Statistics'!C53,IF($T$2="2020年",'Offer Statistics'!C104)))</f>
        <v>7</v>
      </c>
      <c r="W2" s="284">
        <f>IF($T$2="2018年",'Offer Statistics'!D2,IF($T$2="2019年",'Offer Statistics'!D53,IF($T$2="2020年",'Offer Statistics'!D104)))</f>
        <v>0</v>
      </c>
      <c r="X2" s="284">
        <f>IF($T$2="2018年",'Offer Statistics'!E2,IF($T$2="2019年",'Offer Statistics'!E53,IF($T$2="2020年",'Offer Statistics'!E104)))</f>
        <v>1</v>
      </c>
      <c r="Y2" s="284">
        <f>IF($T$2="2018年",'Offer Statistics'!F2,IF($T$2="2019年",'Offer Statistics'!F53,IF($T$2="2020年",'Offer Statistics'!F104)))</f>
        <v>1</v>
      </c>
      <c r="Z2" s="285">
        <f>IF($T$2="2018年",'Offer Statistics'!G2,IF($T$2="2019年",'Offer Statistics'!G53,IF($T$2="2020年",'Offer Statistics'!G104)))</f>
        <v>0</v>
      </c>
      <c r="AA2" s="501" t="str">
        <f>T2</f>
        <v>2020年</v>
      </c>
      <c r="AB2" s="272">
        <f>IF($AA$2="2018年",'Offer Statistics'!P2,IF($AA$2="2019年",'Offer Statistics'!P53,IF($AA$2="2020年",'Offer Statistics'!P104)))</f>
        <v>1129</v>
      </c>
      <c r="AC2" s="284">
        <f>IF($AA$2="2018年",'Offer Statistics'!K2,IF($AA$2="2019年",'Offer Statistics'!K53,IF($AA$2="2020年",'Offer Statistics'!K104)))</f>
        <v>113</v>
      </c>
      <c r="AD2" s="284">
        <f>IF($AA$2="2018年",'Offer Statistics'!L2,IF($AA$2="2019年",'Offer Statistics'!L53,IF($AA$2="2020年",'Offer Statistics'!L104)))</f>
        <v>145</v>
      </c>
      <c r="AE2" s="284">
        <f>IF($AA$2="2018年",'Offer Statistics'!M2,IF($AA$2="2019年",'Offer Statistics'!M53,IF($AA$2="2020年",'Offer Statistics'!M104)))</f>
        <v>248</v>
      </c>
      <c r="AF2" s="284">
        <f>IF($AA$2="2018年",'Offer Statistics'!N2,IF($AA$2="2019年",'Offer Statistics'!N53,IF($AA$2="2020年",'Offer Statistics'!N104)))</f>
        <v>334</v>
      </c>
      <c r="AG2" s="285">
        <f>IF($AA$2="2018年",'Offer Statistics'!O2,IF($AA$2="2019年",'Offer Statistics'!O53,IF($AA$2="2020年",'Offer Statistics'!O104)))</f>
        <v>289</v>
      </c>
      <c r="AH2" s="181"/>
      <c r="AI2" s="181" t="str">
        <f>A2</f>
        <v>JS1000</v>
      </c>
      <c r="AJ2" s="175"/>
      <c r="AK2" s="175"/>
      <c r="AL2" s="175"/>
      <c r="AM2" s="175"/>
      <c r="AN2" s="175"/>
      <c r="AO2" s="175"/>
      <c r="AP2" s="175"/>
      <c r="AQ2" s="175"/>
      <c r="AR2" s="175"/>
      <c r="AS2" s="175"/>
      <c r="AT2" s="175"/>
      <c r="AU2" s="175"/>
      <c r="AV2" s="175"/>
      <c r="AW2" s="175"/>
      <c r="AX2" s="175"/>
    </row>
    <row r="3" spans="1:50" s="179" customFormat="1" ht="18" customHeight="1">
      <c r="A3" s="175" t="s">
        <v>632</v>
      </c>
      <c r="B3" s="5" t="s">
        <v>779</v>
      </c>
      <c r="C3" s="186" t="s">
        <v>633</v>
      </c>
      <c r="D3" s="5" t="s">
        <v>1405</v>
      </c>
      <c r="E3" s="307" t="s">
        <v>195</v>
      </c>
      <c r="F3" s="7">
        <v>28</v>
      </c>
      <c r="G3" s="7">
        <v>27</v>
      </c>
      <c r="H3" s="193">
        <f>計分版!D26</f>
        <v>2.8499999999999999E-9</v>
      </c>
      <c r="I3" s="39">
        <f t="shared" ref="I3:I33" si="0">IF(I$1="差距(Median)",H3-F3,IF(I$1="差距(LQ)",H3-G3))</f>
        <v>-27.999999997149999</v>
      </c>
      <c r="J3" s="40">
        <f t="shared" ref="J3:J33" si="1">IF(I$1="差距(Median)",(H3-F3)/H3,IF(I$1="差距(LQ)",(H3-G3)/H3))</f>
        <v>-9824561402.5087719</v>
      </c>
      <c r="K3" s="101">
        <v>10</v>
      </c>
      <c r="L3" s="381">
        <f>入學要求!S4</f>
        <v>0</v>
      </c>
      <c r="M3" s="41" t="s">
        <v>2178</v>
      </c>
      <c r="N3" s="127">
        <v>3</v>
      </c>
      <c r="O3" s="127">
        <v>3</v>
      </c>
      <c r="P3" s="127">
        <v>3</v>
      </c>
      <c r="Q3" s="127">
        <v>2</v>
      </c>
      <c r="R3" s="127">
        <v>3</v>
      </c>
      <c r="S3" s="127">
        <v>3</v>
      </c>
      <c r="T3" s="501"/>
      <c r="U3" s="272">
        <f>IF($T$2="2018年",'Offer Statistics'!H3,IF($T$2="2019年",'Offer Statistics'!H54,IF($T$2="2020年",'Offer Statistics'!H105)))</f>
        <v>8</v>
      </c>
      <c r="V3" s="284">
        <f>IF($T$2="2018年",'Offer Statistics'!C3,IF($T$2="2019年",'Offer Statistics'!C54,IF($T$2="2020年",'Offer Statistics'!C105)))</f>
        <v>8</v>
      </c>
      <c r="W3" s="284">
        <f>IF($T$2="2018年",'Offer Statistics'!D3,IF($T$2="2019年",'Offer Statistics'!D54,IF($T$2="2020年",'Offer Statistics'!D105)))</f>
        <v>0</v>
      </c>
      <c r="X3" s="284">
        <f>IF($T$2="2018年",'Offer Statistics'!E3,IF($T$2="2019年",'Offer Statistics'!E54,IF($T$2="2020年",'Offer Statistics'!E105)))</f>
        <v>0</v>
      </c>
      <c r="Y3" s="284">
        <f>IF($T$2="2018年",'Offer Statistics'!F3,IF($T$2="2019年",'Offer Statistics'!F54,IF($T$2="2020年",'Offer Statistics'!F105)))</f>
        <v>0</v>
      </c>
      <c r="Z3" s="285">
        <f>IF($T$2="2018年",'Offer Statistics'!G3,IF($T$2="2019年",'Offer Statistics'!G54,IF($T$2="2020年",'Offer Statistics'!G105)))</f>
        <v>0</v>
      </c>
      <c r="AA3" s="501"/>
      <c r="AB3" s="272">
        <f>IF($AA$2="2018年",'Offer Statistics'!P3,IF($AA$2="2019年",'Offer Statistics'!P54,IF($AA$2="2020年",'Offer Statistics'!P105)))</f>
        <v>2016</v>
      </c>
      <c r="AC3" s="284">
        <f>IF($AA$2="2018年",'Offer Statistics'!K3,IF($AA$2="2019年",'Offer Statistics'!K54,IF($AA$2="2020年",'Offer Statistics'!K105)))</f>
        <v>158</v>
      </c>
      <c r="AD3" s="284">
        <f>IF($AA$2="2018年",'Offer Statistics'!L3,IF($AA$2="2019年",'Offer Statistics'!L54,IF($AA$2="2020年",'Offer Statistics'!L105)))</f>
        <v>322</v>
      </c>
      <c r="AE3" s="284">
        <f>IF($AA$2="2018年",'Offer Statistics'!M3,IF($AA$2="2019年",'Offer Statistics'!M54,IF($AA$2="2020年",'Offer Statistics'!M105)))</f>
        <v>438</v>
      </c>
      <c r="AF3" s="284">
        <f>IF($AA$2="2018年",'Offer Statistics'!N3,IF($AA$2="2019年",'Offer Statistics'!N54,IF($AA$2="2020年",'Offer Statistics'!N105)))</f>
        <v>608</v>
      </c>
      <c r="AG3" s="285">
        <f>IF($AA$2="2018年",'Offer Statistics'!O3,IF($AA$2="2019年",'Offer Statistics'!O54,IF($AA$2="2020年",'Offer Statistics'!O105)))</f>
        <v>490</v>
      </c>
      <c r="AH3" s="181"/>
      <c r="AI3" s="338" t="str">
        <f t="shared" ref="AI3:AI51" si="2">A3</f>
        <v>JS1001</v>
      </c>
      <c r="AJ3" s="175"/>
      <c r="AK3" s="175"/>
      <c r="AL3" s="175"/>
      <c r="AM3" s="175"/>
      <c r="AN3" s="175"/>
      <c r="AO3" s="175"/>
      <c r="AP3" s="175"/>
      <c r="AQ3" s="175"/>
      <c r="AR3" s="175"/>
      <c r="AS3" s="175"/>
      <c r="AT3" s="175"/>
      <c r="AU3" s="175"/>
      <c r="AV3" s="175"/>
      <c r="AW3" s="175"/>
      <c r="AX3" s="175"/>
    </row>
    <row r="4" spans="1:50" s="179" customFormat="1" ht="18" customHeight="1">
      <c r="A4" s="175" t="s">
        <v>635</v>
      </c>
      <c r="B4" s="5" t="s">
        <v>779</v>
      </c>
      <c r="C4" s="186" t="s">
        <v>636</v>
      </c>
      <c r="D4" s="5" t="s">
        <v>1406</v>
      </c>
      <c r="E4" s="442" t="s">
        <v>190</v>
      </c>
      <c r="F4" s="7">
        <v>24</v>
      </c>
      <c r="G4" s="7">
        <v>24</v>
      </c>
      <c r="H4" s="193">
        <f>計分版!D27</f>
        <v>2.8499999999999999E-9</v>
      </c>
      <c r="I4" s="39">
        <f t="shared" si="0"/>
        <v>-23.999999997149999</v>
      </c>
      <c r="J4" s="40">
        <f t="shared" si="1"/>
        <v>-8421052630.5789471</v>
      </c>
      <c r="K4" s="101">
        <v>141</v>
      </c>
      <c r="L4" s="381">
        <f>入學要求!S5</f>
        <v>0</v>
      </c>
      <c r="M4" s="41" t="s">
        <v>2178</v>
      </c>
      <c r="N4" s="127">
        <v>3</v>
      </c>
      <c r="O4" s="127">
        <v>3</v>
      </c>
      <c r="P4" s="127">
        <v>3</v>
      </c>
      <c r="Q4" s="127">
        <v>2</v>
      </c>
      <c r="R4" s="127">
        <v>3</v>
      </c>
      <c r="S4" s="127">
        <v>3</v>
      </c>
      <c r="T4" s="501"/>
      <c r="U4" s="272">
        <f>IF($T$2="2018年",'Offer Statistics'!H4,IF($T$2="2019年",'Offer Statistics'!H55,IF($T$2="2020年",'Offer Statistics'!H106)))</f>
        <v>129</v>
      </c>
      <c r="V4" s="284">
        <f>IF($T$2="2018年",'Offer Statistics'!C4,IF($T$2="2019年",'Offer Statistics'!C55,IF($T$2="2020年",'Offer Statistics'!C106)))</f>
        <v>126</v>
      </c>
      <c r="W4" s="284">
        <f>IF($T$2="2018年",'Offer Statistics'!D4,IF($T$2="2019年",'Offer Statistics'!D55,IF($T$2="2020年",'Offer Statistics'!D106)))</f>
        <v>3</v>
      </c>
      <c r="X4" s="284">
        <f>IF($T$2="2018年",'Offer Statistics'!E4,IF($T$2="2019年",'Offer Statistics'!E55,IF($T$2="2020年",'Offer Statistics'!E106)))</f>
        <v>0</v>
      </c>
      <c r="Y4" s="284">
        <f>IF($T$2="2018年",'Offer Statistics'!F4,IF($T$2="2019年",'Offer Statistics'!F55,IF($T$2="2020年",'Offer Statistics'!F106)))</f>
        <v>0</v>
      </c>
      <c r="Z4" s="285">
        <f>IF($T$2="2018年",'Offer Statistics'!G4,IF($T$2="2019年",'Offer Statistics'!G55,IF($T$2="2020年",'Offer Statistics'!G106)))</f>
        <v>0</v>
      </c>
      <c r="AA4" s="501"/>
      <c r="AB4" s="272">
        <f>IF($AA$2="2018年",'Offer Statistics'!P4,IF($AA$2="2019年",'Offer Statistics'!P55,IF($AA$2="2020年",'Offer Statistics'!P106)))</f>
        <v>3691</v>
      </c>
      <c r="AC4" s="284">
        <f>IF($AA$2="2018年",'Offer Statistics'!K4,IF($AA$2="2019年",'Offer Statistics'!K55,IF($AA$2="2020年",'Offer Statistics'!K106)))</f>
        <v>721</v>
      </c>
      <c r="AD4" s="284">
        <f>IF($AA$2="2018年",'Offer Statistics'!L4,IF($AA$2="2019年",'Offer Statistics'!L55,IF($AA$2="2020年",'Offer Statistics'!L106)))</f>
        <v>750</v>
      </c>
      <c r="AE4" s="284">
        <f>IF($AA$2="2018年",'Offer Statistics'!M4,IF($AA$2="2019年",'Offer Statistics'!M55,IF($AA$2="2020年",'Offer Statistics'!M106)))</f>
        <v>769</v>
      </c>
      <c r="AF4" s="284">
        <f>IF($AA$2="2018年",'Offer Statistics'!N4,IF($AA$2="2019年",'Offer Statistics'!N55,IF($AA$2="2020年",'Offer Statistics'!N106)))</f>
        <v>856</v>
      </c>
      <c r="AG4" s="285">
        <f>IF($AA$2="2018年",'Offer Statistics'!O4,IF($AA$2="2019年",'Offer Statistics'!O55,IF($AA$2="2020年",'Offer Statistics'!O106)))</f>
        <v>595</v>
      </c>
      <c r="AH4" s="181"/>
      <c r="AI4" s="338" t="str">
        <f t="shared" si="2"/>
        <v>JS1002</v>
      </c>
      <c r="AJ4" s="175"/>
      <c r="AK4" s="175"/>
      <c r="AL4" s="175"/>
      <c r="AM4" s="175"/>
      <c r="AN4" s="175"/>
      <c r="AO4" s="175"/>
      <c r="AP4" s="175"/>
      <c r="AQ4" s="175"/>
      <c r="AR4" s="175"/>
      <c r="AS4" s="175"/>
      <c r="AT4" s="175"/>
      <c r="AU4" s="175"/>
      <c r="AV4" s="175"/>
      <c r="AW4" s="175"/>
      <c r="AX4" s="175"/>
    </row>
    <row r="5" spans="1:50" s="179" customFormat="1" ht="18" customHeight="1">
      <c r="A5" s="175" t="s">
        <v>638</v>
      </c>
      <c r="B5" s="5" t="s">
        <v>779</v>
      </c>
      <c r="C5" s="186" t="s">
        <v>639</v>
      </c>
      <c r="D5" s="5" t="s">
        <v>1407</v>
      </c>
      <c r="E5" s="442" t="s">
        <v>190</v>
      </c>
      <c r="F5" s="7">
        <v>24</v>
      </c>
      <c r="G5" s="7">
        <v>24</v>
      </c>
      <c r="H5" s="193">
        <f>計分版!D28</f>
        <v>2.8499999999999999E-9</v>
      </c>
      <c r="I5" s="39">
        <f t="shared" si="0"/>
        <v>-23.999999997149999</v>
      </c>
      <c r="J5" s="40">
        <f t="shared" si="1"/>
        <v>-8421052630.5789471</v>
      </c>
      <c r="K5" s="101">
        <v>71</v>
      </c>
      <c r="L5" s="381">
        <f>入學要求!S6</f>
        <v>0</v>
      </c>
      <c r="M5" s="41" t="s">
        <v>2178</v>
      </c>
      <c r="N5" s="127">
        <v>3</v>
      </c>
      <c r="O5" s="127">
        <v>3</v>
      </c>
      <c r="P5" s="127">
        <v>3</v>
      </c>
      <c r="Q5" s="127">
        <v>2</v>
      </c>
      <c r="R5" s="127">
        <v>3</v>
      </c>
      <c r="S5" s="127">
        <v>3</v>
      </c>
      <c r="T5" s="501"/>
      <c r="U5" s="272">
        <f>IF($T$2="2018年",'Offer Statistics'!H5,IF($T$2="2019年",'Offer Statistics'!H56,IF($T$2="2020年",'Offer Statistics'!H107)))</f>
        <v>56</v>
      </c>
      <c r="V5" s="284">
        <f>IF($T$2="2018年",'Offer Statistics'!C5,IF($T$2="2019年",'Offer Statistics'!C56,IF($T$2="2020年",'Offer Statistics'!C107)))</f>
        <v>52</v>
      </c>
      <c r="W5" s="284">
        <f>IF($T$2="2018年",'Offer Statistics'!D5,IF($T$2="2019年",'Offer Statistics'!D56,IF($T$2="2020年",'Offer Statistics'!D107)))</f>
        <v>3</v>
      </c>
      <c r="X5" s="284">
        <f>IF($T$2="2018年",'Offer Statistics'!E5,IF($T$2="2019年",'Offer Statistics'!E56,IF($T$2="2020年",'Offer Statistics'!E107)))</f>
        <v>0</v>
      </c>
      <c r="Y5" s="284">
        <f>IF($T$2="2018年",'Offer Statistics'!F5,IF($T$2="2019年",'Offer Statistics'!F56,IF($T$2="2020年",'Offer Statistics'!F107)))</f>
        <v>1</v>
      </c>
      <c r="Z5" s="285">
        <f>IF($T$2="2018年",'Offer Statistics'!G5,IF($T$2="2019年",'Offer Statistics'!G56,IF($T$2="2020年",'Offer Statistics'!G107)))</f>
        <v>0</v>
      </c>
      <c r="AA5" s="501"/>
      <c r="AB5" s="272">
        <f>IF($AA$2="2018年",'Offer Statistics'!P5,IF($AA$2="2019年",'Offer Statistics'!P56,IF($AA$2="2020年",'Offer Statistics'!P107)))</f>
        <v>5284</v>
      </c>
      <c r="AC5" s="284">
        <f>IF($AA$2="2018年",'Offer Statistics'!K5,IF($AA$2="2019年",'Offer Statistics'!K56,IF($AA$2="2020年",'Offer Statistics'!K107)))</f>
        <v>615</v>
      </c>
      <c r="AD5" s="284">
        <f>IF($AA$2="2018年",'Offer Statistics'!L5,IF($AA$2="2019年",'Offer Statistics'!L56,IF($AA$2="2020年",'Offer Statistics'!L107)))</f>
        <v>838</v>
      </c>
      <c r="AE5" s="284">
        <f>IF($AA$2="2018年",'Offer Statistics'!M5,IF($AA$2="2019年",'Offer Statistics'!M56,IF($AA$2="2020年",'Offer Statistics'!M107)))</f>
        <v>1298</v>
      </c>
      <c r="AF5" s="284">
        <f>IF($AA$2="2018年",'Offer Statistics'!N5,IF($AA$2="2019年",'Offer Statistics'!N56,IF($AA$2="2020年",'Offer Statistics'!N107)))</f>
        <v>1577</v>
      </c>
      <c r="AG5" s="285">
        <f>IF($AA$2="2018年",'Offer Statistics'!O5,IF($AA$2="2019年",'Offer Statistics'!O56,IF($AA$2="2020年",'Offer Statistics'!O107)))</f>
        <v>956</v>
      </c>
      <c r="AH5" s="181"/>
      <c r="AI5" s="338" t="str">
        <f t="shared" si="2"/>
        <v>JS1005</v>
      </c>
      <c r="AJ5" s="175"/>
      <c r="AK5" s="175"/>
      <c r="AL5" s="175"/>
      <c r="AM5" s="175"/>
      <c r="AN5" s="175"/>
      <c r="AO5" s="175"/>
      <c r="AP5" s="175"/>
      <c r="AQ5" s="175"/>
      <c r="AR5" s="175"/>
      <c r="AS5" s="175"/>
      <c r="AT5" s="175"/>
      <c r="AU5" s="175"/>
      <c r="AV5" s="175"/>
      <c r="AW5" s="175"/>
      <c r="AX5" s="175"/>
    </row>
    <row r="6" spans="1:50" s="179" customFormat="1" ht="18" customHeight="1">
      <c r="A6" s="175" t="s">
        <v>641</v>
      </c>
      <c r="B6" s="5" t="s">
        <v>779</v>
      </c>
      <c r="C6" s="186" t="s">
        <v>642</v>
      </c>
      <c r="D6" s="5" t="s">
        <v>1408</v>
      </c>
      <c r="E6" s="437" t="s">
        <v>190</v>
      </c>
      <c r="F6" s="7">
        <v>27</v>
      </c>
      <c r="G6" s="7">
        <v>26</v>
      </c>
      <c r="H6" s="193">
        <f>計分版!D29</f>
        <v>2.9499999999999999E-9</v>
      </c>
      <c r="I6" s="39">
        <f t="shared" si="0"/>
        <v>-26.999999997050001</v>
      </c>
      <c r="J6" s="40">
        <f t="shared" si="1"/>
        <v>-9152542371.8813572</v>
      </c>
      <c r="K6" s="101">
        <v>83</v>
      </c>
      <c r="L6" s="381">
        <f>入學要求!S7</f>
        <v>0</v>
      </c>
      <c r="M6" s="41" t="s">
        <v>2178</v>
      </c>
      <c r="N6" s="127">
        <v>3</v>
      </c>
      <c r="O6" s="127">
        <v>3</v>
      </c>
      <c r="P6" s="127">
        <v>3</v>
      </c>
      <c r="Q6" s="127">
        <v>2</v>
      </c>
      <c r="R6" s="127">
        <v>3</v>
      </c>
      <c r="S6" s="127">
        <v>3</v>
      </c>
      <c r="T6" s="501"/>
      <c r="U6" s="272">
        <f>IF($T$2="2018年",'Offer Statistics'!H6,IF($T$2="2019年",'Offer Statistics'!H57,IF($T$2="2020年",'Offer Statistics'!H108)))</f>
        <v>55</v>
      </c>
      <c r="V6" s="284">
        <f>IF($T$2="2018年",'Offer Statistics'!C6,IF($T$2="2019年",'Offer Statistics'!C57,IF($T$2="2020年",'Offer Statistics'!C108)))</f>
        <v>53</v>
      </c>
      <c r="W6" s="284">
        <f>IF($T$2="2018年",'Offer Statistics'!D6,IF($T$2="2019年",'Offer Statistics'!D57,IF($T$2="2020年",'Offer Statistics'!D108)))</f>
        <v>2</v>
      </c>
      <c r="X6" s="284">
        <f>IF($T$2="2018年",'Offer Statistics'!E6,IF($T$2="2019年",'Offer Statistics'!E57,IF($T$2="2020年",'Offer Statistics'!E108)))</f>
        <v>0</v>
      </c>
      <c r="Y6" s="284">
        <f>IF($T$2="2018年",'Offer Statistics'!F6,IF($T$2="2019年",'Offer Statistics'!F57,IF($T$2="2020年",'Offer Statistics'!F108)))</f>
        <v>0</v>
      </c>
      <c r="Z6" s="285">
        <f>IF($T$2="2018年",'Offer Statistics'!G6,IF($T$2="2019年",'Offer Statistics'!G57,IF($T$2="2020年",'Offer Statistics'!G108)))</f>
        <v>0</v>
      </c>
      <c r="AA6" s="501"/>
      <c r="AB6" s="272">
        <f>IF($AA$2="2018年",'Offer Statistics'!P6,IF($AA$2="2019年",'Offer Statistics'!P57,IF($AA$2="2020年",'Offer Statistics'!P108)))</f>
        <v>4603</v>
      </c>
      <c r="AC6" s="284">
        <f>IF($AA$2="2018年",'Offer Statistics'!K6,IF($AA$2="2019年",'Offer Statistics'!K57,IF($AA$2="2020年",'Offer Statistics'!K108)))</f>
        <v>617</v>
      </c>
      <c r="AD6" s="284">
        <f>IF($AA$2="2018年",'Offer Statistics'!L6,IF($AA$2="2019年",'Offer Statistics'!L57,IF($AA$2="2020年",'Offer Statistics'!L108)))</f>
        <v>736</v>
      </c>
      <c r="AE6" s="284">
        <f>IF($AA$2="2018年",'Offer Statistics'!M6,IF($AA$2="2019年",'Offer Statistics'!M57,IF($AA$2="2020年",'Offer Statistics'!M108)))</f>
        <v>1120</v>
      </c>
      <c r="AF6" s="284">
        <f>IF($AA$2="2018年",'Offer Statistics'!N6,IF($AA$2="2019年",'Offer Statistics'!N57,IF($AA$2="2020年",'Offer Statistics'!N108)))</f>
        <v>1271</v>
      </c>
      <c r="AG6" s="285">
        <f>IF($AA$2="2018年",'Offer Statistics'!O6,IF($AA$2="2019年",'Offer Statistics'!O57,IF($AA$2="2020年",'Offer Statistics'!O108)))</f>
        <v>859</v>
      </c>
      <c r="AH6" s="181"/>
      <c r="AI6" s="338" t="str">
        <f t="shared" si="2"/>
        <v>JS1007</v>
      </c>
      <c r="AJ6" s="175"/>
      <c r="AK6" s="175"/>
      <c r="AL6" s="175"/>
      <c r="AM6" s="175"/>
      <c r="AN6" s="175"/>
      <c r="AO6" s="175"/>
      <c r="AP6" s="175"/>
      <c r="AQ6" s="175"/>
      <c r="AR6" s="175"/>
      <c r="AS6" s="175"/>
      <c r="AT6" s="175"/>
      <c r="AU6" s="175"/>
      <c r="AV6" s="175"/>
      <c r="AW6" s="175"/>
      <c r="AX6" s="175"/>
    </row>
    <row r="7" spans="1:50" s="179" customFormat="1" ht="18" customHeight="1">
      <c r="A7" s="175" t="s">
        <v>644</v>
      </c>
      <c r="B7" s="5" t="s">
        <v>779</v>
      </c>
      <c r="C7" s="186" t="s">
        <v>645</v>
      </c>
      <c r="D7" s="5" t="s">
        <v>1409</v>
      </c>
      <c r="E7" s="307" t="s">
        <v>190</v>
      </c>
      <c r="F7" s="7">
        <v>24</v>
      </c>
      <c r="G7" s="7">
        <v>24</v>
      </c>
      <c r="H7" s="193">
        <f>計分版!D30</f>
        <v>2.8499999999999999E-9</v>
      </c>
      <c r="I7" s="39">
        <f t="shared" si="0"/>
        <v>-23.999999997149999</v>
      </c>
      <c r="J7" s="40">
        <f t="shared" si="1"/>
        <v>-8421052630.5789471</v>
      </c>
      <c r="K7" s="101">
        <v>19</v>
      </c>
      <c r="L7" s="381">
        <f>入學要求!S8</f>
        <v>0</v>
      </c>
      <c r="M7" s="502" t="s">
        <v>792</v>
      </c>
      <c r="N7" s="127">
        <v>3</v>
      </c>
      <c r="O7" s="127">
        <v>3</v>
      </c>
      <c r="P7" s="127">
        <v>3</v>
      </c>
      <c r="Q7" s="127">
        <v>2</v>
      </c>
      <c r="R7" s="127">
        <v>3</v>
      </c>
      <c r="S7" s="127">
        <v>3</v>
      </c>
      <c r="T7" s="501"/>
      <c r="U7" s="272">
        <f>IF($T$2="2018年",'Offer Statistics'!H7,IF($T$2="2019年",'Offer Statistics'!H58,IF($T$2="2020年",'Offer Statistics'!H109)))</f>
        <v>74</v>
      </c>
      <c r="V7" s="284">
        <f>IF($T$2="2018年",'Offer Statistics'!C7,IF($T$2="2019年",'Offer Statistics'!C58,IF($T$2="2020年",'Offer Statistics'!C109)))</f>
        <v>72</v>
      </c>
      <c r="W7" s="284">
        <f>IF($T$2="2018年",'Offer Statistics'!D7,IF($T$2="2019年",'Offer Statistics'!D58,IF($T$2="2020年",'Offer Statistics'!D109)))</f>
        <v>2</v>
      </c>
      <c r="X7" s="284">
        <f>IF($T$2="2018年",'Offer Statistics'!E7,IF($T$2="2019年",'Offer Statistics'!E58,IF($T$2="2020年",'Offer Statistics'!E109)))</f>
        <v>0</v>
      </c>
      <c r="Y7" s="284">
        <f>IF($T$2="2018年",'Offer Statistics'!F7,IF($T$2="2019年",'Offer Statistics'!F58,IF($T$2="2020年",'Offer Statistics'!F109)))</f>
        <v>0</v>
      </c>
      <c r="Z7" s="285">
        <f>IF($T$2="2018年",'Offer Statistics'!G7,IF($T$2="2019年",'Offer Statistics'!G58,IF($T$2="2020年",'Offer Statistics'!G109)))</f>
        <v>0</v>
      </c>
      <c r="AA7" s="501"/>
      <c r="AB7" s="272">
        <f>IF($AA$2="2018年",'Offer Statistics'!P7,IF($AA$2="2019年",'Offer Statistics'!P58,IF($AA$2="2020年",'Offer Statistics'!P109)))</f>
        <v>3646</v>
      </c>
      <c r="AC7" s="284">
        <f>IF($AA$2="2018年",'Offer Statistics'!K7,IF($AA$2="2019年",'Offer Statistics'!K58,IF($AA$2="2020年",'Offer Statistics'!K109)))</f>
        <v>769</v>
      </c>
      <c r="AD7" s="284">
        <f>IF($AA$2="2018年",'Offer Statistics'!L7,IF($AA$2="2019年",'Offer Statistics'!L58,IF($AA$2="2020年",'Offer Statistics'!L109)))</f>
        <v>677</v>
      </c>
      <c r="AE7" s="284">
        <f>IF($AA$2="2018年",'Offer Statistics'!M7,IF($AA$2="2019年",'Offer Statistics'!M58,IF($AA$2="2020年",'Offer Statistics'!M109)))</f>
        <v>756</v>
      </c>
      <c r="AF7" s="284">
        <f>IF($AA$2="2018年",'Offer Statistics'!N7,IF($AA$2="2019年",'Offer Statistics'!N58,IF($AA$2="2020年",'Offer Statistics'!N109)))</f>
        <v>878</v>
      </c>
      <c r="AG7" s="285">
        <f>IF($AA$2="2018年",'Offer Statistics'!O7,IF($AA$2="2019年",'Offer Statistics'!O58,IF($AA$2="2020年",'Offer Statistics'!O109)))</f>
        <v>566</v>
      </c>
      <c r="AH7" s="181"/>
      <c r="AI7" s="338" t="str">
        <f t="shared" si="2"/>
        <v>JS1012</v>
      </c>
      <c r="AJ7" s="175"/>
      <c r="AK7" s="175"/>
      <c r="AL7" s="175"/>
      <c r="AM7" s="175"/>
      <c r="AN7" s="175"/>
      <c r="AO7" s="175"/>
      <c r="AP7" s="175"/>
      <c r="AQ7" s="175"/>
      <c r="AR7" s="175"/>
      <c r="AS7" s="175"/>
      <c r="AT7" s="175"/>
      <c r="AU7" s="175"/>
      <c r="AV7" s="175"/>
      <c r="AW7" s="175"/>
      <c r="AX7" s="175"/>
    </row>
    <row r="8" spans="1:50" s="179" customFormat="1" ht="18" customHeight="1">
      <c r="A8" s="175" t="s">
        <v>646</v>
      </c>
      <c r="B8" s="5" t="s">
        <v>779</v>
      </c>
      <c r="C8" s="186" t="s">
        <v>647</v>
      </c>
      <c r="D8" s="5" t="s">
        <v>1410</v>
      </c>
      <c r="E8" s="307" t="s">
        <v>190</v>
      </c>
      <c r="F8" s="7">
        <v>23</v>
      </c>
      <c r="G8" s="7">
        <v>23</v>
      </c>
      <c r="H8" s="193">
        <f>計分版!D31</f>
        <v>2.8499999999999999E-9</v>
      </c>
      <c r="I8" s="39">
        <f t="shared" ref="I8:I15" si="3">IF(I$1="差距(Median)",H8-F8,IF(I$1="差距(LQ)",H8-G8))</f>
        <v>-22.999999997149999</v>
      </c>
      <c r="J8" s="40">
        <f t="shared" ref="J8:J15" si="4">IF(I$1="差距(Median)",(H8-F8)/H8,IF(I$1="差距(LQ)",(H8-G8)/H8))</f>
        <v>-8070175437.5964909</v>
      </c>
      <c r="K8" s="101">
        <v>36</v>
      </c>
      <c r="L8" s="381">
        <f>入學要求!S9</f>
        <v>0</v>
      </c>
      <c r="M8" s="502"/>
      <c r="N8" s="127">
        <v>3</v>
      </c>
      <c r="O8" s="127">
        <v>3</v>
      </c>
      <c r="P8" s="127">
        <v>3</v>
      </c>
      <c r="Q8" s="127">
        <v>2</v>
      </c>
      <c r="R8" s="127">
        <v>3</v>
      </c>
      <c r="S8" s="127">
        <v>3</v>
      </c>
      <c r="T8" s="501"/>
      <c r="U8" s="272">
        <f>IF($T$2="2018年",'Offer Statistics'!H8,IF($T$2="2019年",'Offer Statistics'!H59,IF($T$2="2020年",'Offer Statistics'!H110)))</f>
        <v>18</v>
      </c>
      <c r="V8" s="284">
        <f>IF($T$2="2018年",'Offer Statistics'!C8,IF($T$2="2019年",'Offer Statistics'!C59,IF($T$2="2020年",'Offer Statistics'!C110)))</f>
        <v>15</v>
      </c>
      <c r="W8" s="284">
        <f>IF($T$2="2018年",'Offer Statistics'!D8,IF($T$2="2019年",'Offer Statistics'!D59,IF($T$2="2020年",'Offer Statistics'!D110)))</f>
        <v>2</v>
      </c>
      <c r="X8" s="284">
        <f>IF($T$2="2018年",'Offer Statistics'!E8,IF($T$2="2019年",'Offer Statistics'!E59,IF($T$2="2020年",'Offer Statistics'!E110)))</f>
        <v>1</v>
      </c>
      <c r="Y8" s="284">
        <f>IF($T$2="2018年",'Offer Statistics'!F8,IF($T$2="2019年",'Offer Statistics'!F59,IF($T$2="2020年",'Offer Statistics'!F110)))</f>
        <v>0</v>
      </c>
      <c r="Z8" s="285">
        <f>IF($T$2="2018年",'Offer Statistics'!G8,IF($T$2="2019年",'Offer Statistics'!G59,IF($T$2="2020年",'Offer Statistics'!G110)))</f>
        <v>0</v>
      </c>
      <c r="AA8" s="501"/>
      <c r="AB8" s="272">
        <f>IF($AA$2="2018年",'Offer Statistics'!P8,IF($AA$2="2019年",'Offer Statistics'!P59,IF($AA$2="2020年",'Offer Statistics'!P110)))</f>
        <v>1952</v>
      </c>
      <c r="AC8" s="284">
        <f>IF($AA$2="2018年",'Offer Statistics'!K8,IF($AA$2="2019年",'Offer Statistics'!K59,IF($AA$2="2020年",'Offer Statistics'!K110)))</f>
        <v>146</v>
      </c>
      <c r="AD8" s="284">
        <f>IF($AA$2="2018年",'Offer Statistics'!L8,IF($AA$2="2019年",'Offer Statistics'!L59,IF($AA$2="2020年",'Offer Statistics'!L110)))</f>
        <v>250</v>
      </c>
      <c r="AE8" s="284">
        <f>IF($AA$2="2018年",'Offer Statistics'!M8,IF($AA$2="2019年",'Offer Statistics'!M59,IF($AA$2="2020年",'Offer Statistics'!M110)))</f>
        <v>495</v>
      </c>
      <c r="AF8" s="284">
        <f>IF($AA$2="2018年",'Offer Statistics'!N8,IF($AA$2="2019年",'Offer Statistics'!N59,IF($AA$2="2020年",'Offer Statistics'!N110)))</f>
        <v>598</v>
      </c>
      <c r="AG8" s="285">
        <f>IF($AA$2="2018年",'Offer Statistics'!O8,IF($AA$2="2019年",'Offer Statistics'!O59,IF($AA$2="2020年",'Offer Statistics'!O110)))</f>
        <v>463</v>
      </c>
      <c r="AH8" s="181"/>
      <c r="AI8" s="338" t="str">
        <f t="shared" si="2"/>
        <v>JS1013</v>
      </c>
      <c r="AJ8" s="175"/>
      <c r="AK8" s="175"/>
      <c r="AL8" s="175"/>
      <c r="AM8" s="175"/>
      <c r="AN8" s="175"/>
      <c r="AO8" s="175"/>
      <c r="AP8" s="175"/>
      <c r="AQ8" s="175"/>
      <c r="AR8" s="175"/>
      <c r="AS8" s="175"/>
      <c r="AT8" s="175"/>
      <c r="AU8" s="175"/>
      <c r="AV8" s="175"/>
      <c r="AW8" s="175"/>
      <c r="AX8" s="175"/>
    </row>
    <row r="9" spans="1:50" s="179" customFormat="1" ht="18" customHeight="1">
      <c r="A9" s="175" t="s">
        <v>2035</v>
      </c>
      <c r="B9" s="5" t="s">
        <v>779</v>
      </c>
      <c r="C9" s="186" t="s">
        <v>649</v>
      </c>
      <c r="D9" s="5" t="s">
        <v>1411</v>
      </c>
      <c r="E9" s="307" t="s">
        <v>190</v>
      </c>
      <c r="F9" s="7">
        <v>23</v>
      </c>
      <c r="G9" s="7">
        <v>22</v>
      </c>
      <c r="H9" s="193">
        <f>計分版!D32</f>
        <v>2.8499999999999999E-9</v>
      </c>
      <c r="I9" s="39">
        <f t="shared" si="3"/>
        <v>-22.999999997149999</v>
      </c>
      <c r="J9" s="40">
        <f t="shared" si="4"/>
        <v>-8070175437.5964909</v>
      </c>
      <c r="K9" s="101">
        <v>109</v>
      </c>
      <c r="L9" s="381">
        <f>入學要求!S10</f>
        <v>0</v>
      </c>
      <c r="M9" s="502"/>
      <c r="N9" s="127">
        <v>3</v>
      </c>
      <c r="O9" s="127">
        <v>3</v>
      </c>
      <c r="P9" s="127">
        <v>3</v>
      </c>
      <c r="Q9" s="127">
        <v>2</v>
      </c>
      <c r="R9" s="127">
        <v>3</v>
      </c>
      <c r="S9" s="127">
        <v>3</v>
      </c>
      <c r="T9" s="501"/>
      <c r="U9" s="272">
        <f>IF($T$2="2018年",'Offer Statistics'!H9,IF($T$2="2019年",'Offer Statistics'!H60,IF($T$2="2020年",'Offer Statistics'!H111)))</f>
        <v>56</v>
      </c>
      <c r="V9" s="284">
        <f>IF($T$2="2018年",'Offer Statistics'!C9,IF($T$2="2019年",'Offer Statistics'!C60,IF($T$2="2020年",'Offer Statistics'!C111)))</f>
        <v>42</v>
      </c>
      <c r="W9" s="284">
        <f>IF($T$2="2018年",'Offer Statistics'!D9,IF($T$2="2019年",'Offer Statistics'!D60,IF($T$2="2020年",'Offer Statistics'!D111)))</f>
        <v>6</v>
      </c>
      <c r="X9" s="284">
        <f>IF($T$2="2018年",'Offer Statistics'!E9,IF($T$2="2019年",'Offer Statistics'!E60,IF($T$2="2020年",'Offer Statistics'!E111)))</f>
        <v>6</v>
      </c>
      <c r="Y9" s="284">
        <f>IF($T$2="2018年",'Offer Statistics'!F9,IF($T$2="2019年",'Offer Statistics'!F60,IF($T$2="2020年",'Offer Statistics'!F111)))</f>
        <v>2</v>
      </c>
      <c r="Z9" s="285">
        <f>IF($T$2="2018年",'Offer Statistics'!G9,IF($T$2="2019年",'Offer Statistics'!G60,IF($T$2="2020年",'Offer Statistics'!G111)))</f>
        <v>0</v>
      </c>
      <c r="AA9" s="501"/>
      <c r="AB9" s="272">
        <f>IF($AA$2="2018年",'Offer Statistics'!P9,IF($AA$2="2019年",'Offer Statistics'!P60,IF($AA$2="2020年",'Offer Statistics'!P111)))</f>
        <v>2004</v>
      </c>
      <c r="AC9" s="284">
        <f>IF($AA$2="2018年",'Offer Statistics'!K9,IF($AA$2="2019年",'Offer Statistics'!K60,IF($AA$2="2020年",'Offer Statistics'!K111)))</f>
        <v>190</v>
      </c>
      <c r="AD9" s="284">
        <f>IF($AA$2="2018年",'Offer Statistics'!L9,IF($AA$2="2019年",'Offer Statistics'!L60,IF($AA$2="2020年",'Offer Statistics'!L111)))</f>
        <v>305</v>
      </c>
      <c r="AE9" s="284">
        <f>IF($AA$2="2018年",'Offer Statistics'!M9,IF($AA$2="2019年",'Offer Statistics'!M60,IF($AA$2="2020年",'Offer Statistics'!M111)))</f>
        <v>482</v>
      </c>
      <c r="AF9" s="284">
        <f>IF($AA$2="2018年",'Offer Statistics'!N9,IF($AA$2="2019年",'Offer Statistics'!N60,IF($AA$2="2020年",'Offer Statistics'!N111)))</f>
        <v>594</v>
      </c>
      <c r="AG9" s="285">
        <f>IF($AA$2="2018年",'Offer Statistics'!O9,IF($AA$2="2019年",'Offer Statistics'!O60,IF($AA$2="2020年",'Offer Statistics'!O111)))</f>
        <v>433</v>
      </c>
      <c r="AH9" s="181"/>
      <c r="AI9" s="338" t="str">
        <f t="shared" si="2"/>
        <v>JS1014</v>
      </c>
      <c r="AJ9" s="175"/>
      <c r="AK9" s="175"/>
      <c r="AL9" s="175"/>
      <c r="AM9" s="175"/>
      <c r="AN9" s="175"/>
      <c r="AO9" s="175"/>
      <c r="AP9" s="175"/>
      <c r="AQ9" s="175"/>
      <c r="AR9" s="175"/>
      <c r="AS9" s="175"/>
      <c r="AT9" s="175"/>
      <c r="AU9" s="175"/>
      <c r="AV9" s="175"/>
      <c r="AW9" s="175"/>
      <c r="AX9" s="175"/>
    </row>
    <row r="10" spans="1:50" s="179" customFormat="1" ht="18" customHeight="1">
      <c r="A10" s="175" t="s">
        <v>650</v>
      </c>
      <c r="B10" s="5" t="s">
        <v>779</v>
      </c>
      <c r="C10" s="186" t="s">
        <v>651</v>
      </c>
      <c r="D10" s="5" t="s">
        <v>1381</v>
      </c>
      <c r="E10" s="307" t="s">
        <v>190</v>
      </c>
      <c r="F10" s="7">
        <v>24</v>
      </c>
      <c r="G10" s="7">
        <v>24</v>
      </c>
      <c r="H10" s="193">
        <f>計分版!D33</f>
        <v>2.8499999999999999E-9</v>
      </c>
      <c r="I10" s="39">
        <f t="shared" si="3"/>
        <v>-23.999999997149999</v>
      </c>
      <c r="J10" s="40">
        <f t="shared" si="4"/>
        <v>-8421052630.5789471</v>
      </c>
      <c r="K10" s="101">
        <v>69</v>
      </c>
      <c r="L10" s="381">
        <f>入學要求!S11</f>
        <v>0</v>
      </c>
      <c r="M10" s="502" t="s">
        <v>2178</v>
      </c>
      <c r="N10" s="127">
        <v>3</v>
      </c>
      <c r="O10" s="127">
        <v>3</v>
      </c>
      <c r="P10" s="127">
        <v>3</v>
      </c>
      <c r="Q10" s="127">
        <v>2</v>
      </c>
      <c r="R10" s="127">
        <v>3</v>
      </c>
      <c r="S10" s="127">
        <v>3</v>
      </c>
      <c r="T10" s="501"/>
      <c r="U10" s="272">
        <f>IF($T$2="2018年",'Offer Statistics'!H10,IF($T$2="2019年",'Offer Statistics'!H61,IF($T$2="2020年",'Offer Statistics'!H112)))</f>
        <v>41</v>
      </c>
      <c r="V10" s="284">
        <f>IF($T$2="2018年",'Offer Statistics'!C10,IF($T$2="2019年",'Offer Statistics'!C61,IF($T$2="2020年",'Offer Statistics'!C112)))</f>
        <v>39</v>
      </c>
      <c r="W10" s="284">
        <f>IF($T$2="2018年",'Offer Statistics'!D10,IF($T$2="2019年",'Offer Statistics'!D61,IF($T$2="2020年",'Offer Statistics'!D112)))</f>
        <v>2</v>
      </c>
      <c r="X10" s="284">
        <f>IF($T$2="2018年",'Offer Statistics'!E10,IF($T$2="2019年",'Offer Statistics'!E61,IF($T$2="2020年",'Offer Statistics'!E112)))</f>
        <v>0</v>
      </c>
      <c r="Y10" s="284">
        <f>IF($T$2="2018年",'Offer Statistics'!F10,IF($T$2="2019年",'Offer Statistics'!F61,IF($T$2="2020年",'Offer Statistics'!F112)))</f>
        <v>0</v>
      </c>
      <c r="Z10" s="285">
        <f>IF($T$2="2018年",'Offer Statistics'!G10,IF($T$2="2019年",'Offer Statistics'!G61,IF($T$2="2020年",'Offer Statistics'!G112)))</f>
        <v>0</v>
      </c>
      <c r="AA10" s="501"/>
      <c r="AB10" s="272">
        <f>IF($AA$2="2018年",'Offer Statistics'!P10,IF($AA$2="2019年",'Offer Statistics'!P61,IF($AA$2="2020年",'Offer Statistics'!P112)))</f>
        <v>1725</v>
      </c>
      <c r="AC10" s="284">
        <f>IF($AA$2="2018年",'Offer Statistics'!K10,IF($AA$2="2019年",'Offer Statistics'!K61,IF($AA$2="2020年",'Offer Statistics'!K112)))</f>
        <v>306</v>
      </c>
      <c r="AD10" s="284">
        <f>IF($AA$2="2018年",'Offer Statistics'!L10,IF($AA$2="2019年",'Offer Statistics'!L61,IF($AA$2="2020年",'Offer Statistics'!L112)))</f>
        <v>275</v>
      </c>
      <c r="AE10" s="284">
        <f>IF($AA$2="2018年",'Offer Statistics'!M10,IF($AA$2="2019年",'Offer Statistics'!M61,IF($AA$2="2020年",'Offer Statistics'!M112)))</f>
        <v>356</v>
      </c>
      <c r="AF10" s="284">
        <f>IF($AA$2="2018年",'Offer Statistics'!N10,IF($AA$2="2019年",'Offer Statistics'!N61,IF($AA$2="2020年",'Offer Statistics'!N112)))</f>
        <v>442</v>
      </c>
      <c r="AG10" s="285">
        <f>IF($AA$2="2018年",'Offer Statistics'!O10,IF($AA$2="2019年",'Offer Statistics'!O61,IF($AA$2="2020年",'Offer Statistics'!O112)))</f>
        <v>346</v>
      </c>
      <c r="AH10" s="181"/>
      <c r="AI10" s="338" t="str">
        <f t="shared" si="2"/>
        <v>JS1017</v>
      </c>
      <c r="AJ10" s="175"/>
      <c r="AK10" s="175"/>
      <c r="AL10" s="175"/>
      <c r="AM10" s="175"/>
      <c r="AN10" s="175"/>
      <c r="AO10" s="175"/>
      <c r="AP10" s="175"/>
      <c r="AQ10" s="175"/>
      <c r="AR10" s="175"/>
      <c r="AS10" s="175"/>
      <c r="AT10" s="175"/>
      <c r="AU10" s="175"/>
      <c r="AV10" s="175"/>
      <c r="AW10" s="175"/>
      <c r="AX10" s="175"/>
    </row>
    <row r="11" spans="1:50" s="179" customFormat="1" ht="18" customHeight="1">
      <c r="A11" s="175" t="s">
        <v>652</v>
      </c>
      <c r="B11" s="5" t="s">
        <v>779</v>
      </c>
      <c r="C11" s="186" t="s">
        <v>653</v>
      </c>
      <c r="D11" s="5" t="s">
        <v>1412</v>
      </c>
      <c r="E11" s="307" t="s">
        <v>190</v>
      </c>
      <c r="F11" s="7">
        <v>26</v>
      </c>
      <c r="G11" s="7">
        <v>25</v>
      </c>
      <c r="H11" s="193">
        <f>計分版!D34</f>
        <v>2.8499999999999999E-9</v>
      </c>
      <c r="I11" s="39">
        <f t="shared" si="3"/>
        <v>-25.999999997149999</v>
      </c>
      <c r="J11" s="40">
        <f>IF(I$1="差距(Median)",(H11-F11)/H11,IF(I$1="差距(LQ)",(H11-G11)/H11))</f>
        <v>-9122807016.5438595</v>
      </c>
      <c r="K11" s="101">
        <v>10</v>
      </c>
      <c r="L11" s="381">
        <f>入學要求!S12</f>
        <v>0</v>
      </c>
      <c r="M11" s="502"/>
      <c r="N11" s="127">
        <v>3</v>
      </c>
      <c r="O11" s="127">
        <v>3</v>
      </c>
      <c r="P11" s="127">
        <v>3</v>
      </c>
      <c r="Q11" s="127">
        <v>2</v>
      </c>
      <c r="R11" s="127">
        <v>3</v>
      </c>
      <c r="S11" s="127">
        <v>3</v>
      </c>
      <c r="T11" s="501"/>
      <c r="U11" s="272">
        <f>IF($T$2="2018年",'Offer Statistics'!H11,IF($T$2="2019年",'Offer Statistics'!H62,IF($T$2="2020年",'Offer Statistics'!H113)))</f>
        <v>11</v>
      </c>
      <c r="V11" s="284">
        <f>IF($T$2="2018年",'Offer Statistics'!C11,IF($T$2="2019年",'Offer Statistics'!C62,IF($T$2="2020年",'Offer Statistics'!C113)))</f>
        <v>11</v>
      </c>
      <c r="W11" s="284">
        <f>IF($T$2="2018年",'Offer Statistics'!D11,IF($T$2="2019年",'Offer Statistics'!D62,IF($T$2="2020年",'Offer Statistics'!D113)))</f>
        <v>0</v>
      </c>
      <c r="X11" s="284">
        <f>IF($T$2="2018年",'Offer Statistics'!E11,IF($T$2="2019年",'Offer Statistics'!E62,IF($T$2="2020年",'Offer Statistics'!E113)))</f>
        <v>0</v>
      </c>
      <c r="Y11" s="284">
        <f>IF($T$2="2018年",'Offer Statistics'!F11,IF($T$2="2019年",'Offer Statistics'!F62,IF($T$2="2020年",'Offer Statistics'!F113)))</f>
        <v>0</v>
      </c>
      <c r="Z11" s="285">
        <f>IF($T$2="2018年",'Offer Statistics'!G11,IF($T$2="2019年",'Offer Statistics'!G62,IF($T$2="2020年",'Offer Statistics'!G113)))</f>
        <v>0</v>
      </c>
      <c r="AA11" s="501"/>
      <c r="AB11" s="272">
        <f>IF($AA$2="2018年",'Offer Statistics'!P11,IF($AA$2="2019年",'Offer Statistics'!P62,IF($AA$2="2020年",'Offer Statistics'!P113)))</f>
        <v>969</v>
      </c>
      <c r="AC11" s="284">
        <f>IF($AA$2="2018年",'Offer Statistics'!K11,IF($AA$2="2019年",'Offer Statistics'!K62,IF($AA$2="2020年",'Offer Statistics'!K113)))</f>
        <v>91</v>
      </c>
      <c r="AD11" s="284">
        <f>IF($AA$2="2018年",'Offer Statistics'!L11,IF($AA$2="2019年",'Offer Statistics'!L62,IF($AA$2="2020年",'Offer Statistics'!L113)))</f>
        <v>109</v>
      </c>
      <c r="AE11" s="284">
        <f>IF($AA$2="2018年",'Offer Statistics'!M11,IF($AA$2="2019年",'Offer Statistics'!M62,IF($AA$2="2020年",'Offer Statistics'!M113)))</f>
        <v>193</v>
      </c>
      <c r="AF11" s="284">
        <f>IF($AA$2="2018年",'Offer Statistics'!N11,IF($AA$2="2019年",'Offer Statistics'!N62,IF($AA$2="2020年",'Offer Statistics'!N113)))</f>
        <v>318</v>
      </c>
      <c r="AG11" s="285">
        <f>IF($AA$2="2018年",'Offer Statistics'!O11,IF($AA$2="2019年",'Offer Statistics'!O62,IF($AA$2="2020年",'Offer Statistics'!O113)))</f>
        <v>258</v>
      </c>
      <c r="AH11" s="181"/>
      <c r="AI11" s="338" t="str">
        <f t="shared" si="2"/>
        <v>JS1018</v>
      </c>
      <c r="AJ11" s="175"/>
      <c r="AK11" s="175"/>
      <c r="AL11" s="175"/>
      <c r="AM11" s="175"/>
      <c r="AN11" s="175"/>
      <c r="AO11" s="175"/>
      <c r="AP11" s="175"/>
      <c r="AQ11" s="175"/>
      <c r="AR11" s="175"/>
      <c r="AS11" s="175"/>
      <c r="AT11" s="175"/>
      <c r="AU11" s="175"/>
      <c r="AV11" s="175"/>
      <c r="AW11" s="175"/>
      <c r="AX11" s="175"/>
    </row>
    <row r="12" spans="1:50" s="179" customFormat="1" ht="18" customHeight="1">
      <c r="A12" s="175" t="s">
        <v>654</v>
      </c>
      <c r="B12" s="5" t="s">
        <v>779</v>
      </c>
      <c r="C12" s="186" t="s">
        <v>655</v>
      </c>
      <c r="D12" s="5" t="s">
        <v>1413</v>
      </c>
      <c r="E12" s="307" t="s">
        <v>190</v>
      </c>
      <c r="F12" s="7">
        <v>23</v>
      </c>
      <c r="G12" s="7">
        <v>22</v>
      </c>
      <c r="H12" s="193">
        <f>計分版!D35</f>
        <v>2.8499999999999999E-9</v>
      </c>
      <c r="I12" s="39">
        <f t="shared" si="3"/>
        <v>-22.999999997149999</v>
      </c>
      <c r="J12" s="40">
        <f t="shared" si="4"/>
        <v>-8070175437.5964909</v>
      </c>
      <c r="K12" s="101">
        <v>10</v>
      </c>
      <c r="L12" s="381">
        <f>入學要求!S13</f>
        <v>0</v>
      </c>
      <c r="M12" s="502"/>
      <c r="N12" s="127">
        <v>3</v>
      </c>
      <c r="O12" s="127">
        <v>3</v>
      </c>
      <c r="P12" s="127">
        <v>3</v>
      </c>
      <c r="Q12" s="127">
        <v>2</v>
      </c>
      <c r="R12" s="127">
        <v>3</v>
      </c>
      <c r="S12" s="127">
        <v>3</v>
      </c>
      <c r="T12" s="501"/>
      <c r="U12" s="272">
        <f>IF($T$2="2018年",'Offer Statistics'!H12,IF($T$2="2019年",'Offer Statistics'!H63,IF($T$2="2020年",'Offer Statistics'!H114)))</f>
        <v>20</v>
      </c>
      <c r="V12" s="284">
        <f>IF($T$2="2018年",'Offer Statistics'!C12,IF($T$2="2019年",'Offer Statistics'!C63,IF($T$2="2020年",'Offer Statistics'!C114)))</f>
        <v>11</v>
      </c>
      <c r="W12" s="284">
        <f>IF($T$2="2018年",'Offer Statistics'!D12,IF($T$2="2019年",'Offer Statistics'!D63,IF($T$2="2020年",'Offer Statistics'!D114)))</f>
        <v>3</v>
      </c>
      <c r="X12" s="284">
        <f>IF($T$2="2018年",'Offer Statistics'!E12,IF($T$2="2019年",'Offer Statistics'!E63,IF($T$2="2020年",'Offer Statistics'!E114)))</f>
        <v>2</v>
      </c>
      <c r="Y12" s="284">
        <f>IF($T$2="2018年",'Offer Statistics'!F12,IF($T$2="2019年",'Offer Statistics'!F63,IF($T$2="2020年",'Offer Statistics'!F114)))</f>
        <v>2</v>
      </c>
      <c r="Z12" s="285">
        <f>IF($T$2="2018年",'Offer Statistics'!G12,IF($T$2="2019年",'Offer Statistics'!G63,IF($T$2="2020年",'Offer Statistics'!G114)))</f>
        <v>2</v>
      </c>
      <c r="AA12" s="501"/>
      <c r="AB12" s="272">
        <f>IF($AA$2="2018年",'Offer Statistics'!P12,IF($AA$2="2019年",'Offer Statistics'!P63,IF($AA$2="2020年",'Offer Statistics'!P114)))</f>
        <v>1030</v>
      </c>
      <c r="AC12" s="284">
        <f>IF($AA$2="2018年",'Offer Statistics'!K12,IF($AA$2="2019年",'Offer Statistics'!K63,IF($AA$2="2020年",'Offer Statistics'!K114)))</f>
        <v>80</v>
      </c>
      <c r="AD12" s="284">
        <f>IF($AA$2="2018年",'Offer Statistics'!L12,IF($AA$2="2019年",'Offer Statistics'!L63,IF($AA$2="2020年",'Offer Statistics'!L114)))</f>
        <v>112</v>
      </c>
      <c r="AE12" s="284">
        <f>IF($AA$2="2018年",'Offer Statistics'!M12,IF($AA$2="2019年",'Offer Statistics'!M63,IF($AA$2="2020年",'Offer Statistics'!M114)))</f>
        <v>236</v>
      </c>
      <c r="AF12" s="284">
        <f>IF($AA$2="2018年",'Offer Statistics'!N12,IF($AA$2="2019年",'Offer Statistics'!N63,IF($AA$2="2020年",'Offer Statistics'!N114)))</f>
        <v>309</v>
      </c>
      <c r="AG12" s="285">
        <f>IF($AA$2="2018年",'Offer Statistics'!O12,IF($AA$2="2019年",'Offer Statistics'!O63,IF($AA$2="2020年",'Offer Statistics'!O114)))</f>
        <v>293</v>
      </c>
      <c r="AH12" s="181"/>
      <c r="AI12" s="338" t="str">
        <f t="shared" si="2"/>
        <v>JS1019</v>
      </c>
      <c r="AJ12" s="175"/>
      <c r="AK12" s="175"/>
      <c r="AL12" s="175"/>
      <c r="AM12" s="175"/>
      <c r="AN12" s="175"/>
      <c r="AO12" s="175"/>
      <c r="AP12" s="175"/>
      <c r="AQ12" s="175"/>
      <c r="AR12" s="175"/>
      <c r="AS12" s="175"/>
      <c r="AT12" s="175"/>
      <c r="AU12" s="175"/>
      <c r="AV12" s="175"/>
      <c r="AW12" s="175"/>
      <c r="AX12" s="175"/>
    </row>
    <row r="13" spans="1:50" s="179" customFormat="1" ht="18" customHeight="1">
      <c r="A13" s="175" t="s">
        <v>656</v>
      </c>
      <c r="B13" s="5" t="s">
        <v>779</v>
      </c>
      <c r="C13" s="186" t="s">
        <v>657</v>
      </c>
      <c r="D13" s="5" t="s">
        <v>1414</v>
      </c>
      <c r="E13" s="307" t="s">
        <v>190</v>
      </c>
      <c r="F13" s="7">
        <v>24</v>
      </c>
      <c r="G13" s="7">
        <v>24</v>
      </c>
      <c r="H13" s="193">
        <f>計分版!D36</f>
        <v>2.8499999999999999E-9</v>
      </c>
      <c r="I13" s="39">
        <f t="shared" si="3"/>
        <v>-23.999999997149999</v>
      </c>
      <c r="J13" s="40">
        <f t="shared" si="4"/>
        <v>-8421052630.5789471</v>
      </c>
      <c r="K13" s="101">
        <v>46</v>
      </c>
      <c r="L13" s="381">
        <f>入學要求!S14</f>
        <v>0</v>
      </c>
      <c r="M13" s="502" t="s">
        <v>2178</v>
      </c>
      <c r="N13" s="127">
        <v>3</v>
      </c>
      <c r="O13" s="127">
        <v>3</v>
      </c>
      <c r="P13" s="127">
        <v>3</v>
      </c>
      <c r="Q13" s="127">
        <v>2</v>
      </c>
      <c r="R13" s="127">
        <v>3</v>
      </c>
      <c r="S13" s="127">
        <v>3</v>
      </c>
      <c r="T13" s="501"/>
      <c r="U13" s="272">
        <f>IF($T$2="2018年",'Offer Statistics'!H13,IF($T$2="2019年",'Offer Statistics'!H64,IF($T$2="2020年",'Offer Statistics'!H115)))</f>
        <v>35</v>
      </c>
      <c r="V13" s="284">
        <f>IF($T$2="2018年",'Offer Statistics'!C13,IF($T$2="2019年",'Offer Statistics'!C64,IF($T$2="2020年",'Offer Statistics'!C115)))</f>
        <v>32</v>
      </c>
      <c r="W13" s="284">
        <f>IF($T$2="2018年",'Offer Statistics'!D13,IF($T$2="2019年",'Offer Statistics'!D64,IF($T$2="2020年",'Offer Statistics'!D115)))</f>
        <v>3</v>
      </c>
      <c r="X13" s="284">
        <f>IF($T$2="2018年",'Offer Statistics'!E13,IF($T$2="2019年",'Offer Statistics'!E64,IF($T$2="2020年",'Offer Statistics'!E115)))</f>
        <v>0</v>
      </c>
      <c r="Y13" s="284">
        <f>IF($T$2="2018年",'Offer Statistics'!F13,IF($T$2="2019年",'Offer Statistics'!F64,IF($T$2="2020年",'Offer Statistics'!F115)))</f>
        <v>0</v>
      </c>
      <c r="Z13" s="285">
        <f>IF($T$2="2018年",'Offer Statistics'!G13,IF($T$2="2019年",'Offer Statistics'!G64,IF($T$2="2020年",'Offer Statistics'!G115)))</f>
        <v>0</v>
      </c>
      <c r="AA13" s="501"/>
      <c r="AB13" s="272">
        <f>IF($AA$2="2018年",'Offer Statistics'!P13,IF($AA$2="2019年",'Offer Statistics'!P64,IF($AA$2="2020年",'Offer Statistics'!P115)))</f>
        <v>1710</v>
      </c>
      <c r="AC13" s="284">
        <f>IF($AA$2="2018年",'Offer Statistics'!K13,IF($AA$2="2019年",'Offer Statistics'!K64,IF($AA$2="2020年",'Offer Statistics'!K115)))</f>
        <v>191</v>
      </c>
      <c r="AD13" s="284">
        <f>IF($AA$2="2018年",'Offer Statistics'!L13,IF($AA$2="2019年",'Offer Statistics'!L64,IF($AA$2="2020年",'Offer Statistics'!L115)))</f>
        <v>289</v>
      </c>
      <c r="AE13" s="284">
        <f>IF($AA$2="2018年",'Offer Statistics'!M13,IF($AA$2="2019年",'Offer Statistics'!M64,IF($AA$2="2020年",'Offer Statistics'!M115)))</f>
        <v>369</v>
      </c>
      <c r="AF13" s="284">
        <f>IF($AA$2="2018年",'Offer Statistics'!N13,IF($AA$2="2019年",'Offer Statistics'!N64,IF($AA$2="2020年",'Offer Statistics'!N115)))</f>
        <v>487</v>
      </c>
      <c r="AG13" s="285">
        <f>IF($AA$2="2018年",'Offer Statistics'!O13,IF($AA$2="2019年",'Offer Statistics'!O64,IF($AA$2="2020年",'Offer Statistics'!O115)))</f>
        <v>374</v>
      </c>
      <c r="AH13" s="181"/>
      <c r="AI13" s="338" t="str">
        <f t="shared" si="2"/>
        <v>JS1025</v>
      </c>
      <c r="AJ13" s="175"/>
      <c r="AK13" s="175"/>
      <c r="AL13" s="175"/>
      <c r="AM13" s="175"/>
      <c r="AN13" s="175"/>
      <c r="AO13" s="175"/>
      <c r="AP13" s="175"/>
      <c r="AQ13" s="175"/>
      <c r="AR13" s="175"/>
      <c r="AS13" s="175"/>
      <c r="AT13" s="175"/>
      <c r="AU13" s="175"/>
      <c r="AV13" s="175"/>
      <c r="AW13" s="175"/>
      <c r="AX13" s="175"/>
    </row>
    <row r="14" spans="1:50" s="179" customFormat="1" ht="18" customHeight="1">
      <c r="A14" s="175" t="s">
        <v>658</v>
      </c>
      <c r="B14" s="5" t="s">
        <v>779</v>
      </c>
      <c r="C14" s="186" t="s">
        <v>659</v>
      </c>
      <c r="D14" s="5" t="s">
        <v>1415</v>
      </c>
      <c r="E14" s="307" t="s">
        <v>190</v>
      </c>
      <c r="F14" s="7">
        <v>23</v>
      </c>
      <c r="G14" s="7">
        <v>23</v>
      </c>
      <c r="H14" s="193">
        <f>計分版!D37</f>
        <v>2.8499999999999999E-9</v>
      </c>
      <c r="I14" s="39">
        <f t="shared" si="3"/>
        <v>-22.999999997149999</v>
      </c>
      <c r="J14" s="40">
        <f t="shared" si="4"/>
        <v>-8070175437.5964909</v>
      </c>
      <c r="K14" s="101">
        <v>16</v>
      </c>
      <c r="L14" s="381">
        <f>入學要求!S15</f>
        <v>0</v>
      </c>
      <c r="M14" s="502"/>
      <c r="N14" s="127">
        <v>3</v>
      </c>
      <c r="O14" s="127">
        <v>3</v>
      </c>
      <c r="P14" s="127">
        <v>3</v>
      </c>
      <c r="Q14" s="127">
        <v>2</v>
      </c>
      <c r="R14" s="127">
        <v>3</v>
      </c>
      <c r="S14" s="127">
        <v>3</v>
      </c>
      <c r="T14" s="501"/>
      <c r="U14" s="272">
        <f>IF($T$2="2018年",'Offer Statistics'!H14,IF($T$2="2019年",'Offer Statistics'!H65,IF($T$2="2020年",'Offer Statistics'!H116)))</f>
        <v>16</v>
      </c>
      <c r="V14" s="284">
        <f>IF($T$2="2018年",'Offer Statistics'!C14,IF($T$2="2019年",'Offer Statistics'!C65,IF($T$2="2020年",'Offer Statistics'!C116)))</f>
        <v>15</v>
      </c>
      <c r="W14" s="284">
        <f>IF($T$2="2018年",'Offer Statistics'!D14,IF($T$2="2019年",'Offer Statistics'!D65,IF($T$2="2020年",'Offer Statistics'!D116)))</f>
        <v>1</v>
      </c>
      <c r="X14" s="284">
        <f>IF($T$2="2018年",'Offer Statistics'!E14,IF($T$2="2019年",'Offer Statistics'!E65,IF($T$2="2020年",'Offer Statistics'!E116)))</f>
        <v>0</v>
      </c>
      <c r="Y14" s="284">
        <f>IF($T$2="2018年",'Offer Statistics'!F14,IF($T$2="2019年",'Offer Statistics'!F65,IF($T$2="2020年",'Offer Statistics'!F116)))</f>
        <v>0</v>
      </c>
      <c r="Z14" s="285">
        <f>IF($T$2="2018年",'Offer Statistics'!G14,IF($T$2="2019年",'Offer Statistics'!G65,IF($T$2="2020年",'Offer Statistics'!G116)))</f>
        <v>0</v>
      </c>
      <c r="AA14" s="501"/>
      <c r="AB14" s="272">
        <f>IF($AA$2="2018年",'Offer Statistics'!P14,IF($AA$2="2019年",'Offer Statistics'!P65,IF($AA$2="2020年",'Offer Statistics'!P116)))</f>
        <v>1151</v>
      </c>
      <c r="AC14" s="284">
        <f>IF($AA$2="2018年",'Offer Statistics'!K14,IF($AA$2="2019年",'Offer Statistics'!K65,IF($AA$2="2020年",'Offer Statistics'!K116)))</f>
        <v>83</v>
      </c>
      <c r="AD14" s="284">
        <f>IF($AA$2="2018年",'Offer Statistics'!L14,IF($AA$2="2019年",'Offer Statistics'!L65,IF($AA$2="2020年",'Offer Statistics'!L116)))</f>
        <v>118</v>
      </c>
      <c r="AE14" s="284">
        <f>IF($AA$2="2018年",'Offer Statistics'!M14,IF($AA$2="2019年",'Offer Statistics'!M65,IF($AA$2="2020年",'Offer Statistics'!M116)))</f>
        <v>274</v>
      </c>
      <c r="AF14" s="284">
        <f>IF($AA$2="2018年",'Offer Statistics'!N14,IF($AA$2="2019年",'Offer Statistics'!N65,IF($AA$2="2020年",'Offer Statistics'!N116)))</f>
        <v>352</v>
      </c>
      <c r="AG14" s="285">
        <f>IF($AA$2="2018年",'Offer Statistics'!O14,IF($AA$2="2019年",'Offer Statistics'!O65,IF($AA$2="2020年",'Offer Statistics'!O116)))</f>
        <v>324</v>
      </c>
      <c r="AH14" s="181"/>
      <c r="AI14" s="338" t="str">
        <f t="shared" si="2"/>
        <v>JS1026</v>
      </c>
      <c r="AJ14" s="175"/>
      <c r="AK14" s="175"/>
      <c r="AL14" s="175"/>
      <c r="AM14" s="175"/>
      <c r="AN14" s="175"/>
      <c r="AO14" s="175"/>
      <c r="AP14" s="175"/>
      <c r="AQ14" s="175"/>
      <c r="AR14" s="175"/>
      <c r="AS14" s="175"/>
      <c r="AT14" s="175"/>
      <c r="AU14" s="175"/>
      <c r="AV14" s="175"/>
      <c r="AW14" s="175"/>
      <c r="AX14" s="175"/>
    </row>
    <row r="15" spans="1:50" s="179" customFormat="1" ht="18" customHeight="1">
      <c r="A15" s="175" t="s">
        <v>660</v>
      </c>
      <c r="B15" s="5" t="s">
        <v>779</v>
      </c>
      <c r="C15" s="186" t="s">
        <v>661</v>
      </c>
      <c r="D15" s="5" t="s">
        <v>1416</v>
      </c>
      <c r="E15" s="307" t="s">
        <v>190</v>
      </c>
      <c r="F15" s="7">
        <v>23</v>
      </c>
      <c r="G15" s="7">
        <v>22</v>
      </c>
      <c r="H15" s="193">
        <f>計分版!D38</f>
        <v>2.8499999999999999E-9</v>
      </c>
      <c r="I15" s="39">
        <f t="shared" si="3"/>
        <v>-22.999999997149999</v>
      </c>
      <c r="J15" s="40">
        <f t="shared" si="4"/>
        <v>-8070175437.5964909</v>
      </c>
      <c r="K15" s="101">
        <v>16</v>
      </c>
      <c r="L15" s="381">
        <f>入學要求!S16</f>
        <v>0</v>
      </c>
      <c r="M15" s="502"/>
      <c r="N15" s="127">
        <v>3</v>
      </c>
      <c r="O15" s="127">
        <v>3</v>
      </c>
      <c r="P15" s="127">
        <v>3</v>
      </c>
      <c r="Q15" s="127">
        <v>2</v>
      </c>
      <c r="R15" s="127">
        <v>3</v>
      </c>
      <c r="S15" s="127">
        <v>3</v>
      </c>
      <c r="T15" s="501"/>
      <c r="U15" s="272">
        <f>IF($T$2="2018年",'Offer Statistics'!H15,IF($T$2="2019年",'Offer Statistics'!H66,IF($T$2="2020年",'Offer Statistics'!H117)))</f>
        <v>16</v>
      </c>
      <c r="V15" s="284">
        <f>IF($T$2="2018年",'Offer Statistics'!C15,IF($T$2="2019年",'Offer Statistics'!C66,IF($T$2="2020年",'Offer Statistics'!C117)))</f>
        <v>11</v>
      </c>
      <c r="W15" s="284">
        <f>IF($T$2="2018年",'Offer Statistics'!D15,IF($T$2="2019年",'Offer Statistics'!D66,IF($T$2="2020年",'Offer Statistics'!D117)))</f>
        <v>3</v>
      </c>
      <c r="X15" s="284">
        <f>IF($T$2="2018年",'Offer Statistics'!E15,IF($T$2="2019年",'Offer Statistics'!E66,IF($T$2="2020年",'Offer Statistics'!E117)))</f>
        <v>1</v>
      </c>
      <c r="Y15" s="284">
        <f>IF($T$2="2018年",'Offer Statistics'!F15,IF($T$2="2019年",'Offer Statistics'!F66,IF($T$2="2020年",'Offer Statistics'!F117)))</f>
        <v>1</v>
      </c>
      <c r="Z15" s="285">
        <f>IF($T$2="2018年",'Offer Statistics'!G15,IF($T$2="2019年",'Offer Statistics'!G66,IF($T$2="2020年",'Offer Statistics'!G117)))</f>
        <v>0</v>
      </c>
      <c r="AA15" s="501"/>
      <c r="AB15" s="272">
        <f>IF($AA$2="2018年",'Offer Statistics'!P15,IF($AA$2="2019年",'Offer Statistics'!P66,IF($AA$2="2020年",'Offer Statistics'!P117)))</f>
        <v>1641</v>
      </c>
      <c r="AC15" s="284">
        <f>IF($AA$2="2018年",'Offer Statistics'!K15,IF($AA$2="2019年",'Offer Statistics'!K66,IF($AA$2="2020年",'Offer Statistics'!K117)))</f>
        <v>102</v>
      </c>
      <c r="AD15" s="284">
        <f>IF($AA$2="2018年",'Offer Statistics'!L15,IF($AA$2="2019年",'Offer Statistics'!L66,IF($AA$2="2020年",'Offer Statistics'!L117)))</f>
        <v>189</v>
      </c>
      <c r="AE15" s="284">
        <f>IF($AA$2="2018年",'Offer Statistics'!M15,IF($AA$2="2019年",'Offer Statistics'!M66,IF($AA$2="2020年",'Offer Statistics'!M117)))</f>
        <v>381</v>
      </c>
      <c r="AF15" s="284">
        <f>IF($AA$2="2018年",'Offer Statistics'!N15,IF($AA$2="2019年",'Offer Statistics'!N66,IF($AA$2="2020年",'Offer Statistics'!N117)))</f>
        <v>564</v>
      </c>
      <c r="AG15" s="285">
        <f>IF($AA$2="2018年",'Offer Statistics'!O15,IF($AA$2="2019年",'Offer Statistics'!O66,IF($AA$2="2020年",'Offer Statistics'!O117)))</f>
        <v>405</v>
      </c>
      <c r="AH15" s="181"/>
      <c r="AI15" s="338" t="str">
        <f t="shared" si="2"/>
        <v>JS1027</v>
      </c>
      <c r="AJ15" s="175"/>
      <c r="AK15" s="175"/>
      <c r="AL15" s="175"/>
      <c r="AM15" s="175"/>
      <c r="AN15" s="175"/>
      <c r="AO15" s="175"/>
      <c r="AP15" s="175"/>
      <c r="AQ15" s="175"/>
      <c r="AR15" s="175"/>
      <c r="AS15" s="175"/>
      <c r="AT15" s="175"/>
      <c r="AU15" s="175"/>
      <c r="AV15" s="175"/>
      <c r="AW15" s="175"/>
      <c r="AX15" s="175"/>
    </row>
    <row r="16" spans="1:50" s="179" customFormat="1" ht="18" customHeight="1">
      <c r="A16" s="175" t="s">
        <v>662</v>
      </c>
      <c r="B16" s="5" t="s">
        <v>1250</v>
      </c>
      <c r="C16" s="186" t="s">
        <v>856</v>
      </c>
      <c r="D16" s="5" t="s">
        <v>1417</v>
      </c>
      <c r="E16" s="437" t="s">
        <v>190</v>
      </c>
      <c r="F16" s="7">
        <v>29</v>
      </c>
      <c r="G16" s="7">
        <v>28</v>
      </c>
      <c r="H16" s="193">
        <f>計分版!D39</f>
        <v>3.05E-9</v>
      </c>
      <c r="I16" s="39">
        <f t="shared" si="0"/>
        <v>-28.999999996949999</v>
      </c>
      <c r="J16" s="40">
        <f t="shared" si="1"/>
        <v>-9508196720.3114758</v>
      </c>
      <c r="K16" s="101">
        <v>29</v>
      </c>
      <c r="L16" s="381">
        <f>入學要求!S17</f>
        <v>0</v>
      </c>
      <c r="M16" s="503" t="s">
        <v>792</v>
      </c>
      <c r="N16" s="127">
        <v>3</v>
      </c>
      <c r="O16" s="127">
        <v>3</v>
      </c>
      <c r="P16" s="127">
        <v>2</v>
      </c>
      <c r="Q16" s="127">
        <v>2</v>
      </c>
      <c r="R16" s="127">
        <v>3</v>
      </c>
      <c r="S16" s="127">
        <v>3</v>
      </c>
      <c r="T16" s="501"/>
      <c r="U16" s="272">
        <f>IF($T$2="2018年",'Offer Statistics'!H16,IF($T$2="2019年",'Offer Statistics'!H67,IF($T$2="2020年",'Offer Statistics'!H118)))</f>
        <v>27</v>
      </c>
      <c r="V16" s="284">
        <f>IF($T$2="2018年",'Offer Statistics'!C16,IF($T$2="2019年",'Offer Statistics'!C67,IF($T$2="2020年",'Offer Statistics'!C118)))</f>
        <v>27</v>
      </c>
      <c r="W16" s="284">
        <f>IF($T$2="2018年",'Offer Statistics'!D16,IF($T$2="2019年",'Offer Statistics'!D67,IF($T$2="2020年",'Offer Statistics'!D118)))</f>
        <v>0</v>
      </c>
      <c r="X16" s="284">
        <f>IF($T$2="2018年",'Offer Statistics'!E16,IF($T$2="2019年",'Offer Statistics'!E67,IF($T$2="2020年",'Offer Statistics'!E118)))</f>
        <v>0</v>
      </c>
      <c r="Y16" s="284">
        <f>IF($T$2="2018年",'Offer Statistics'!F16,IF($T$2="2019年",'Offer Statistics'!F67,IF($T$2="2020年",'Offer Statistics'!F118)))</f>
        <v>0</v>
      </c>
      <c r="Z16" s="285">
        <f>IF($T$2="2018年",'Offer Statistics'!G16,IF($T$2="2019年",'Offer Statistics'!G67,IF($T$2="2020年",'Offer Statistics'!G118)))</f>
        <v>0</v>
      </c>
      <c r="AA16" s="501"/>
      <c r="AB16" s="272">
        <f>IF($AA$2="2018年",'Offer Statistics'!P16,IF($AA$2="2019年",'Offer Statistics'!P67,IF($AA$2="2020年",'Offer Statistics'!P118)))</f>
        <v>2741</v>
      </c>
      <c r="AC16" s="284">
        <f>IF($AA$2="2018年",'Offer Statistics'!K16,IF($AA$2="2019年",'Offer Statistics'!K67,IF($AA$2="2020年",'Offer Statistics'!K118)))</f>
        <v>444</v>
      </c>
      <c r="AD16" s="284">
        <f>IF($AA$2="2018年",'Offer Statistics'!L16,IF($AA$2="2019年",'Offer Statistics'!L67,IF($AA$2="2020年",'Offer Statistics'!L118)))</f>
        <v>458</v>
      </c>
      <c r="AE16" s="284">
        <f>IF($AA$2="2018年",'Offer Statistics'!M16,IF($AA$2="2019年",'Offer Statistics'!M67,IF($AA$2="2020年",'Offer Statistics'!M118)))</f>
        <v>620</v>
      </c>
      <c r="AF16" s="284">
        <f>IF($AA$2="2018年",'Offer Statistics'!N16,IF($AA$2="2019年",'Offer Statistics'!N67,IF($AA$2="2020年",'Offer Statistics'!N118)))</f>
        <v>714</v>
      </c>
      <c r="AG16" s="285">
        <f>IF($AA$2="2018年",'Offer Statistics'!O16,IF($AA$2="2019年",'Offer Statistics'!O67,IF($AA$2="2020年",'Offer Statistics'!O118)))</f>
        <v>505</v>
      </c>
      <c r="AH16" s="181"/>
      <c r="AI16" s="338" t="str">
        <f t="shared" si="2"/>
        <v>JS1041</v>
      </c>
      <c r="AJ16" s="175"/>
      <c r="AK16" s="175"/>
      <c r="AL16" s="175"/>
      <c r="AM16" s="175"/>
      <c r="AN16" s="175"/>
      <c r="AO16" s="175"/>
      <c r="AP16" s="175"/>
      <c r="AQ16" s="175"/>
      <c r="AR16" s="175"/>
      <c r="AS16" s="175"/>
      <c r="AT16" s="175"/>
      <c r="AU16" s="175"/>
      <c r="AV16" s="175"/>
      <c r="AW16" s="175"/>
      <c r="AX16" s="175"/>
    </row>
    <row r="17" spans="1:50" s="179" customFormat="1" ht="18" customHeight="1">
      <c r="A17" s="175" t="s">
        <v>665</v>
      </c>
      <c r="B17" s="5" t="s">
        <v>857</v>
      </c>
      <c r="C17" s="186" t="s">
        <v>666</v>
      </c>
      <c r="D17" s="5" t="s">
        <v>1418</v>
      </c>
      <c r="E17" s="437" t="s">
        <v>190</v>
      </c>
      <c r="F17" s="7">
        <v>30</v>
      </c>
      <c r="G17" s="7">
        <v>29</v>
      </c>
      <c r="H17" s="193">
        <f>計分版!D40</f>
        <v>3.05E-9</v>
      </c>
      <c r="I17" s="39">
        <f t="shared" si="0"/>
        <v>-29.999999996949999</v>
      </c>
      <c r="J17" s="40">
        <f t="shared" si="1"/>
        <v>-9836065572.7704906</v>
      </c>
      <c r="K17" s="101">
        <v>23</v>
      </c>
      <c r="L17" s="381">
        <f>入學要求!S18</f>
        <v>0</v>
      </c>
      <c r="M17" s="503"/>
      <c r="N17" s="127">
        <v>3</v>
      </c>
      <c r="O17" s="127">
        <v>3</v>
      </c>
      <c r="P17" s="127">
        <v>2</v>
      </c>
      <c r="Q17" s="127">
        <v>2</v>
      </c>
      <c r="R17" s="127">
        <v>3</v>
      </c>
      <c r="S17" s="127">
        <v>3</v>
      </c>
      <c r="T17" s="501"/>
      <c r="U17" s="272">
        <f>IF($T$2="2018年",'Offer Statistics'!H17,IF($T$2="2019年",'Offer Statistics'!H68,IF($T$2="2020年",'Offer Statistics'!H119)))</f>
        <v>21</v>
      </c>
      <c r="V17" s="284">
        <f>IF($T$2="2018年",'Offer Statistics'!C17,IF($T$2="2019年",'Offer Statistics'!C68,IF($T$2="2020年",'Offer Statistics'!C119)))</f>
        <v>21</v>
      </c>
      <c r="W17" s="284">
        <f>IF($T$2="2018年",'Offer Statistics'!D17,IF($T$2="2019年",'Offer Statistics'!D68,IF($T$2="2020年",'Offer Statistics'!D119)))</f>
        <v>0</v>
      </c>
      <c r="X17" s="284">
        <f>IF($T$2="2018年",'Offer Statistics'!E17,IF($T$2="2019年",'Offer Statistics'!E68,IF($T$2="2020年",'Offer Statistics'!E119)))</f>
        <v>0</v>
      </c>
      <c r="Y17" s="284">
        <f>IF($T$2="2018年",'Offer Statistics'!F17,IF($T$2="2019年",'Offer Statistics'!F68,IF($T$2="2020年",'Offer Statistics'!F119)))</f>
        <v>0</v>
      </c>
      <c r="Z17" s="285">
        <f>IF($T$2="2018年",'Offer Statistics'!G17,IF($T$2="2019年",'Offer Statistics'!G68,IF($T$2="2020年",'Offer Statistics'!G119)))</f>
        <v>0</v>
      </c>
      <c r="AA17" s="501"/>
      <c r="AB17" s="272">
        <f>IF($AA$2="2018年",'Offer Statistics'!P17,IF($AA$2="2019年",'Offer Statistics'!P68,IF($AA$2="2020年",'Offer Statistics'!P119)))</f>
        <v>2470</v>
      </c>
      <c r="AC17" s="284">
        <f>IF($AA$2="2018年",'Offer Statistics'!K17,IF($AA$2="2019年",'Offer Statistics'!K68,IF($AA$2="2020年",'Offer Statistics'!K119)))</f>
        <v>263</v>
      </c>
      <c r="AD17" s="284">
        <f>IF($AA$2="2018年",'Offer Statistics'!L17,IF($AA$2="2019年",'Offer Statistics'!L68,IF($AA$2="2020年",'Offer Statistics'!L119)))</f>
        <v>386</v>
      </c>
      <c r="AE17" s="284">
        <f>IF($AA$2="2018年",'Offer Statistics'!M17,IF($AA$2="2019年",'Offer Statistics'!M68,IF($AA$2="2020年",'Offer Statistics'!M119)))</f>
        <v>596</v>
      </c>
      <c r="AF17" s="284">
        <f>IF($AA$2="2018年",'Offer Statistics'!N17,IF($AA$2="2019年",'Offer Statistics'!N68,IF($AA$2="2020年",'Offer Statistics'!N119)))</f>
        <v>684</v>
      </c>
      <c r="AG17" s="285">
        <f>IF($AA$2="2018年",'Offer Statistics'!O17,IF($AA$2="2019年",'Offer Statistics'!O68,IF($AA$2="2020年",'Offer Statistics'!O119)))</f>
        <v>541</v>
      </c>
      <c r="AH17" s="181"/>
      <c r="AI17" s="338" t="str">
        <f t="shared" si="2"/>
        <v>JS1042</v>
      </c>
      <c r="AJ17" s="175"/>
      <c r="AK17" s="175"/>
      <c r="AL17" s="175"/>
      <c r="AM17" s="175"/>
      <c r="AN17" s="175"/>
      <c r="AO17" s="175"/>
      <c r="AP17" s="175"/>
      <c r="AQ17" s="175"/>
      <c r="AR17" s="175"/>
      <c r="AS17" s="175"/>
      <c r="AT17" s="175"/>
      <c r="AU17" s="175"/>
      <c r="AV17" s="175"/>
      <c r="AW17" s="175"/>
      <c r="AX17" s="175"/>
    </row>
    <row r="18" spans="1:50" s="179" customFormat="1" ht="18" customHeight="1">
      <c r="A18" s="175" t="s">
        <v>668</v>
      </c>
      <c r="B18" s="5" t="s">
        <v>857</v>
      </c>
      <c r="C18" s="186" t="s">
        <v>669</v>
      </c>
      <c r="D18" s="5" t="s">
        <v>1419</v>
      </c>
      <c r="E18" s="437" t="s">
        <v>190</v>
      </c>
      <c r="F18" s="7">
        <v>29</v>
      </c>
      <c r="G18" s="7">
        <v>28.5</v>
      </c>
      <c r="H18" s="193">
        <f>計分版!D41</f>
        <v>3.1999999999999997E-9</v>
      </c>
      <c r="I18" s="39">
        <f t="shared" si="0"/>
        <v>-28.9999999968</v>
      </c>
      <c r="J18" s="40">
        <f t="shared" si="1"/>
        <v>-9062499999</v>
      </c>
      <c r="K18" s="101">
        <v>28</v>
      </c>
      <c r="L18" s="381">
        <f>入學要求!S19</f>
        <v>0</v>
      </c>
      <c r="M18" s="503"/>
      <c r="N18" s="127">
        <v>3</v>
      </c>
      <c r="O18" s="127">
        <v>3</v>
      </c>
      <c r="P18" s="127">
        <v>2</v>
      </c>
      <c r="Q18" s="127">
        <v>2</v>
      </c>
      <c r="R18" s="127">
        <v>3</v>
      </c>
      <c r="S18" s="127">
        <v>3</v>
      </c>
      <c r="T18" s="501"/>
      <c r="U18" s="272">
        <f>IF($T$2="2018年",'Offer Statistics'!H18,IF($T$2="2019年",'Offer Statistics'!H69,IF($T$2="2020年",'Offer Statistics'!H120)))</f>
        <v>26</v>
      </c>
      <c r="V18" s="284">
        <f>IF($T$2="2018年",'Offer Statistics'!C18,IF($T$2="2019年",'Offer Statistics'!C69,IF($T$2="2020年",'Offer Statistics'!C120)))</f>
        <v>26</v>
      </c>
      <c r="W18" s="284">
        <f>IF($T$2="2018年",'Offer Statistics'!D18,IF($T$2="2019年",'Offer Statistics'!D69,IF($T$2="2020年",'Offer Statistics'!D120)))</f>
        <v>0</v>
      </c>
      <c r="X18" s="284">
        <f>IF($T$2="2018年",'Offer Statistics'!E18,IF($T$2="2019年",'Offer Statistics'!E69,IF($T$2="2020年",'Offer Statistics'!E120)))</f>
        <v>0</v>
      </c>
      <c r="Y18" s="284">
        <f>IF($T$2="2018年",'Offer Statistics'!F18,IF($T$2="2019年",'Offer Statistics'!F69,IF($T$2="2020年",'Offer Statistics'!F120)))</f>
        <v>0</v>
      </c>
      <c r="Z18" s="285">
        <f>IF($T$2="2018年",'Offer Statistics'!G18,IF($T$2="2019年",'Offer Statistics'!G69,IF($T$2="2020年",'Offer Statistics'!G120)))</f>
        <v>0</v>
      </c>
      <c r="AA18" s="501"/>
      <c r="AB18" s="272">
        <f>IF($AA$2="2018年",'Offer Statistics'!P18,IF($AA$2="2019年",'Offer Statistics'!P69,IF($AA$2="2020年",'Offer Statistics'!P120)))</f>
        <v>2063</v>
      </c>
      <c r="AC18" s="284">
        <f>IF($AA$2="2018年",'Offer Statistics'!K18,IF($AA$2="2019年",'Offer Statistics'!K69,IF($AA$2="2020年",'Offer Statistics'!K120)))</f>
        <v>255</v>
      </c>
      <c r="AD18" s="284">
        <f>IF($AA$2="2018年",'Offer Statistics'!L18,IF($AA$2="2019年",'Offer Statistics'!L69,IF($AA$2="2020年",'Offer Statistics'!L120)))</f>
        <v>311</v>
      </c>
      <c r="AE18" s="284">
        <f>IF($AA$2="2018年",'Offer Statistics'!M18,IF($AA$2="2019年",'Offer Statistics'!M69,IF($AA$2="2020年",'Offer Statistics'!M120)))</f>
        <v>479</v>
      </c>
      <c r="AF18" s="284">
        <f>IF($AA$2="2018年",'Offer Statistics'!N18,IF($AA$2="2019年",'Offer Statistics'!N69,IF($AA$2="2020年",'Offer Statistics'!N120)))</f>
        <v>584</v>
      </c>
      <c r="AG18" s="285">
        <f>IF($AA$2="2018年",'Offer Statistics'!O18,IF($AA$2="2019年",'Offer Statistics'!O69,IF($AA$2="2020年",'Offer Statistics'!O120)))</f>
        <v>434</v>
      </c>
      <c r="AH18" s="181"/>
      <c r="AI18" s="338" t="str">
        <f t="shared" si="2"/>
        <v>JS1043</v>
      </c>
      <c r="AJ18" s="175"/>
      <c r="AK18" s="175"/>
      <c r="AL18" s="175"/>
      <c r="AM18" s="175"/>
      <c r="AN18" s="175"/>
      <c r="AO18" s="175"/>
      <c r="AP18" s="175"/>
      <c r="AQ18" s="175"/>
      <c r="AR18" s="175"/>
      <c r="AS18" s="175"/>
      <c r="AT18" s="175"/>
      <c r="AU18" s="175"/>
      <c r="AV18" s="175"/>
      <c r="AW18" s="175"/>
      <c r="AX18" s="175"/>
    </row>
    <row r="19" spans="1:50" s="179" customFormat="1" ht="18" customHeight="1">
      <c r="A19" s="175" t="s">
        <v>671</v>
      </c>
      <c r="B19" s="5" t="s">
        <v>857</v>
      </c>
      <c r="C19" s="186" t="s">
        <v>1251</v>
      </c>
      <c r="D19" s="5" t="s">
        <v>1420</v>
      </c>
      <c r="E19" s="249" t="s">
        <v>190</v>
      </c>
      <c r="F19" s="7">
        <v>27</v>
      </c>
      <c r="G19" s="7">
        <v>27</v>
      </c>
      <c r="H19" s="193">
        <f>計分版!D42</f>
        <v>3.05E-9</v>
      </c>
      <c r="I19" s="39">
        <f t="shared" si="0"/>
        <v>-26.999999996949999</v>
      </c>
      <c r="J19" s="40">
        <f t="shared" si="1"/>
        <v>-8852459015.3934422</v>
      </c>
      <c r="K19" s="101">
        <v>21</v>
      </c>
      <c r="L19" s="381">
        <f>入學要求!S20</f>
        <v>0</v>
      </c>
      <c r="M19" s="503"/>
      <c r="N19" s="127">
        <v>3</v>
      </c>
      <c r="O19" s="127">
        <v>3</v>
      </c>
      <c r="P19" s="127">
        <v>2</v>
      </c>
      <c r="Q19" s="127">
        <v>2</v>
      </c>
      <c r="R19" s="127">
        <v>3</v>
      </c>
      <c r="S19" s="127">
        <v>3</v>
      </c>
      <c r="T19" s="501"/>
      <c r="U19" s="272">
        <f>IF($T$2="2018年",'Offer Statistics'!H19,IF($T$2="2019年",'Offer Statistics'!H70,IF($T$2="2020年",'Offer Statistics'!H121)))</f>
        <v>18</v>
      </c>
      <c r="V19" s="284">
        <f>IF($T$2="2018年",'Offer Statistics'!C19,IF($T$2="2019年",'Offer Statistics'!C70,IF($T$2="2020年",'Offer Statistics'!C121)))</f>
        <v>18</v>
      </c>
      <c r="W19" s="284">
        <f>IF($T$2="2018年",'Offer Statistics'!D19,IF($T$2="2019年",'Offer Statistics'!D70,IF($T$2="2020年",'Offer Statistics'!D121)))</f>
        <v>0</v>
      </c>
      <c r="X19" s="284">
        <f>IF($T$2="2018年",'Offer Statistics'!E19,IF($T$2="2019年",'Offer Statistics'!E70,IF($T$2="2020年",'Offer Statistics'!E121)))</f>
        <v>0</v>
      </c>
      <c r="Y19" s="284">
        <f>IF($T$2="2018年",'Offer Statistics'!F19,IF($T$2="2019年",'Offer Statistics'!F70,IF($T$2="2020年",'Offer Statistics'!F121)))</f>
        <v>0</v>
      </c>
      <c r="Z19" s="285">
        <f>IF($T$2="2018年",'Offer Statistics'!G19,IF($T$2="2019年",'Offer Statistics'!G70,IF($T$2="2020年",'Offer Statistics'!G121)))</f>
        <v>0</v>
      </c>
      <c r="AA19" s="501"/>
      <c r="AB19" s="272">
        <f>IF($AA$2="2018年",'Offer Statistics'!P19,IF($AA$2="2019年",'Offer Statistics'!P70,IF($AA$2="2020年",'Offer Statistics'!P121)))</f>
        <v>1510</v>
      </c>
      <c r="AC19" s="284">
        <f>IF($AA$2="2018年",'Offer Statistics'!K19,IF($AA$2="2019年",'Offer Statistics'!K70,IF($AA$2="2020年",'Offer Statistics'!K121)))</f>
        <v>169</v>
      </c>
      <c r="AD19" s="284">
        <f>IF($AA$2="2018年",'Offer Statistics'!L19,IF($AA$2="2019年",'Offer Statistics'!L70,IF($AA$2="2020年",'Offer Statistics'!L121)))</f>
        <v>219</v>
      </c>
      <c r="AE19" s="284">
        <f>IF($AA$2="2018年",'Offer Statistics'!M19,IF($AA$2="2019年",'Offer Statistics'!M70,IF($AA$2="2020年",'Offer Statistics'!M121)))</f>
        <v>348</v>
      </c>
      <c r="AF19" s="284">
        <f>IF($AA$2="2018年",'Offer Statistics'!N19,IF($AA$2="2019年",'Offer Statistics'!N70,IF($AA$2="2020年",'Offer Statistics'!N121)))</f>
        <v>440</v>
      </c>
      <c r="AG19" s="285">
        <f>IF($AA$2="2018年",'Offer Statistics'!O19,IF($AA$2="2019年",'Offer Statistics'!O70,IF($AA$2="2020年",'Offer Statistics'!O121)))</f>
        <v>334</v>
      </c>
      <c r="AH19" s="181"/>
      <c r="AI19" s="338" t="str">
        <f t="shared" si="2"/>
        <v>JS1044</v>
      </c>
      <c r="AJ19" s="175"/>
      <c r="AK19" s="175"/>
      <c r="AL19" s="175"/>
      <c r="AM19" s="175"/>
      <c r="AN19" s="175"/>
      <c r="AO19" s="175"/>
      <c r="AP19" s="175"/>
      <c r="AQ19" s="175"/>
      <c r="AR19" s="175"/>
      <c r="AS19" s="175"/>
      <c r="AT19" s="175"/>
      <c r="AU19" s="175"/>
      <c r="AV19" s="175"/>
      <c r="AW19" s="175"/>
      <c r="AX19" s="175"/>
    </row>
    <row r="20" spans="1:50" s="179" customFormat="1" ht="18" customHeight="1">
      <c r="A20" s="175" t="s">
        <v>674</v>
      </c>
      <c r="B20" s="5" t="s">
        <v>859</v>
      </c>
      <c r="C20" s="186" t="s">
        <v>858</v>
      </c>
      <c r="D20" s="5" t="s">
        <v>1421</v>
      </c>
      <c r="E20" s="249" t="s">
        <v>190</v>
      </c>
      <c r="F20" s="7">
        <v>37</v>
      </c>
      <c r="G20" s="7">
        <v>36</v>
      </c>
      <c r="H20" s="193">
        <f>計分版!D43</f>
        <v>4.1000000000000003E-9</v>
      </c>
      <c r="I20" s="39">
        <f t="shared" si="0"/>
        <v>-36.999999995899998</v>
      </c>
      <c r="J20" s="40">
        <f t="shared" si="1"/>
        <v>-9024390242.9024372</v>
      </c>
      <c r="K20" s="101">
        <v>72</v>
      </c>
      <c r="L20" s="381">
        <f>入學要求!S21</f>
        <v>0</v>
      </c>
      <c r="M20" s="41" t="s">
        <v>2178</v>
      </c>
      <c r="N20" s="127">
        <v>3</v>
      </c>
      <c r="O20" s="127">
        <v>3</v>
      </c>
      <c r="P20" s="127">
        <v>2</v>
      </c>
      <c r="Q20" s="127">
        <v>2</v>
      </c>
      <c r="R20" s="127">
        <v>3</v>
      </c>
      <c r="S20" s="127">
        <v>3</v>
      </c>
      <c r="T20" s="501"/>
      <c r="U20" s="272">
        <f>IF($T$2="2018年",'Offer Statistics'!H20,IF($T$2="2019年",'Offer Statistics'!H71,IF($T$2="2020年",'Offer Statistics'!H122)))</f>
        <v>39</v>
      </c>
      <c r="V20" s="284">
        <f>IF($T$2="2018年",'Offer Statistics'!C20,IF($T$2="2019年",'Offer Statistics'!C71,IF($T$2="2020年",'Offer Statistics'!C122)))</f>
        <v>34</v>
      </c>
      <c r="W20" s="284">
        <f>IF($T$2="2018年",'Offer Statistics'!D20,IF($T$2="2019年",'Offer Statistics'!D71,IF($T$2="2020年",'Offer Statistics'!D122)))</f>
        <v>2</v>
      </c>
      <c r="X20" s="284">
        <f>IF($T$2="2018年",'Offer Statistics'!E20,IF($T$2="2019年",'Offer Statistics'!E71,IF($T$2="2020年",'Offer Statistics'!E122)))</f>
        <v>3</v>
      </c>
      <c r="Y20" s="284">
        <f>IF($T$2="2018年",'Offer Statistics'!F20,IF($T$2="2019年",'Offer Statistics'!F71,IF($T$2="2020年",'Offer Statistics'!F122)))</f>
        <v>0</v>
      </c>
      <c r="Z20" s="285">
        <f>IF($T$2="2018年",'Offer Statistics'!G20,IF($T$2="2019年",'Offer Statistics'!G71,IF($T$2="2020年",'Offer Statistics'!G122)))</f>
        <v>0</v>
      </c>
      <c r="AA20" s="501"/>
      <c r="AB20" s="272">
        <f>IF($AA$2="2018年",'Offer Statistics'!P20,IF($AA$2="2019年",'Offer Statistics'!P71,IF($AA$2="2020年",'Offer Statistics'!P122)))</f>
        <v>1571</v>
      </c>
      <c r="AC20" s="284">
        <f>IF($AA$2="2018年",'Offer Statistics'!K20,IF($AA$2="2019年",'Offer Statistics'!K71,IF($AA$2="2020年",'Offer Statistics'!K122)))</f>
        <v>202</v>
      </c>
      <c r="AD20" s="284">
        <f>IF($AA$2="2018年",'Offer Statistics'!L20,IF($AA$2="2019年",'Offer Statistics'!L71,IF($AA$2="2020年",'Offer Statistics'!L122)))</f>
        <v>269</v>
      </c>
      <c r="AE20" s="284">
        <f>IF($AA$2="2018年",'Offer Statistics'!M20,IF($AA$2="2019年",'Offer Statistics'!M71,IF($AA$2="2020年",'Offer Statistics'!M122)))</f>
        <v>329</v>
      </c>
      <c r="AF20" s="284">
        <f>IF($AA$2="2018年",'Offer Statistics'!N20,IF($AA$2="2019年",'Offer Statistics'!N71,IF($AA$2="2020年",'Offer Statistics'!N122)))</f>
        <v>442</v>
      </c>
      <c r="AG20" s="285">
        <f>IF($AA$2="2018年",'Offer Statistics'!O20,IF($AA$2="2019年",'Offer Statistics'!O71,IF($AA$2="2020年",'Offer Statistics'!O122)))</f>
        <v>329</v>
      </c>
      <c r="AH20" s="181"/>
      <c r="AI20" s="338" t="str">
        <f t="shared" si="2"/>
        <v>JS1051</v>
      </c>
      <c r="AJ20" s="175"/>
      <c r="AK20" s="175"/>
      <c r="AL20" s="175"/>
      <c r="AM20" s="175"/>
      <c r="AN20" s="175"/>
      <c r="AO20" s="175"/>
      <c r="AP20" s="175"/>
      <c r="AQ20" s="175"/>
      <c r="AR20" s="175"/>
      <c r="AS20" s="175"/>
      <c r="AT20" s="175"/>
      <c r="AU20" s="175"/>
      <c r="AV20" s="175"/>
      <c r="AW20" s="175"/>
      <c r="AX20" s="175"/>
    </row>
    <row r="21" spans="1:50" s="179" customFormat="1" ht="18" customHeight="1">
      <c r="A21" s="175" t="s">
        <v>677</v>
      </c>
      <c r="B21" s="5" t="s">
        <v>380</v>
      </c>
      <c r="C21" s="186" t="s">
        <v>678</v>
      </c>
      <c r="D21" s="5" t="s">
        <v>1422</v>
      </c>
      <c r="E21" s="442" t="s">
        <v>190</v>
      </c>
      <c r="F21" s="7">
        <v>28</v>
      </c>
      <c r="G21" s="7">
        <v>26</v>
      </c>
      <c r="H21" s="193">
        <f>計分版!D44</f>
        <v>2.8499999999999999E-9</v>
      </c>
      <c r="I21" s="39">
        <f t="shared" si="0"/>
        <v>-27.999999997149999</v>
      </c>
      <c r="J21" s="40">
        <f t="shared" si="1"/>
        <v>-9824561402.5087719</v>
      </c>
      <c r="K21" s="101">
        <v>60</v>
      </c>
      <c r="L21" s="381">
        <f>入學要求!S22</f>
        <v>0</v>
      </c>
      <c r="M21" s="41" t="s">
        <v>2178</v>
      </c>
      <c r="N21" s="127">
        <v>3</v>
      </c>
      <c r="O21" s="127">
        <v>5</v>
      </c>
      <c r="P21" s="127">
        <v>2</v>
      </c>
      <c r="Q21" s="127">
        <v>2</v>
      </c>
      <c r="R21" s="127">
        <v>3</v>
      </c>
      <c r="S21" s="127">
        <v>3</v>
      </c>
      <c r="T21" s="501"/>
      <c r="U21" s="272">
        <f>IF($T$2="2018年",'Offer Statistics'!H21,IF($T$2="2019年",'Offer Statistics'!H72,IF($T$2="2020年",'Offer Statistics'!H123)))</f>
        <v>25</v>
      </c>
      <c r="V21" s="284">
        <f>IF($T$2="2018年",'Offer Statistics'!C21,IF($T$2="2019年",'Offer Statistics'!C72,IF($T$2="2020年",'Offer Statistics'!C123)))</f>
        <v>23</v>
      </c>
      <c r="W21" s="284">
        <f>IF($T$2="2018年",'Offer Statistics'!D21,IF($T$2="2019年",'Offer Statistics'!D72,IF($T$2="2020年",'Offer Statistics'!D123)))</f>
        <v>0</v>
      </c>
      <c r="X21" s="284">
        <f>IF($T$2="2018年",'Offer Statistics'!E21,IF($T$2="2019年",'Offer Statistics'!E72,IF($T$2="2020年",'Offer Statistics'!E123)))</f>
        <v>1</v>
      </c>
      <c r="Y21" s="284">
        <f>IF($T$2="2018年",'Offer Statistics'!F21,IF($T$2="2019年",'Offer Statistics'!F72,IF($T$2="2020年",'Offer Statistics'!F123)))</f>
        <v>1</v>
      </c>
      <c r="Z21" s="285">
        <f>IF($T$2="2018年",'Offer Statistics'!G21,IF($T$2="2019年",'Offer Statistics'!G72,IF($T$2="2020年",'Offer Statistics'!G123)))</f>
        <v>0</v>
      </c>
      <c r="AA21" s="501"/>
      <c r="AB21" s="272">
        <f>IF($AA$2="2018年",'Offer Statistics'!P21,IF($AA$2="2019年",'Offer Statistics'!P72,IF($AA$2="2020年",'Offer Statistics'!P123)))</f>
        <v>786</v>
      </c>
      <c r="AC21" s="284">
        <f>IF($AA$2="2018年",'Offer Statistics'!K21,IF($AA$2="2019年",'Offer Statistics'!K72,IF($AA$2="2020年",'Offer Statistics'!K123)))</f>
        <v>102</v>
      </c>
      <c r="AD21" s="284">
        <f>IF($AA$2="2018年",'Offer Statistics'!L21,IF($AA$2="2019年",'Offer Statistics'!L72,IF($AA$2="2020年",'Offer Statistics'!L123)))</f>
        <v>128</v>
      </c>
      <c r="AE21" s="284">
        <f>IF($AA$2="2018年",'Offer Statistics'!M21,IF($AA$2="2019年",'Offer Statistics'!M72,IF($AA$2="2020年",'Offer Statistics'!M123)))</f>
        <v>131</v>
      </c>
      <c r="AF21" s="284">
        <f>IF($AA$2="2018年",'Offer Statistics'!N21,IF($AA$2="2019年",'Offer Statistics'!N72,IF($AA$2="2020年",'Offer Statistics'!N123)))</f>
        <v>209</v>
      </c>
      <c r="AG21" s="285">
        <f>IF($AA$2="2018年",'Offer Statistics'!O21,IF($AA$2="2019年",'Offer Statistics'!O72,IF($AA$2="2020年",'Offer Statistics'!O123)))</f>
        <v>216</v>
      </c>
      <c r="AH21" s="181"/>
      <c r="AI21" s="338" t="str">
        <f t="shared" si="2"/>
        <v>JS1061</v>
      </c>
      <c r="AJ21" s="175"/>
      <c r="AK21" s="175"/>
      <c r="AL21" s="175"/>
      <c r="AM21" s="175"/>
      <c r="AN21" s="175"/>
      <c r="AO21" s="175"/>
      <c r="AP21" s="175"/>
      <c r="AQ21" s="175"/>
      <c r="AR21" s="175"/>
      <c r="AS21" s="175"/>
      <c r="AT21" s="175"/>
      <c r="AU21" s="175"/>
      <c r="AV21" s="175"/>
      <c r="AW21" s="175"/>
      <c r="AX21" s="175"/>
    </row>
    <row r="22" spans="1:50" s="179" customFormat="1" ht="18" customHeight="1">
      <c r="A22" s="175" t="s">
        <v>679</v>
      </c>
      <c r="B22" s="5" t="s">
        <v>861</v>
      </c>
      <c r="C22" s="186" t="s">
        <v>860</v>
      </c>
      <c r="D22" s="5" t="s">
        <v>1423</v>
      </c>
      <c r="E22" s="437" t="s">
        <v>190</v>
      </c>
      <c r="F22" s="7">
        <v>32</v>
      </c>
      <c r="G22" s="7">
        <v>32</v>
      </c>
      <c r="H22" s="193">
        <f>計分版!D45</f>
        <v>3.3500000000000002E-9</v>
      </c>
      <c r="I22" s="39">
        <f t="shared" si="0"/>
        <v>-31.999999996650001</v>
      </c>
      <c r="J22" s="40">
        <f t="shared" si="1"/>
        <v>-9552238804.9701481</v>
      </c>
      <c r="K22" s="101">
        <v>20</v>
      </c>
      <c r="L22" s="381">
        <f>入學要求!S23</f>
        <v>0</v>
      </c>
      <c r="M22" s="502" t="s">
        <v>2178</v>
      </c>
      <c r="N22" s="127">
        <v>3</v>
      </c>
      <c r="O22" s="127">
        <v>3</v>
      </c>
      <c r="P22" s="127">
        <v>3</v>
      </c>
      <c r="Q22" s="127">
        <v>2</v>
      </c>
      <c r="R22" s="127">
        <v>3</v>
      </c>
      <c r="S22" s="127">
        <v>3</v>
      </c>
      <c r="T22" s="501"/>
      <c r="U22" s="272">
        <f>IF($T$2="2018年",'Offer Statistics'!H22,IF($T$2="2019年",'Offer Statistics'!H73,IF($T$2="2020年",'Offer Statistics'!H124)))</f>
        <v>17</v>
      </c>
      <c r="V22" s="284">
        <f>IF($T$2="2018年",'Offer Statistics'!C22,IF($T$2="2019年",'Offer Statistics'!C73,IF($T$2="2020年",'Offer Statistics'!C124)))</f>
        <v>16</v>
      </c>
      <c r="W22" s="284">
        <f>IF($T$2="2018年",'Offer Statistics'!D22,IF($T$2="2019年",'Offer Statistics'!D73,IF($T$2="2020年",'Offer Statistics'!D124)))</f>
        <v>0</v>
      </c>
      <c r="X22" s="284">
        <f>IF($T$2="2018年",'Offer Statistics'!E22,IF($T$2="2019年",'Offer Statistics'!E73,IF($T$2="2020年",'Offer Statistics'!E124)))</f>
        <v>0</v>
      </c>
      <c r="Y22" s="284">
        <f>IF($T$2="2018年",'Offer Statistics'!F22,IF($T$2="2019年",'Offer Statistics'!F73,IF($T$2="2020年",'Offer Statistics'!F124)))</f>
        <v>1</v>
      </c>
      <c r="Z22" s="285">
        <f>IF($T$2="2018年",'Offer Statistics'!G22,IF($T$2="2019年",'Offer Statistics'!G73,IF($T$2="2020年",'Offer Statistics'!G124)))</f>
        <v>0</v>
      </c>
      <c r="AA22" s="501"/>
      <c r="AB22" s="272">
        <f>IF($AA$2="2018年",'Offer Statistics'!P22,IF($AA$2="2019年",'Offer Statistics'!P73,IF($AA$2="2020年",'Offer Statistics'!P124)))</f>
        <v>1508</v>
      </c>
      <c r="AC22" s="284">
        <f>IF($AA$2="2018年",'Offer Statistics'!K22,IF($AA$2="2019年",'Offer Statistics'!K73,IF($AA$2="2020年",'Offer Statistics'!K124)))</f>
        <v>151</v>
      </c>
      <c r="AD22" s="284">
        <f>IF($AA$2="2018年",'Offer Statistics'!L22,IF($AA$2="2019年",'Offer Statistics'!L73,IF($AA$2="2020年",'Offer Statistics'!L124)))</f>
        <v>290</v>
      </c>
      <c r="AE22" s="284">
        <f>IF($AA$2="2018年",'Offer Statistics'!M22,IF($AA$2="2019年",'Offer Statistics'!M73,IF($AA$2="2020年",'Offer Statistics'!M124)))</f>
        <v>366</v>
      </c>
      <c r="AF22" s="284">
        <f>IF($AA$2="2018年",'Offer Statistics'!N22,IF($AA$2="2019年",'Offer Statistics'!N73,IF($AA$2="2020年",'Offer Statistics'!N124)))</f>
        <v>409</v>
      </c>
      <c r="AG22" s="285">
        <f>IF($AA$2="2018年",'Offer Statistics'!O22,IF($AA$2="2019年",'Offer Statistics'!O73,IF($AA$2="2020年",'Offer Statistics'!O124)))</f>
        <v>292</v>
      </c>
      <c r="AH22" s="181"/>
      <c r="AI22" s="338" t="str">
        <f t="shared" si="2"/>
        <v>JS1071</v>
      </c>
      <c r="AJ22" s="175"/>
      <c r="AK22" s="175"/>
      <c r="AL22" s="175"/>
      <c r="AM22" s="175"/>
      <c r="AN22" s="175"/>
      <c r="AO22" s="175"/>
      <c r="AP22" s="175"/>
      <c r="AQ22" s="175"/>
      <c r="AR22" s="175"/>
      <c r="AS22" s="175"/>
      <c r="AT22" s="175"/>
      <c r="AU22" s="175"/>
      <c r="AV22" s="175"/>
      <c r="AW22" s="175"/>
      <c r="AX22" s="175"/>
    </row>
    <row r="23" spans="1:50" s="179" customFormat="1" ht="18" customHeight="1">
      <c r="A23" s="175" t="s">
        <v>682</v>
      </c>
      <c r="B23" s="5" t="s">
        <v>861</v>
      </c>
      <c r="C23" s="186" t="s">
        <v>864</v>
      </c>
      <c r="D23" s="5" t="s">
        <v>1424</v>
      </c>
      <c r="E23" s="437" t="s">
        <v>190</v>
      </c>
      <c r="F23" s="82">
        <v>32</v>
      </c>
      <c r="G23" s="49">
        <v>31</v>
      </c>
      <c r="H23" s="193">
        <f>計分版!D46</f>
        <v>3.3500000000000002E-9</v>
      </c>
      <c r="I23" s="39">
        <f t="shared" si="0"/>
        <v>-31.999999996650001</v>
      </c>
      <c r="J23" s="40">
        <f t="shared" si="1"/>
        <v>-9552238804.9701481</v>
      </c>
      <c r="K23" s="101">
        <v>30</v>
      </c>
      <c r="L23" s="381">
        <f>入學要求!S24</f>
        <v>0</v>
      </c>
      <c r="M23" s="502"/>
      <c r="N23" s="127">
        <v>3</v>
      </c>
      <c r="O23" s="127">
        <v>3</v>
      </c>
      <c r="P23" s="127">
        <v>3</v>
      </c>
      <c r="Q23" s="127">
        <v>2</v>
      </c>
      <c r="R23" s="127">
        <v>3</v>
      </c>
      <c r="S23" s="127">
        <v>3</v>
      </c>
      <c r="T23" s="501"/>
      <c r="U23" s="272">
        <f>IF($T$2="2018年",'Offer Statistics'!H23,IF($T$2="2019年",'Offer Statistics'!H74,IF($T$2="2020年",'Offer Statistics'!H125)))</f>
        <v>22</v>
      </c>
      <c r="V23" s="284">
        <f>IF($T$2="2018年",'Offer Statistics'!C23,IF($T$2="2019年",'Offer Statistics'!C74,IF($T$2="2020年",'Offer Statistics'!C125)))</f>
        <v>21</v>
      </c>
      <c r="W23" s="284">
        <f>IF($T$2="2018年",'Offer Statistics'!D23,IF($T$2="2019年",'Offer Statistics'!D74,IF($T$2="2020年",'Offer Statistics'!D125)))</f>
        <v>1</v>
      </c>
      <c r="X23" s="284">
        <f>IF($T$2="2018年",'Offer Statistics'!E23,IF($T$2="2019年",'Offer Statistics'!E74,IF($T$2="2020年",'Offer Statistics'!E125)))</f>
        <v>0</v>
      </c>
      <c r="Y23" s="284">
        <f>IF($T$2="2018年",'Offer Statistics'!F23,IF($T$2="2019年",'Offer Statistics'!F74,IF($T$2="2020年",'Offer Statistics'!F125)))</f>
        <v>0</v>
      </c>
      <c r="Z23" s="285">
        <f>IF($T$2="2018年",'Offer Statistics'!G23,IF($T$2="2019年",'Offer Statistics'!G74,IF($T$2="2020年",'Offer Statistics'!G125)))</f>
        <v>0</v>
      </c>
      <c r="AA23" s="501"/>
      <c r="AB23" s="272">
        <f>IF($AA$2="2018年",'Offer Statistics'!P23,IF($AA$2="2019年",'Offer Statistics'!P74,IF($AA$2="2020年",'Offer Statistics'!P125)))</f>
        <v>1670</v>
      </c>
      <c r="AC23" s="284">
        <f>IF($AA$2="2018年",'Offer Statistics'!K23,IF($AA$2="2019年",'Offer Statistics'!K74,IF($AA$2="2020年",'Offer Statistics'!K125)))</f>
        <v>222</v>
      </c>
      <c r="AD23" s="284">
        <f>IF($AA$2="2018年",'Offer Statistics'!L23,IF($AA$2="2019年",'Offer Statistics'!L74,IF($AA$2="2020年",'Offer Statistics'!L125)))</f>
        <v>330</v>
      </c>
      <c r="AE23" s="284">
        <f>IF($AA$2="2018年",'Offer Statistics'!M23,IF($AA$2="2019年",'Offer Statistics'!M74,IF($AA$2="2020年",'Offer Statistics'!M125)))</f>
        <v>371</v>
      </c>
      <c r="AF23" s="284">
        <f>IF($AA$2="2018年",'Offer Statistics'!N23,IF($AA$2="2019年",'Offer Statistics'!N74,IF($AA$2="2020年",'Offer Statistics'!N125)))</f>
        <v>390</v>
      </c>
      <c r="AG23" s="285">
        <f>IF($AA$2="2018年",'Offer Statistics'!O23,IF($AA$2="2019年",'Offer Statistics'!O74,IF($AA$2="2020年",'Offer Statistics'!O125)))</f>
        <v>357</v>
      </c>
      <c r="AH23" s="181"/>
      <c r="AI23" s="338" t="str">
        <f t="shared" si="2"/>
        <v>JS1072</v>
      </c>
      <c r="AJ23" s="175"/>
      <c r="AK23" s="175"/>
      <c r="AL23" s="175"/>
      <c r="AM23" s="175"/>
      <c r="AN23" s="175"/>
      <c r="AO23" s="175"/>
      <c r="AP23" s="175"/>
      <c r="AQ23" s="175"/>
      <c r="AR23" s="175"/>
      <c r="AS23" s="175"/>
      <c r="AT23" s="175"/>
      <c r="AU23" s="175"/>
      <c r="AV23" s="175"/>
      <c r="AW23" s="175"/>
      <c r="AX23" s="175"/>
    </row>
    <row r="24" spans="1:50" s="179" customFormat="1" ht="18" customHeight="1">
      <c r="A24" s="175" t="s">
        <v>685</v>
      </c>
      <c r="B24" s="5" t="s">
        <v>861</v>
      </c>
      <c r="C24" s="186" t="s">
        <v>686</v>
      </c>
      <c r="D24" s="5" t="s">
        <v>1425</v>
      </c>
      <c r="E24" s="437" t="s">
        <v>190</v>
      </c>
      <c r="F24" s="7">
        <v>31</v>
      </c>
      <c r="G24" s="7">
        <v>31</v>
      </c>
      <c r="H24" s="193">
        <f>計分版!D47</f>
        <v>3.3500000000000002E-9</v>
      </c>
      <c r="I24" s="39">
        <f>IF(I$1="差距(Median)",H24-F24,IF(I$1="差距(LQ)",H24-G24))</f>
        <v>-30.999999996650001</v>
      </c>
      <c r="J24" s="40">
        <f t="shared" si="1"/>
        <v>-9253731342.2835808</v>
      </c>
      <c r="K24" s="101">
        <v>20</v>
      </c>
      <c r="L24" s="381">
        <f>入學要求!S25</f>
        <v>0</v>
      </c>
      <c r="M24" s="502"/>
      <c r="N24" s="127">
        <v>3</v>
      </c>
      <c r="O24" s="127">
        <v>3</v>
      </c>
      <c r="P24" s="127">
        <v>3</v>
      </c>
      <c r="Q24" s="127">
        <v>2</v>
      </c>
      <c r="R24" s="127">
        <v>3</v>
      </c>
      <c r="S24" s="127">
        <v>3</v>
      </c>
      <c r="T24" s="501"/>
      <c r="U24" s="272">
        <f>IF($T$2="2018年",'Offer Statistics'!H24,IF($T$2="2019年",'Offer Statistics'!H75,IF($T$2="2020年",'Offer Statistics'!H126)))</f>
        <v>20</v>
      </c>
      <c r="V24" s="284">
        <f>IF($T$2="2018年",'Offer Statistics'!C24,IF($T$2="2019年",'Offer Statistics'!C75,IF($T$2="2020年",'Offer Statistics'!C126)))</f>
        <v>16</v>
      </c>
      <c r="W24" s="284">
        <f>IF($T$2="2018年",'Offer Statistics'!D24,IF($T$2="2019年",'Offer Statistics'!D75,IF($T$2="2020年",'Offer Statistics'!D126)))</f>
        <v>4</v>
      </c>
      <c r="X24" s="284">
        <f>IF($T$2="2018年",'Offer Statistics'!E24,IF($T$2="2019年",'Offer Statistics'!E75,IF($T$2="2020年",'Offer Statistics'!E126)))</f>
        <v>0</v>
      </c>
      <c r="Y24" s="284">
        <f>IF($T$2="2018年",'Offer Statistics'!F24,IF($T$2="2019年",'Offer Statistics'!F75,IF($T$2="2020年",'Offer Statistics'!F126)))</f>
        <v>0</v>
      </c>
      <c r="Z24" s="285">
        <f>IF($T$2="2018年",'Offer Statistics'!G24,IF($T$2="2019年",'Offer Statistics'!G75,IF($T$2="2020年",'Offer Statistics'!G126)))</f>
        <v>0</v>
      </c>
      <c r="AA24" s="501"/>
      <c r="AB24" s="272">
        <f>IF($AA$2="2018年",'Offer Statistics'!P24,IF($AA$2="2019年",'Offer Statistics'!P75,IF($AA$2="2020年",'Offer Statistics'!P126)))</f>
        <v>1527</v>
      </c>
      <c r="AC24" s="284">
        <f>IF($AA$2="2018年",'Offer Statistics'!K24,IF($AA$2="2019年",'Offer Statistics'!K75,IF($AA$2="2020年",'Offer Statistics'!K126)))</f>
        <v>215</v>
      </c>
      <c r="AD24" s="284">
        <f>IF($AA$2="2018年",'Offer Statistics'!L24,IF($AA$2="2019年",'Offer Statistics'!L75,IF($AA$2="2020年",'Offer Statistics'!L126)))</f>
        <v>260</v>
      </c>
      <c r="AE24" s="284">
        <f>IF($AA$2="2018年",'Offer Statistics'!M24,IF($AA$2="2019年",'Offer Statistics'!M75,IF($AA$2="2020年",'Offer Statistics'!M126)))</f>
        <v>334</v>
      </c>
      <c r="AF24" s="284">
        <f>IF($AA$2="2018年",'Offer Statistics'!N24,IF($AA$2="2019年",'Offer Statistics'!N75,IF($AA$2="2020年",'Offer Statistics'!N126)))</f>
        <v>414</v>
      </c>
      <c r="AG24" s="285">
        <f>IF($AA$2="2018年",'Offer Statistics'!O24,IF($AA$2="2019年",'Offer Statistics'!O75,IF($AA$2="2020年",'Offer Statistics'!O126)))</f>
        <v>304</v>
      </c>
      <c r="AH24" s="181"/>
      <c r="AI24" s="338" t="str">
        <f t="shared" si="2"/>
        <v>JS1073</v>
      </c>
      <c r="AJ24" s="175"/>
      <c r="AK24" s="175"/>
      <c r="AL24" s="175"/>
      <c r="AM24" s="175"/>
      <c r="AN24" s="175"/>
      <c r="AO24" s="175"/>
      <c r="AP24" s="175"/>
      <c r="AQ24" s="175"/>
      <c r="AR24" s="175"/>
      <c r="AS24" s="175"/>
      <c r="AT24" s="175"/>
      <c r="AU24" s="175"/>
      <c r="AV24" s="175"/>
      <c r="AW24" s="175"/>
      <c r="AX24" s="175"/>
    </row>
    <row r="25" spans="1:50" s="179" customFormat="1" ht="18" customHeight="1">
      <c r="A25" s="175" t="s">
        <v>688</v>
      </c>
      <c r="B25" s="5" t="s">
        <v>778</v>
      </c>
      <c r="C25" s="186" t="s">
        <v>862</v>
      </c>
      <c r="D25" s="5" t="s">
        <v>1426</v>
      </c>
      <c r="E25" s="437" t="s">
        <v>1270</v>
      </c>
      <c r="F25" s="7">
        <v>17</v>
      </c>
      <c r="G25" s="7">
        <v>15</v>
      </c>
      <c r="H25" s="193">
        <f>計分版!D48</f>
        <v>3.1500000000000005E-9</v>
      </c>
      <c r="I25" s="39">
        <f t="shared" si="0"/>
        <v>-16.999999996850001</v>
      </c>
      <c r="J25" s="40">
        <f t="shared" si="1"/>
        <v>-5396825395.8253965</v>
      </c>
      <c r="K25" s="101">
        <v>340</v>
      </c>
      <c r="L25" s="381">
        <f>入學要求!S26</f>
        <v>0</v>
      </c>
      <c r="M25" s="82" t="s">
        <v>792</v>
      </c>
      <c r="N25" s="127">
        <v>2</v>
      </c>
      <c r="O25" s="127">
        <v>2</v>
      </c>
      <c r="P25" s="127">
        <v>2</v>
      </c>
      <c r="Q25" s="127">
        <v>2</v>
      </c>
      <c r="R25" s="127">
        <v>2</v>
      </c>
      <c r="S25" s="35"/>
      <c r="T25" s="501"/>
      <c r="U25" s="272">
        <f>IF($T$2="2018年",'Offer Statistics'!H25,IF($T$2="2019年",'Offer Statistics'!H76,IF($T$2="2020年",'Offer Statistics'!H127)))</f>
        <v>682</v>
      </c>
      <c r="V25" s="284">
        <f>IF($T$2="2018年",'Offer Statistics'!C25,IF($T$2="2019年",'Offer Statistics'!C76,IF($T$2="2020年",'Offer Statistics'!C127)))</f>
        <v>333</v>
      </c>
      <c r="W25" s="284">
        <f>IF($T$2="2018年",'Offer Statistics'!D25,IF($T$2="2019年",'Offer Statistics'!D76,IF($T$2="2020年",'Offer Statistics'!D127)))</f>
        <v>95</v>
      </c>
      <c r="X25" s="284">
        <f>IF($T$2="2018年",'Offer Statistics'!E25,IF($T$2="2019年",'Offer Statistics'!E76,IF($T$2="2020年",'Offer Statistics'!E127)))</f>
        <v>65</v>
      </c>
      <c r="Y25" s="284">
        <f>IF($T$2="2018年",'Offer Statistics'!F25,IF($T$2="2019年",'Offer Statistics'!F76,IF($T$2="2020年",'Offer Statistics'!F127)))</f>
        <v>78</v>
      </c>
      <c r="Z25" s="285">
        <f>IF($T$2="2018年",'Offer Statistics'!G25,IF($T$2="2019年",'Offer Statistics'!G76,IF($T$2="2020年",'Offer Statistics'!G127)))</f>
        <v>111</v>
      </c>
      <c r="AA25" s="501"/>
      <c r="AB25" s="272">
        <f>IF($AA$2="2018年",'Offer Statistics'!P25,IF($AA$2="2019年",'Offer Statistics'!P76,IF($AA$2="2020年",'Offer Statistics'!P127)))</f>
        <v>3153</v>
      </c>
      <c r="AC25" s="284">
        <f>IF($AA$2="2018年",'Offer Statistics'!K25,IF($AA$2="2019年",'Offer Statistics'!K76,IF($AA$2="2020年",'Offer Statistics'!K127)))</f>
        <v>811</v>
      </c>
      <c r="AD25" s="284">
        <f>IF($AA$2="2018年",'Offer Statistics'!L25,IF($AA$2="2019年",'Offer Statistics'!L76,IF($AA$2="2020年",'Offer Statistics'!L127)))</f>
        <v>604</v>
      </c>
      <c r="AE25" s="284">
        <f>IF($AA$2="2018年",'Offer Statistics'!M25,IF($AA$2="2019年",'Offer Statistics'!M76,IF($AA$2="2020年",'Offer Statistics'!M127)))</f>
        <v>498</v>
      </c>
      <c r="AF25" s="284">
        <f>IF($AA$2="2018年",'Offer Statistics'!N25,IF($AA$2="2019年",'Offer Statistics'!N76,IF($AA$2="2020年",'Offer Statistics'!N127)))</f>
        <v>558</v>
      </c>
      <c r="AG25" s="285">
        <f>IF($AA$2="2018年",'Offer Statistics'!O25,IF($AA$2="2019年",'Offer Statistics'!O76,IF($AA$2="2020年",'Offer Statistics'!O127)))</f>
        <v>682</v>
      </c>
      <c r="AH25" s="181"/>
      <c r="AI25" s="338" t="str">
        <f t="shared" si="2"/>
        <v>JS1091</v>
      </c>
      <c r="AJ25" s="175"/>
      <c r="AK25" s="175"/>
      <c r="AL25" s="175"/>
      <c r="AM25" s="175"/>
      <c r="AN25" s="175"/>
      <c r="AO25" s="175"/>
      <c r="AP25" s="175"/>
      <c r="AQ25" s="175"/>
      <c r="AR25" s="175"/>
      <c r="AS25" s="175"/>
      <c r="AT25" s="175"/>
      <c r="AU25" s="175"/>
      <c r="AV25" s="175"/>
      <c r="AW25" s="175"/>
      <c r="AX25" s="175"/>
    </row>
    <row r="26" spans="1:50" s="179" customFormat="1" ht="18" customHeight="1">
      <c r="A26" s="175" t="s">
        <v>691</v>
      </c>
      <c r="B26" s="5" t="s">
        <v>778</v>
      </c>
      <c r="C26" s="186" t="s">
        <v>692</v>
      </c>
      <c r="D26" s="5" t="s">
        <v>1427</v>
      </c>
      <c r="E26" s="437" t="s">
        <v>1270</v>
      </c>
      <c r="F26" s="7">
        <v>19</v>
      </c>
      <c r="G26" s="7">
        <v>18</v>
      </c>
      <c r="H26" s="193">
        <f>計分版!D49</f>
        <v>3.1500000000000005E-9</v>
      </c>
      <c r="I26" s="39">
        <f t="shared" si="0"/>
        <v>-18.999999996850001</v>
      </c>
      <c r="J26" s="40">
        <f t="shared" si="1"/>
        <v>-6031746030.7460308</v>
      </c>
      <c r="K26" s="101">
        <v>92</v>
      </c>
      <c r="L26" s="381">
        <f>入學要求!S27</f>
        <v>0</v>
      </c>
      <c r="M26" s="338" t="s">
        <v>792</v>
      </c>
      <c r="N26" s="127">
        <v>2</v>
      </c>
      <c r="O26" s="127">
        <v>2</v>
      </c>
      <c r="P26" s="127">
        <v>2</v>
      </c>
      <c r="Q26" s="127">
        <v>2</v>
      </c>
      <c r="R26" s="127">
        <v>2</v>
      </c>
      <c r="S26" s="128"/>
      <c r="T26" s="501"/>
      <c r="U26" s="272">
        <f>IF($T$2="2018年",'Offer Statistics'!H26,IF($T$2="2019年",'Offer Statistics'!H77,IF($T$2="2020年",'Offer Statistics'!H128)))</f>
        <v>281</v>
      </c>
      <c r="V26" s="284">
        <f>IF($T$2="2018年",'Offer Statistics'!C26,IF($T$2="2019年",'Offer Statistics'!C77,IF($T$2="2020年",'Offer Statistics'!C128)))</f>
        <v>152</v>
      </c>
      <c r="W26" s="284">
        <f>IF($T$2="2018年",'Offer Statistics'!D26,IF($T$2="2019年",'Offer Statistics'!D77,IF($T$2="2020年",'Offer Statistics'!D128)))</f>
        <v>40</v>
      </c>
      <c r="X26" s="284">
        <f>IF($T$2="2018年",'Offer Statistics'!E26,IF($T$2="2019年",'Offer Statistics'!E77,IF($T$2="2020年",'Offer Statistics'!E128)))</f>
        <v>27</v>
      </c>
      <c r="Y26" s="284">
        <f>IF($T$2="2018年",'Offer Statistics'!F26,IF($T$2="2019年",'Offer Statistics'!F77,IF($T$2="2020年",'Offer Statistics'!F128)))</f>
        <v>25</v>
      </c>
      <c r="Z26" s="285">
        <f>IF($T$2="2018年",'Offer Statistics'!G26,IF($T$2="2019年",'Offer Statistics'!G77,IF($T$2="2020年",'Offer Statistics'!G128)))</f>
        <v>37</v>
      </c>
      <c r="AA26" s="501"/>
      <c r="AB26" s="272">
        <f>IF($AA$2="2018年",'Offer Statistics'!P26,IF($AA$2="2019年",'Offer Statistics'!P77,IF($AA$2="2020年",'Offer Statistics'!P128)))</f>
        <v>2950</v>
      </c>
      <c r="AC26" s="284">
        <f>IF($AA$2="2018年",'Offer Statistics'!K26,IF($AA$2="2019年",'Offer Statistics'!K77,IF($AA$2="2020年",'Offer Statistics'!K128)))</f>
        <v>690</v>
      </c>
      <c r="AD26" s="284">
        <f>IF($AA$2="2018年",'Offer Statistics'!L26,IF($AA$2="2019年",'Offer Statistics'!L77,IF($AA$2="2020年",'Offer Statistics'!L128)))</f>
        <v>566</v>
      </c>
      <c r="AE26" s="284">
        <f>IF($AA$2="2018年",'Offer Statistics'!M26,IF($AA$2="2019年",'Offer Statistics'!M77,IF($AA$2="2020年",'Offer Statistics'!M128)))</f>
        <v>448</v>
      </c>
      <c r="AF26" s="284">
        <f>IF($AA$2="2018年",'Offer Statistics'!N26,IF($AA$2="2019年",'Offer Statistics'!N77,IF($AA$2="2020年",'Offer Statistics'!N128)))</f>
        <v>548</v>
      </c>
      <c r="AG26" s="285">
        <f>IF($AA$2="2018年",'Offer Statistics'!O26,IF($AA$2="2019年",'Offer Statistics'!O77,IF($AA$2="2020年",'Offer Statistics'!O128)))</f>
        <v>698</v>
      </c>
      <c r="AH26" s="181"/>
      <c r="AI26" s="338" t="str">
        <f t="shared" si="2"/>
        <v>JS1093</v>
      </c>
      <c r="AJ26" s="175"/>
      <c r="AK26" s="175"/>
      <c r="AL26" s="175"/>
      <c r="AM26" s="175"/>
      <c r="AN26" s="175"/>
      <c r="AO26" s="175"/>
      <c r="AP26" s="175"/>
      <c r="AQ26" s="175"/>
      <c r="AR26" s="175"/>
      <c r="AS26" s="175"/>
      <c r="AT26" s="175"/>
      <c r="AU26" s="175"/>
      <c r="AV26" s="175"/>
      <c r="AW26" s="175"/>
      <c r="AX26" s="175"/>
    </row>
    <row r="27" spans="1:50" s="179" customFormat="1" ht="18" customHeight="1">
      <c r="A27" s="175" t="s">
        <v>694</v>
      </c>
      <c r="B27" s="5" t="s">
        <v>855</v>
      </c>
      <c r="C27" s="186" t="s">
        <v>695</v>
      </c>
      <c r="D27" s="5" t="s">
        <v>1428</v>
      </c>
      <c r="E27" s="377" t="s">
        <v>190</v>
      </c>
      <c r="F27" s="7">
        <v>24</v>
      </c>
      <c r="G27" s="7">
        <v>24</v>
      </c>
      <c r="H27" s="193">
        <f>計分版!D50</f>
        <v>2.8499999999999999E-9</v>
      </c>
      <c r="I27" s="39">
        <f t="shared" si="0"/>
        <v>-23.999999997149999</v>
      </c>
      <c r="J27" s="40">
        <f t="shared" si="1"/>
        <v>-8421052630.5789471</v>
      </c>
      <c r="K27" s="101">
        <v>17</v>
      </c>
      <c r="L27" s="381">
        <f>入學要求!S28</f>
        <v>0</v>
      </c>
      <c r="M27" s="338" t="s">
        <v>792</v>
      </c>
      <c r="N27" s="127">
        <v>3</v>
      </c>
      <c r="O27" s="127">
        <v>3</v>
      </c>
      <c r="P27" s="127">
        <v>2</v>
      </c>
      <c r="Q27" s="127">
        <v>2</v>
      </c>
      <c r="R27" s="127">
        <v>3</v>
      </c>
      <c r="S27" s="127">
        <v>3</v>
      </c>
      <c r="T27" s="501"/>
      <c r="U27" s="272">
        <f>IF($T$2="2018年",'Offer Statistics'!H27,IF($T$2="2019年",'Offer Statistics'!H78,IF($T$2="2020年",'Offer Statistics'!H129)))</f>
        <v>17</v>
      </c>
      <c r="V27" s="284">
        <f>IF($T$2="2018年",'Offer Statistics'!C27,IF($T$2="2019年",'Offer Statistics'!C78,IF($T$2="2020年",'Offer Statistics'!C129)))</f>
        <v>16</v>
      </c>
      <c r="W27" s="284">
        <f>IF($T$2="2018年",'Offer Statistics'!D27,IF($T$2="2019年",'Offer Statistics'!D78,IF($T$2="2020年",'Offer Statistics'!D129)))</f>
        <v>0</v>
      </c>
      <c r="X27" s="284">
        <f>IF($T$2="2018年",'Offer Statistics'!E27,IF($T$2="2019年",'Offer Statistics'!E78,IF($T$2="2020年",'Offer Statistics'!E129)))</f>
        <v>0</v>
      </c>
      <c r="Y27" s="284">
        <f>IF($T$2="2018年",'Offer Statistics'!F27,IF($T$2="2019年",'Offer Statistics'!F78,IF($T$2="2020年",'Offer Statistics'!F129)))</f>
        <v>1</v>
      </c>
      <c r="Z27" s="285">
        <f>IF($T$2="2018年",'Offer Statistics'!G27,IF($T$2="2019年",'Offer Statistics'!G78,IF($T$2="2020年",'Offer Statistics'!G129)))</f>
        <v>0</v>
      </c>
      <c r="AA27" s="501"/>
      <c r="AB27" s="272">
        <f>IF($AA$2="2018年",'Offer Statistics'!P27,IF($AA$2="2019年",'Offer Statistics'!P78,IF($AA$2="2020年",'Offer Statistics'!P129)))</f>
        <v>1706</v>
      </c>
      <c r="AC27" s="284">
        <f>IF($AA$2="2018年",'Offer Statistics'!K27,IF($AA$2="2019年",'Offer Statistics'!K78,IF($AA$2="2020年",'Offer Statistics'!K129)))</f>
        <v>103</v>
      </c>
      <c r="AD27" s="284">
        <f>IF($AA$2="2018年",'Offer Statistics'!L27,IF($AA$2="2019年",'Offer Statistics'!L78,IF($AA$2="2020年",'Offer Statistics'!L129)))</f>
        <v>188</v>
      </c>
      <c r="AE27" s="284">
        <f>IF($AA$2="2018年",'Offer Statistics'!M27,IF($AA$2="2019年",'Offer Statistics'!M78,IF($AA$2="2020年",'Offer Statistics'!M129)))</f>
        <v>392</v>
      </c>
      <c r="AF27" s="284">
        <f>IF($AA$2="2018年",'Offer Statistics'!N27,IF($AA$2="2019年",'Offer Statistics'!N78,IF($AA$2="2020年",'Offer Statistics'!N129)))</f>
        <v>574</v>
      </c>
      <c r="AG27" s="285">
        <f>IF($AA$2="2018年",'Offer Statistics'!O27,IF($AA$2="2019年",'Offer Statistics'!O78,IF($AA$2="2020年",'Offer Statistics'!O129)))</f>
        <v>449</v>
      </c>
      <c r="AH27" s="181"/>
      <c r="AI27" s="338" t="str">
        <f t="shared" si="2"/>
        <v>JS1102</v>
      </c>
      <c r="AJ27" s="175"/>
      <c r="AK27" s="175"/>
      <c r="AL27" s="175"/>
      <c r="AM27" s="175"/>
      <c r="AN27" s="175"/>
      <c r="AO27" s="175"/>
      <c r="AP27" s="175"/>
      <c r="AQ27" s="175"/>
      <c r="AR27" s="175"/>
      <c r="AS27" s="175"/>
      <c r="AT27" s="175"/>
      <c r="AU27" s="175"/>
      <c r="AV27" s="175"/>
      <c r="AW27" s="175"/>
      <c r="AX27" s="175"/>
    </row>
    <row r="28" spans="1:50" s="179" customFormat="1" ht="18" customHeight="1">
      <c r="A28" s="175" t="s">
        <v>697</v>
      </c>
      <c r="B28" s="5" t="s">
        <v>855</v>
      </c>
      <c r="C28" s="186" t="s">
        <v>698</v>
      </c>
      <c r="D28" s="5" t="s">
        <v>1429</v>
      </c>
      <c r="E28" s="437" t="s">
        <v>190</v>
      </c>
      <c r="F28" s="7">
        <v>36.5</v>
      </c>
      <c r="G28" s="7">
        <v>35</v>
      </c>
      <c r="H28" s="193">
        <f>計分版!D51</f>
        <v>3.3500000000000002E-9</v>
      </c>
      <c r="I28" s="39">
        <f>IF(I$1="差距(Median)",H28-F28,IF(I$1="差距(LQ)",H28-G28))</f>
        <v>-36.499999996649997</v>
      </c>
      <c r="J28" s="40">
        <f t="shared" si="1"/>
        <v>-10895522387.0597</v>
      </c>
      <c r="K28" s="101">
        <v>45</v>
      </c>
      <c r="L28" s="381">
        <f>入學要求!S29</f>
        <v>0</v>
      </c>
      <c r="M28" s="338" t="s">
        <v>792</v>
      </c>
      <c r="N28" s="127">
        <v>3</v>
      </c>
      <c r="O28" s="127">
        <v>3</v>
      </c>
      <c r="P28" s="127">
        <v>2</v>
      </c>
      <c r="Q28" s="127">
        <v>2</v>
      </c>
      <c r="R28" s="127">
        <v>3</v>
      </c>
      <c r="S28" s="127">
        <v>3</v>
      </c>
      <c r="T28" s="501"/>
      <c r="U28" s="272">
        <f>IF($T$2="2018年",'Offer Statistics'!H28,IF($T$2="2019年",'Offer Statistics'!H79,IF($T$2="2020年",'Offer Statistics'!H130)))</f>
        <v>43</v>
      </c>
      <c r="V28" s="284">
        <f>IF($T$2="2018年",'Offer Statistics'!C28,IF($T$2="2019年",'Offer Statistics'!C79,IF($T$2="2020年",'Offer Statistics'!C130)))</f>
        <v>32</v>
      </c>
      <c r="W28" s="284">
        <f>IF($T$2="2018年",'Offer Statistics'!D28,IF($T$2="2019年",'Offer Statistics'!D79,IF($T$2="2020年",'Offer Statistics'!D130)))</f>
        <v>6</v>
      </c>
      <c r="X28" s="284">
        <f>IF($T$2="2018年",'Offer Statistics'!E28,IF($T$2="2019年",'Offer Statistics'!E79,IF($T$2="2020年",'Offer Statistics'!E130)))</f>
        <v>3</v>
      </c>
      <c r="Y28" s="284">
        <f>IF($T$2="2018年",'Offer Statistics'!F28,IF($T$2="2019年",'Offer Statistics'!F79,IF($T$2="2020年",'Offer Statistics'!F130)))</f>
        <v>1</v>
      </c>
      <c r="Z28" s="285">
        <f>IF($T$2="2018年",'Offer Statistics'!G28,IF($T$2="2019年",'Offer Statistics'!G79,IF($T$2="2020年",'Offer Statistics'!G130)))</f>
        <v>1</v>
      </c>
      <c r="AA28" s="501"/>
      <c r="AB28" s="272">
        <f>IF($AA$2="2018年",'Offer Statistics'!P28,IF($AA$2="2019年",'Offer Statistics'!P79,IF($AA$2="2020年",'Offer Statistics'!P130)))</f>
        <v>2538</v>
      </c>
      <c r="AC28" s="284">
        <f>IF($AA$2="2018年",'Offer Statistics'!K28,IF($AA$2="2019年",'Offer Statistics'!K79,IF($AA$2="2020年",'Offer Statistics'!K130)))</f>
        <v>397</v>
      </c>
      <c r="AD28" s="284">
        <f>IF($AA$2="2018年",'Offer Statistics'!L28,IF($AA$2="2019年",'Offer Statistics'!L79,IF($AA$2="2020年",'Offer Statistics'!L130)))</f>
        <v>454</v>
      </c>
      <c r="AE28" s="284">
        <f>IF($AA$2="2018年",'Offer Statistics'!M28,IF($AA$2="2019年",'Offer Statistics'!M79,IF($AA$2="2020年",'Offer Statistics'!M130)))</f>
        <v>569</v>
      </c>
      <c r="AF28" s="284">
        <f>IF($AA$2="2018年",'Offer Statistics'!N28,IF($AA$2="2019年",'Offer Statistics'!N79,IF($AA$2="2020年",'Offer Statistics'!N130)))</f>
        <v>640</v>
      </c>
      <c r="AG28" s="285">
        <f>IF($AA$2="2018年",'Offer Statistics'!O28,IF($AA$2="2019年",'Offer Statistics'!O79,IF($AA$2="2020年",'Offer Statistics'!O130)))</f>
        <v>478</v>
      </c>
      <c r="AH28" s="181"/>
      <c r="AI28" s="338" t="str">
        <f t="shared" si="2"/>
        <v>JS1103</v>
      </c>
      <c r="AJ28" s="175"/>
      <c r="AK28" s="175"/>
      <c r="AL28" s="175"/>
      <c r="AM28" s="175"/>
      <c r="AN28" s="175"/>
      <c r="AO28" s="175"/>
      <c r="AP28" s="175"/>
      <c r="AQ28" s="175"/>
      <c r="AR28" s="175"/>
      <c r="AS28" s="175"/>
      <c r="AT28" s="175"/>
      <c r="AU28" s="175"/>
      <c r="AV28" s="175"/>
      <c r="AW28" s="175"/>
      <c r="AX28" s="175"/>
    </row>
    <row r="29" spans="1:50" s="179" customFormat="1" ht="18" customHeight="1">
      <c r="A29" s="175" t="s">
        <v>700</v>
      </c>
      <c r="B29" s="5" t="s">
        <v>855</v>
      </c>
      <c r="C29" s="186" t="s">
        <v>701</v>
      </c>
      <c r="D29" s="5" t="s">
        <v>1430</v>
      </c>
      <c r="E29" s="249" t="s">
        <v>190</v>
      </c>
      <c r="F29" s="7">
        <v>33.5</v>
      </c>
      <c r="G29" s="7">
        <v>33.5</v>
      </c>
      <c r="H29" s="193">
        <f>計分版!D52</f>
        <v>3.3500000000000002E-9</v>
      </c>
      <c r="I29" s="39">
        <f t="shared" si="0"/>
        <v>-33.499999996649997</v>
      </c>
      <c r="J29" s="40">
        <f t="shared" si="1"/>
        <v>-9999999998.9999981</v>
      </c>
      <c r="K29" s="101">
        <v>26</v>
      </c>
      <c r="L29" s="381">
        <f>入學要求!S30</f>
        <v>0</v>
      </c>
      <c r="M29" s="41" t="s">
        <v>2178</v>
      </c>
      <c r="N29" s="127">
        <v>3</v>
      </c>
      <c r="O29" s="127">
        <v>3</v>
      </c>
      <c r="P29" s="127">
        <v>2</v>
      </c>
      <c r="Q29" s="127">
        <v>2</v>
      </c>
      <c r="R29" s="127">
        <v>3</v>
      </c>
      <c r="S29" s="127">
        <v>3</v>
      </c>
      <c r="T29" s="501"/>
      <c r="U29" s="272">
        <f>IF($T$2="2018年",'Offer Statistics'!H29,IF($T$2="2019年",'Offer Statistics'!H80,IF($T$2="2020年",'Offer Statistics'!H131)))</f>
        <v>21</v>
      </c>
      <c r="V29" s="284">
        <f>IF($T$2="2018年",'Offer Statistics'!C29,IF($T$2="2019年",'Offer Statistics'!C80,IF($T$2="2020年",'Offer Statistics'!C131)))</f>
        <v>20</v>
      </c>
      <c r="W29" s="284">
        <f>IF($T$2="2018年",'Offer Statistics'!D29,IF($T$2="2019年",'Offer Statistics'!D80,IF($T$2="2020年",'Offer Statistics'!D131)))</f>
        <v>1</v>
      </c>
      <c r="X29" s="284">
        <f>IF($T$2="2018年",'Offer Statistics'!E29,IF($T$2="2019年",'Offer Statistics'!E80,IF($T$2="2020年",'Offer Statistics'!E131)))</f>
        <v>0</v>
      </c>
      <c r="Y29" s="284">
        <f>IF($T$2="2018年",'Offer Statistics'!F29,IF($T$2="2019年",'Offer Statistics'!F80,IF($T$2="2020年",'Offer Statistics'!F131)))</f>
        <v>0</v>
      </c>
      <c r="Z29" s="285">
        <f>IF($T$2="2018年",'Offer Statistics'!G29,IF($T$2="2019年",'Offer Statistics'!G80,IF($T$2="2020年",'Offer Statistics'!G131)))</f>
        <v>0</v>
      </c>
      <c r="AA29" s="501"/>
      <c r="AB29" s="272">
        <f>IF($AA$2="2018年",'Offer Statistics'!P29,IF($AA$2="2019年",'Offer Statistics'!P80,IF($AA$2="2020年",'Offer Statistics'!P131)))</f>
        <v>1330</v>
      </c>
      <c r="AC29" s="284">
        <f>IF($AA$2="2018年",'Offer Statistics'!K29,IF($AA$2="2019年",'Offer Statistics'!K80,IF($AA$2="2020年",'Offer Statistics'!K131)))</f>
        <v>162</v>
      </c>
      <c r="AD29" s="284">
        <f>IF($AA$2="2018年",'Offer Statistics'!L29,IF($AA$2="2019年",'Offer Statistics'!L80,IF($AA$2="2020年",'Offer Statistics'!L131)))</f>
        <v>218</v>
      </c>
      <c r="AE29" s="284">
        <f>IF($AA$2="2018年",'Offer Statistics'!M29,IF($AA$2="2019年",'Offer Statistics'!M80,IF($AA$2="2020年",'Offer Statistics'!M131)))</f>
        <v>305</v>
      </c>
      <c r="AF29" s="284">
        <f>IF($AA$2="2018年",'Offer Statistics'!N29,IF($AA$2="2019年",'Offer Statistics'!N80,IF($AA$2="2020年",'Offer Statistics'!N131)))</f>
        <v>382</v>
      </c>
      <c r="AG29" s="285">
        <f>IF($AA$2="2018年",'Offer Statistics'!O29,IF($AA$2="2019年",'Offer Statistics'!O80,IF($AA$2="2020年",'Offer Statistics'!O131)))</f>
        <v>263</v>
      </c>
      <c r="AH29" s="181"/>
      <c r="AI29" s="338" t="str">
        <f t="shared" si="2"/>
        <v>JS1104</v>
      </c>
      <c r="AJ29" s="175"/>
      <c r="AK29" s="175"/>
      <c r="AL29" s="175"/>
      <c r="AM29" s="175"/>
      <c r="AN29" s="175"/>
      <c r="AO29" s="175"/>
      <c r="AP29" s="175"/>
      <c r="AQ29" s="175"/>
      <c r="AR29" s="175"/>
      <c r="AS29" s="175"/>
      <c r="AT29" s="175"/>
      <c r="AU29" s="175"/>
      <c r="AV29" s="175"/>
      <c r="AW29" s="175"/>
      <c r="AX29" s="175"/>
    </row>
    <row r="30" spans="1:50" s="179" customFormat="1" ht="18" customHeight="1">
      <c r="A30" s="175" t="s">
        <v>703</v>
      </c>
      <c r="B30" s="5" t="s">
        <v>855</v>
      </c>
      <c r="C30" s="186" t="s">
        <v>704</v>
      </c>
      <c r="D30" s="5" t="s">
        <v>1431</v>
      </c>
      <c r="E30" s="437" t="s">
        <v>190</v>
      </c>
      <c r="F30" s="7">
        <v>30</v>
      </c>
      <c r="G30" s="7">
        <v>28.5</v>
      </c>
      <c r="H30" s="193">
        <f>計分版!D53</f>
        <v>3.0999999999999996E-9</v>
      </c>
      <c r="I30" s="39">
        <f t="shared" si="0"/>
        <v>-29.999999996900002</v>
      </c>
      <c r="J30" s="40">
        <f t="shared" si="1"/>
        <v>-9677419353.8387108</v>
      </c>
      <c r="K30" s="101">
        <v>39</v>
      </c>
      <c r="L30" s="381">
        <f>入學要求!S31</f>
        <v>0</v>
      </c>
      <c r="M30" s="366" t="s">
        <v>2180</v>
      </c>
      <c r="N30" s="127">
        <v>3</v>
      </c>
      <c r="O30" s="127">
        <v>3</v>
      </c>
      <c r="P30" s="127">
        <v>2</v>
      </c>
      <c r="Q30" s="127">
        <v>2</v>
      </c>
      <c r="R30" s="127">
        <v>3</v>
      </c>
      <c r="S30" s="127">
        <v>3</v>
      </c>
      <c r="T30" s="501"/>
      <c r="U30" s="272">
        <f>IF($T$2="2018年",'Offer Statistics'!H30,IF($T$2="2019年",'Offer Statistics'!H81,IF($T$2="2020年",'Offer Statistics'!H132)))</f>
        <v>37</v>
      </c>
      <c r="V30" s="284">
        <f>IF($T$2="2018年",'Offer Statistics'!C30,IF($T$2="2019年",'Offer Statistics'!C81,IF($T$2="2020年",'Offer Statistics'!C132)))</f>
        <v>28</v>
      </c>
      <c r="W30" s="284">
        <f>IF($T$2="2018年",'Offer Statistics'!D30,IF($T$2="2019年",'Offer Statistics'!D81,IF($T$2="2020年",'Offer Statistics'!D132)))</f>
        <v>1</v>
      </c>
      <c r="X30" s="284">
        <f>IF($T$2="2018年",'Offer Statistics'!E30,IF($T$2="2019年",'Offer Statistics'!E81,IF($T$2="2020年",'Offer Statistics'!E132)))</f>
        <v>2</v>
      </c>
      <c r="Y30" s="284">
        <f>IF($T$2="2018年",'Offer Statistics'!F30,IF($T$2="2019年",'Offer Statistics'!F81,IF($T$2="2020年",'Offer Statistics'!F132)))</f>
        <v>4</v>
      </c>
      <c r="Z30" s="285">
        <f>IF($T$2="2018年",'Offer Statistics'!G30,IF($T$2="2019年",'Offer Statistics'!G81,IF($T$2="2020年",'Offer Statistics'!G132)))</f>
        <v>2</v>
      </c>
      <c r="AA30" s="501"/>
      <c r="AB30" s="272">
        <f>IF($AA$2="2018年",'Offer Statistics'!P30,IF($AA$2="2019年",'Offer Statistics'!P81,IF($AA$2="2020年",'Offer Statistics'!P132)))</f>
        <v>1942</v>
      </c>
      <c r="AC30" s="284">
        <f>IF($AA$2="2018年",'Offer Statistics'!K30,IF($AA$2="2019年",'Offer Statistics'!K81,IF($AA$2="2020年",'Offer Statistics'!K132)))</f>
        <v>172</v>
      </c>
      <c r="AD30" s="284">
        <f>IF($AA$2="2018年",'Offer Statistics'!L30,IF($AA$2="2019年",'Offer Statistics'!L81,IF($AA$2="2020年",'Offer Statistics'!L132)))</f>
        <v>296</v>
      </c>
      <c r="AE30" s="284">
        <f>IF($AA$2="2018年",'Offer Statistics'!M30,IF($AA$2="2019年",'Offer Statistics'!M81,IF($AA$2="2020年",'Offer Statistics'!M132)))</f>
        <v>440</v>
      </c>
      <c r="AF30" s="284">
        <f>IF($AA$2="2018年",'Offer Statistics'!N30,IF($AA$2="2019年",'Offer Statistics'!N81,IF($AA$2="2020年",'Offer Statistics'!N132)))</f>
        <v>581</v>
      </c>
      <c r="AG30" s="285">
        <f>IF($AA$2="2018年",'Offer Statistics'!O30,IF($AA$2="2019年",'Offer Statistics'!O81,IF($AA$2="2020年",'Offer Statistics'!O132)))</f>
        <v>453</v>
      </c>
      <c r="AH30" s="181"/>
      <c r="AI30" s="338" t="str">
        <f t="shared" si="2"/>
        <v>JS1105</v>
      </c>
      <c r="AJ30" s="175"/>
      <c r="AK30" s="175"/>
      <c r="AL30" s="175"/>
      <c r="AM30" s="175"/>
      <c r="AN30" s="175"/>
      <c r="AO30" s="175"/>
      <c r="AP30" s="175"/>
      <c r="AQ30" s="175"/>
      <c r="AR30" s="175"/>
      <c r="AS30" s="175"/>
      <c r="AT30" s="175"/>
      <c r="AU30" s="175"/>
      <c r="AV30" s="175"/>
      <c r="AW30" s="175"/>
      <c r="AX30" s="175"/>
    </row>
    <row r="31" spans="1:50" s="179" customFormat="1" ht="18" customHeight="1">
      <c r="A31" s="175" t="s">
        <v>706</v>
      </c>
      <c r="B31" s="5" t="s">
        <v>855</v>
      </c>
      <c r="C31" s="186" t="s">
        <v>707</v>
      </c>
      <c r="D31" s="5" t="s">
        <v>1432</v>
      </c>
      <c r="E31" s="249" t="s">
        <v>190</v>
      </c>
      <c r="F31" s="7">
        <v>23</v>
      </c>
      <c r="G31" s="7">
        <v>22.25</v>
      </c>
      <c r="H31" s="193">
        <f>計分版!D54</f>
        <v>3.9500000000000006E-9</v>
      </c>
      <c r="I31" s="39">
        <f t="shared" si="0"/>
        <v>-22.999999996050001</v>
      </c>
      <c r="J31" s="40">
        <f t="shared" si="1"/>
        <v>-5822784809.1265812</v>
      </c>
      <c r="K31" s="101">
        <v>49</v>
      </c>
      <c r="L31" s="381">
        <f>入學要求!S32</f>
        <v>0</v>
      </c>
      <c r="M31" s="82" t="s">
        <v>792</v>
      </c>
      <c r="N31" s="127">
        <v>3</v>
      </c>
      <c r="O31" s="127">
        <v>3</v>
      </c>
      <c r="P31" s="127">
        <v>2</v>
      </c>
      <c r="Q31" s="127">
        <v>2</v>
      </c>
      <c r="R31" s="127">
        <v>3</v>
      </c>
      <c r="S31" s="127">
        <v>3</v>
      </c>
      <c r="T31" s="501"/>
      <c r="U31" s="272">
        <f>IF($T$2="2018年",'Offer Statistics'!H31,IF($T$2="2019年",'Offer Statistics'!H82,IF($T$2="2020年",'Offer Statistics'!H133)))</f>
        <v>43</v>
      </c>
      <c r="V31" s="284">
        <f>IF($T$2="2018年",'Offer Statistics'!C31,IF($T$2="2019年",'Offer Statistics'!C82,IF($T$2="2020年",'Offer Statistics'!C133)))</f>
        <v>40</v>
      </c>
      <c r="W31" s="284">
        <f>IF($T$2="2018年",'Offer Statistics'!D31,IF($T$2="2019年",'Offer Statistics'!D82,IF($T$2="2020年",'Offer Statistics'!D133)))</f>
        <v>1</v>
      </c>
      <c r="X31" s="284">
        <f>IF($T$2="2018年",'Offer Statistics'!E31,IF($T$2="2019年",'Offer Statistics'!E82,IF($T$2="2020年",'Offer Statistics'!E133)))</f>
        <v>0</v>
      </c>
      <c r="Y31" s="284">
        <f>IF($T$2="2018年",'Offer Statistics'!F31,IF($T$2="2019年",'Offer Statistics'!F82,IF($T$2="2020年",'Offer Statistics'!F133)))</f>
        <v>2</v>
      </c>
      <c r="Z31" s="285">
        <f>IF($T$2="2018年",'Offer Statistics'!G31,IF($T$2="2019年",'Offer Statistics'!G82,IF($T$2="2020年",'Offer Statistics'!G133)))</f>
        <v>0</v>
      </c>
      <c r="AA31" s="501"/>
      <c r="AB31" s="272">
        <f>IF($AA$2="2018年",'Offer Statistics'!P31,IF($AA$2="2019年",'Offer Statistics'!P82,IF($AA$2="2020年",'Offer Statistics'!P133)))</f>
        <v>4576</v>
      </c>
      <c r="AC31" s="284">
        <f>IF($AA$2="2018年",'Offer Statistics'!K31,IF($AA$2="2019年",'Offer Statistics'!K82,IF($AA$2="2020年",'Offer Statistics'!K133)))</f>
        <v>700</v>
      </c>
      <c r="AD31" s="284">
        <f>IF($AA$2="2018年",'Offer Statistics'!L31,IF($AA$2="2019年",'Offer Statistics'!L82,IF($AA$2="2020年",'Offer Statistics'!L133)))</f>
        <v>685</v>
      </c>
      <c r="AE31" s="284">
        <f>IF($AA$2="2018年",'Offer Statistics'!M31,IF($AA$2="2019年",'Offer Statistics'!M82,IF($AA$2="2020年",'Offer Statistics'!M133)))</f>
        <v>1037</v>
      </c>
      <c r="AF31" s="284">
        <f>IF($AA$2="2018年",'Offer Statistics'!N31,IF($AA$2="2019年",'Offer Statistics'!N82,IF($AA$2="2020年",'Offer Statistics'!N133)))</f>
        <v>1219</v>
      </c>
      <c r="AG31" s="285">
        <f>IF($AA$2="2018年",'Offer Statistics'!O31,IF($AA$2="2019年",'Offer Statistics'!O82,IF($AA$2="2020年",'Offer Statistics'!O133)))</f>
        <v>935</v>
      </c>
      <c r="AH31" s="181"/>
      <c r="AI31" s="338" t="str">
        <f t="shared" si="2"/>
        <v>JS1106</v>
      </c>
      <c r="AJ31" s="175"/>
      <c r="AK31" s="175"/>
      <c r="AL31" s="175"/>
      <c r="AM31" s="175"/>
      <c r="AN31" s="175"/>
      <c r="AO31" s="175"/>
      <c r="AP31" s="175"/>
      <c r="AQ31" s="175"/>
      <c r="AR31" s="175"/>
      <c r="AS31" s="175"/>
      <c r="AT31" s="175"/>
      <c r="AU31" s="175"/>
      <c r="AV31" s="175"/>
      <c r="AW31" s="175"/>
      <c r="AX31" s="175"/>
    </row>
    <row r="32" spans="1:50" s="179" customFormat="1" ht="18" customHeight="1">
      <c r="A32" s="175" t="s">
        <v>709</v>
      </c>
      <c r="B32" s="5" t="s">
        <v>855</v>
      </c>
      <c r="C32" s="186" t="s">
        <v>710</v>
      </c>
      <c r="D32" s="5" t="s">
        <v>1433</v>
      </c>
      <c r="E32" s="249" t="s">
        <v>190</v>
      </c>
      <c r="F32" s="7">
        <v>30</v>
      </c>
      <c r="G32" s="7">
        <v>29</v>
      </c>
      <c r="H32" s="193">
        <f>計分版!D55</f>
        <v>3.2500000000000002E-9</v>
      </c>
      <c r="I32" s="39">
        <f t="shared" si="0"/>
        <v>-29.999999996749999</v>
      </c>
      <c r="J32" s="40">
        <f t="shared" si="1"/>
        <v>-9230769229.7692299</v>
      </c>
      <c r="K32" s="101">
        <v>72</v>
      </c>
      <c r="L32" s="381">
        <f>入學要求!S33</f>
        <v>0</v>
      </c>
      <c r="M32" s="338" t="s">
        <v>792</v>
      </c>
      <c r="N32" s="127">
        <v>3</v>
      </c>
      <c r="O32" s="127">
        <v>3</v>
      </c>
      <c r="P32" s="127">
        <v>2</v>
      </c>
      <c r="Q32" s="127">
        <v>2</v>
      </c>
      <c r="R32" s="127">
        <v>3</v>
      </c>
      <c r="S32" s="127">
        <v>3</v>
      </c>
      <c r="T32" s="501"/>
      <c r="U32" s="272">
        <f>IF($T$2="2018年",'Offer Statistics'!H32,IF($T$2="2019年",'Offer Statistics'!H83,IF($T$2="2020年",'Offer Statistics'!H134)))</f>
        <v>65</v>
      </c>
      <c r="V32" s="284">
        <f>IF($T$2="2018年",'Offer Statistics'!C32,IF($T$2="2019年",'Offer Statistics'!C83,IF($T$2="2020年",'Offer Statistics'!C134)))</f>
        <v>58</v>
      </c>
      <c r="W32" s="284">
        <f>IF($T$2="2018年",'Offer Statistics'!D32,IF($T$2="2019年",'Offer Statistics'!D83,IF($T$2="2020年",'Offer Statistics'!D134)))</f>
        <v>7</v>
      </c>
      <c r="X32" s="284">
        <f>IF($T$2="2018年",'Offer Statistics'!E32,IF($T$2="2019年",'Offer Statistics'!E83,IF($T$2="2020年",'Offer Statistics'!E134)))</f>
        <v>0</v>
      </c>
      <c r="Y32" s="284">
        <f>IF($T$2="2018年",'Offer Statistics'!F32,IF($T$2="2019年",'Offer Statistics'!F83,IF($T$2="2020年",'Offer Statistics'!F134)))</f>
        <v>0</v>
      </c>
      <c r="Z32" s="285">
        <f>IF($T$2="2018年",'Offer Statistics'!G32,IF($T$2="2019年",'Offer Statistics'!G83,IF($T$2="2020年",'Offer Statistics'!G134)))</f>
        <v>0</v>
      </c>
      <c r="AA32" s="501"/>
      <c r="AB32" s="272">
        <f>IF($AA$2="2018年",'Offer Statistics'!P32,IF($AA$2="2019年",'Offer Statistics'!P83,IF($AA$2="2020年",'Offer Statistics'!P134)))</f>
        <v>2162</v>
      </c>
      <c r="AC32" s="284">
        <f>IF($AA$2="2018年",'Offer Statistics'!K32,IF($AA$2="2019年",'Offer Statistics'!K83,IF($AA$2="2020年",'Offer Statistics'!K134)))</f>
        <v>258</v>
      </c>
      <c r="AD32" s="284">
        <f>IF($AA$2="2018年",'Offer Statistics'!L32,IF($AA$2="2019年",'Offer Statistics'!L83,IF($AA$2="2020年",'Offer Statistics'!L134)))</f>
        <v>328</v>
      </c>
      <c r="AE32" s="284">
        <f>IF($AA$2="2018年",'Offer Statistics'!M32,IF($AA$2="2019年",'Offer Statistics'!M83,IF($AA$2="2020年",'Offer Statistics'!M134)))</f>
        <v>479</v>
      </c>
      <c r="AF32" s="284">
        <f>IF($AA$2="2018年",'Offer Statistics'!N32,IF($AA$2="2019年",'Offer Statistics'!N83,IF($AA$2="2020年",'Offer Statistics'!N134)))</f>
        <v>617</v>
      </c>
      <c r="AG32" s="285">
        <f>IF($AA$2="2018年",'Offer Statistics'!O32,IF($AA$2="2019年",'Offer Statistics'!O83,IF($AA$2="2020年",'Offer Statistics'!O134)))</f>
        <v>480</v>
      </c>
      <c r="AH32" s="181"/>
      <c r="AI32" s="338" t="str">
        <f t="shared" si="2"/>
        <v>JS1108</v>
      </c>
      <c r="AJ32" s="175"/>
      <c r="AK32" s="175"/>
      <c r="AL32" s="175"/>
      <c r="AM32" s="175"/>
      <c r="AN32" s="175"/>
      <c r="AO32" s="175"/>
      <c r="AP32" s="175"/>
      <c r="AQ32" s="175"/>
      <c r="AR32" s="175"/>
      <c r="AS32" s="175"/>
      <c r="AT32" s="175"/>
      <c r="AU32" s="175"/>
      <c r="AV32" s="175"/>
      <c r="AW32" s="175"/>
      <c r="AX32" s="175"/>
    </row>
    <row r="33" spans="1:50" s="179" customFormat="1" ht="18" customHeight="1">
      <c r="A33" s="175" t="s">
        <v>712</v>
      </c>
      <c r="B33" s="5" t="s">
        <v>855</v>
      </c>
      <c r="C33" s="186" t="s">
        <v>713</v>
      </c>
      <c r="D33" s="5" t="s">
        <v>1434</v>
      </c>
      <c r="E33" s="437" t="s">
        <v>190</v>
      </c>
      <c r="F33" s="7">
        <v>30</v>
      </c>
      <c r="G33" s="7">
        <v>30</v>
      </c>
      <c r="H33" s="193">
        <f>計分版!D56</f>
        <v>3.05E-9</v>
      </c>
      <c r="I33" s="39">
        <f t="shared" si="0"/>
        <v>-29.999999996949999</v>
      </c>
      <c r="J33" s="40">
        <f t="shared" si="1"/>
        <v>-9836065572.7704906</v>
      </c>
      <c r="K33" s="101">
        <v>18</v>
      </c>
      <c r="L33" s="381">
        <f>入學要求!S34</f>
        <v>0</v>
      </c>
      <c r="M33" s="503" t="s">
        <v>792</v>
      </c>
      <c r="N33" s="127">
        <v>3</v>
      </c>
      <c r="O33" s="127">
        <v>3</v>
      </c>
      <c r="P33" s="127">
        <v>2</v>
      </c>
      <c r="Q33" s="127">
        <v>2</v>
      </c>
      <c r="R33" s="127">
        <v>3</v>
      </c>
      <c r="S33" s="127">
        <v>3</v>
      </c>
      <c r="T33" s="501"/>
      <c r="U33" s="272">
        <f>IF($T$2="2018年",'Offer Statistics'!H33,IF($T$2="2019年",'Offer Statistics'!H84,IF($T$2="2020年",'Offer Statistics'!H135)))</f>
        <v>20</v>
      </c>
      <c r="V33" s="284">
        <f>IF($T$2="2018年",'Offer Statistics'!C33,IF($T$2="2019年",'Offer Statistics'!C84,IF($T$2="2020年",'Offer Statistics'!C135)))</f>
        <v>18</v>
      </c>
      <c r="W33" s="284">
        <f>IF($T$2="2018年",'Offer Statistics'!D33,IF($T$2="2019年",'Offer Statistics'!D84,IF($T$2="2020年",'Offer Statistics'!D135)))</f>
        <v>2</v>
      </c>
      <c r="X33" s="284">
        <f>IF($T$2="2018年",'Offer Statistics'!E33,IF($T$2="2019年",'Offer Statistics'!E84,IF($T$2="2020年",'Offer Statistics'!E135)))</f>
        <v>0</v>
      </c>
      <c r="Y33" s="284">
        <f>IF($T$2="2018年",'Offer Statistics'!F33,IF($T$2="2019年",'Offer Statistics'!F84,IF($T$2="2020年",'Offer Statistics'!F135)))</f>
        <v>0</v>
      </c>
      <c r="Z33" s="285">
        <f>IF($T$2="2018年",'Offer Statistics'!G33,IF($T$2="2019年",'Offer Statistics'!G84,IF($T$2="2020年",'Offer Statistics'!G135)))</f>
        <v>0</v>
      </c>
      <c r="AA33" s="501"/>
      <c r="AB33" s="272">
        <f>IF($AA$2="2018年",'Offer Statistics'!P33,IF($AA$2="2019年",'Offer Statistics'!P84,IF($AA$2="2020年",'Offer Statistics'!P135)))</f>
        <v>4601</v>
      </c>
      <c r="AC33" s="284">
        <f>IF($AA$2="2018年",'Offer Statistics'!K33,IF($AA$2="2019年",'Offer Statistics'!K84,IF($AA$2="2020年",'Offer Statistics'!K135)))</f>
        <v>462</v>
      </c>
      <c r="AD33" s="284">
        <f>IF($AA$2="2018年",'Offer Statistics'!L33,IF($AA$2="2019年",'Offer Statistics'!L84,IF($AA$2="2020年",'Offer Statistics'!L135)))</f>
        <v>646</v>
      </c>
      <c r="AE33" s="284">
        <f>IF($AA$2="2018年",'Offer Statistics'!M33,IF($AA$2="2019年",'Offer Statistics'!M84,IF($AA$2="2020年",'Offer Statistics'!M135)))</f>
        <v>1034</v>
      </c>
      <c r="AF33" s="284">
        <f>IF($AA$2="2018年",'Offer Statistics'!N33,IF($AA$2="2019年",'Offer Statistics'!N84,IF($AA$2="2020年",'Offer Statistics'!N135)))</f>
        <v>1414</v>
      </c>
      <c r="AG33" s="285">
        <f>IF($AA$2="2018年",'Offer Statistics'!O33,IF($AA$2="2019年",'Offer Statistics'!O84,IF($AA$2="2020年",'Offer Statistics'!O135)))</f>
        <v>1045</v>
      </c>
      <c r="AH33" s="181"/>
      <c r="AI33" s="338" t="str">
        <f t="shared" si="2"/>
        <v>JS1110</v>
      </c>
      <c r="AJ33" s="175"/>
      <c r="AK33" s="175"/>
      <c r="AL33" s="175"/>
      <c r="AM33" s="175"/>
      <c r="AN33" s="175"/>
      <c r="AO33" s="175"/>
      <c r="AP33" s="175"/>
      <c r="AQ33" s="175"/>
      <c r="AR33" s="175"/>
      <c r="AS33" s="175"/>
      <c r="AT33" s="175"/>
      <c r="AU33" s="175"/>
      <c r="AV33" s="175"/>
      <c r="AW33" s="175"/>
      <c r="AX33" s="175"/>
    </row>
    <row r="34" spans="1:50" s="179" customFormat="1" ht="18" customHeight="1">
      <c r="A34" s="175" t="s">
        <v>715</v>
      </c>
      <c r="B34" s="5" t="s">
        <v>855</v>
      </c>
      <c r="C34" s="186" t="s">
        <v>716</v>
      </c>
      <c r="D34" s="5" t="s">
        <v>1435</v>
      </c>
      <c r="E34" s="437" t="s">
        <v>190</v>
      </c>
      <c r="F34" s="7">
        <v>28</v>
      </c>
      <c r="G34" s="7">
        <v>28</v>
      </c>
      <c r="H34" s="193">
        <f>計分版!D57</f>
        <v>3.05E-9</v>
      </c>
      <c r="I34" s="39">
        <f t="shared" ref="I34:I36" si="5">IF(I$1="差距(Median)",H34-F34,IF(I$1="差距(LQ)",H34-G34))</f>
        <v>-27.999999996949999</v>
      </c>
      <c r="J34" s="40">
        <f t="shared" ref="J34:J36" si="6">IF(I$1="差距(Median)",(H34-F34)/H34,IF(I$1="差距(LQ)",(H34-G34)/H34))</f>
        <v>-9180327867.852459</v>
      </c>
      <c r="K34" s="101">
        <v>24</v>
      </c>
      <c r="L34" s="381">
        <f>入學要求!S35</f>
        <v>0</v>
      </c>
      <c r="M34" s="503"/>
      <c r="N34" s="127">
        <v>3</v>
      </c>
      <c r="O34" s="127">
        <v>3</v>
      </c>
      <c r="P34" s="127">
        <v>2</v>
      </c>
      <c r="Q34" s="127">
        <v>2</v>
      </c>
      <c r="R34" s="127">
        <v>3</v>
      </c>
      <c r="S34" s="127">
        <v>3</v>
      </c>
      <c r="T34" s="501"/>
      <c r="U34" s="272">
        <f>IF($T$2="2018年",'Offer Statistics'!H34,IF($T$2="2019年",'Offer Statistics'!H85,IF($T$2="2020年",'Offer Statistics'!H136)))</f>
        <v>25</v>
      </c>
      <c r="V34" s="284">
        <f>IF($T$2="2018年",'Offer Statistics'!C34,IF($T$2="2019年",'Offer Statistics'!C85,IF($T$2="2020年",'Offer Statistics'!C136)))</f>
        <v>20</v>
      </c>
      <c r="W34" s="284">
        <f>IF($T$2="2018年",'Offer Statistics'!D34,IF($T$2="2019年",'Offer Statistics'!D85,IF($T$2="2020年",'Offer Statistics'!D136)))</f>
        <v>2</v>
      </c>
      <c r="X34" s="284">
        <f>IF($T$2="2018年",'Offer Statistics'!E34,IF($T$2="2019年",'Offer Statistics'!E85,IF($T$2="2020年",'Offer Statistics'!E136)))</f>
        <v>2</v>
      </c>
      <c r="Y34" s="284">
        <f>IF($T$2="2018年",'Offer Statistics'!F34,IF($T$2="2019年",'Offer Statistics'!F85,IF($T$2="2020年",'Offer Statistics'!F136)))</f>
        <v>0</v>
      </c>
      <c r="Z34" s="285">
        <f>IF($T$2="2018年",'Offer Statistics'!G34,IF($T$2="2019年",'Offer Statistics'!G85,IF($T$2="2020年",'Offer Statistics'!G136)))</f>
        <v>1</v>
      </c>
      <c r="AA34" s="501"/>
      <c r="AB34" s="272">
        <f>IF($AA$2="2018年",'Offer Statistics'!P34,IF($AA$2="2019年",'Offer Statistics'!P85,IF($AA$2="2020年",'Offer Statistics'!P136)))</f>
        <v>3698</v>
      </c>
      <c r="AC34" s="284">
        <f>IF($AA$2="2018年",'Offer Statistics'!K34,IF($AA$2="2019年",'Offer Statistics'!K85,IF($AA$2="2020年",'Offer Statistics'!K136)))</f>
        <v>314</v>
      </c>
      <c r="AD34" s="284">
        <f>IF($AA$2="2018年",'Offer Statistics'!L34,IF($AA$2="2019年",'Offer Statistics'!L85,IF($AA$2="2020年",'Offer Statistics'!L136)))</f>
        <v>456</v>
      </c>
      <c r="AE34" s="284">
        <f>IF($AA$2="2018年",'Offer Statistics'!M34,IF($AA$2="2019年",'Offer Statistics'!M85,IF($AA$2="2020年",'Offer Statistics'!M136)))</f>
        <v>892</v>
      </c>
      <c r="AF34" s="284">
        <f>IF($AA$2="2018年",'Offer Statistics'!N34,IF($AA$2="2019年",'Offer Statistics'!N85,IF($AA$2="2020年",'Offer Statistics'!N136)))</f>
        <v>1169</v>
      </c>
      <c r="AG34" s="285">
        <f>IF($AA$2="2018年",'Offer Statistics'!O34,IF($AA$2="2019年",'Offer Statistics'!O85,IF($AA$2="2020年",'Offer Statistics'!O136)))</f>
        <v>867</v>
      </c>
      <c r="AH34" s="181"/>
      <c r="AI34" s="338" t="str">
        <f t="shared" si="2"/>
        <v>JS1111</v>
      </c>
      <c r="AJ34" s="175"/>
      <c r="AK34" s="175"/>
      <c r="AL34" s="175"/>
      <c r="AM34" s="175"/>
      <c r="AN34" s="175"/>
      <c r="AO34" s="175"/>
      <c r="AP34" s="175"/>
      <c r="AQ34" s="175"/>
      <c r="AR34" s="175"/>
      <c r="AS34" s="175"/>
      <c r="AT34" s="175"/>
      <c r="AU34" s="175"/>
      <c r="AV34" s="175"/>
      <c r="AW34" s="175"/>
      <c r="AX34" s="175"/>
    </row>
    <row r="35" spans="1:50" s="179" customFormat="1" ht="18" customHeight="1">
      <c r="A35" s="175" t="s">
        <v>718</v>
      </c>
      <c r="B35" s="5" t="s">
        <v>855</v>
      </c>
      <c r="C35" s="186" t="s">
        <v>719</v>
      </c>
      <c r="D35" s="5" t="s">
        <v>1436</v>
      </c>
      <c r="E35" s="437" t="s">
        <v>190</v>
      </c>
      <c r="F35" s="7">
        <v>29</v>
      </c>
      <c r="G35" s="7">
        <v>29</v>
      </c>
      <c r="H35" s="193">
        <f>計分版!D58</f>
        <v>3.05E-9</v>
      </c>
      <c r="I35" s="39">
        <f t="shared" si="5"/>
        <v>-28.999999996949999</v>
      </c>
      <c r="J35" s="40">
        <f t="shared" si="6"/>
        <v>-9508196720.3114758</v>
      </c>
      <c r="K35" s="101">
        <v>17</v>
      </c>
      <c r="L35" s="381">
        <f>入學要求!S36</f>
        <v>0</v>
      </c>
      <c r="M35" s="503"/>
      <c r="N35" s="127">
        <v>3</v>
      </c>
      <c r="O35" s="127">
        <v>3</v>
      </c>
      <c r="P35" s="127">
        <v>2</v>
      </c>
      <c r="Q35" s="127">
        <v>2</v>
      </c>
      <c r="R35" s="127">
        <v>3</v>
      </c>
      <c r="S35" s="127">
        <v>3</v>
      </c>
      <c r="T35" s="501"/>
      <c r="U35" s="272">
        <f>IF($T$2="2018年",'Offer Statistics'!H35,IF($T$2="2019年",'Offer Statistics'!H86,IF($T$2="2020年",'Offer Statistics'!H137)))</f>
        <v>18</v>
      </c>
      <c r="V35" s="284">
        <f>IF($T$2="2018年",'Offer Statistics'!C35,IF($T$2="2019年",'Offer Statistics'!C86,IF($T$2="2020年",'Offer Statistics'!C137)))</f>
        <v>18</v>
      </c>
      <c r="W35" s="284">
        <f>IF($T$2="2018年",'Offer Statistics'!D35,IF($T$2="2019年",'Offer Statistics'!D86,IF($T$2="2020年",'Offer Statistics'!D137)))</f>
        <v>0</v>
      </c>
      <c r="X35" s="284">
        <f>IF($T$2="2018年",'Offer Statistics'!E35,IF($T$2="2019年",'Offer Statistics'!E86,IF($T$2="2020年",'Offer Statistics'!E137)))</f>
        <v>0</v>
      </c>
      <c r="Y35" s="284">
        <f>IF($T$2="2018年",'Offer Statistics'!F35,IF($T$2="2019年",'Offer Statistics'!F86,IF($T$2="2020年",'Offer Statistics'!F137)))</f>
        <v>0</v>
      </c>
      <c r="Z35" s="285">
        <f>IF($T$2="2018年",'Offer Statistics'!G35,IF($T$2="2019年",'Offer Statistics'!G86,IF($T$2="2020年",'Offer Statistics'!G137)))</f>
        <v>0</v>
      </c>
      <c r="AA35" s="501"/>
      <c r="AB35" s="272">
        <f>IF($AA$2="2018年",'Offer Statistics'!P35,IF($AA$2="2019年",'Offer Statistics'!P86,IF($AA$2="2020年",'Offer Statistics'!P137)))</f>
        <v>4334</v>
      </c>
      <c r="AC35" s="284">
        <f>IF($AA$2="2018年",'Offer Statistics'!K35,IF($AA$2="2019年",'Offer Statistics'!K86,IF($AA$2="2020年",'Offer Statistics'!K137)))</f>
        <v>359</v>
      </c>
      <c r="AD35" s="284">
        <f>IF($AA$2="2018年",'Offer Statistics'!L35,IF($AA$2="2019年",'Offer Statistics'!L86,IF($AA$2="2020年",'Offer Statistics'!L137)))</f>
        <v>526</v>
      </c>
      <c r="AE35" s="284">
        <f>IF($AA$2="2018年",'Offer Statistics'!M35,IF($AA$2="2019年",'Offer Statistics'!M86,IF($AA$2="2020年",'Offer Statistics'!M137)))</f>
        <v>1011</v>
      </c>
      <c r="AF35" s="284">
        <f>IF($AA$2="2018年",'Offer Statistics'!N35,IF($AA$2="2019年",'Offer Statistics'!N86,IF($AA$2="2020年",'Offer Statistics'!N137)))</f>
        <v>1336</v>
      </c>
      <c r="AG35" s="285">
        <f>IF($AA$2="2018年",'Offer Statistics'!O35,IF($AA$2="2019年",'Offer Statistics'!O86,IF($AA$2="2020年",'Offer Statistics'!O137)))</f>
        <v>1102</v>
      </c>
      <c r="AH35" s="181"/>
      <c r="AI35" s="338" t="str">
        <f t="shared" si="2"/>
        <v>JS1112</v>
      </c>
      <c r="AJ35" s="175"/>
      <c r="AK35" s="175"/>
      <c r="AL35" s="175"/>
      <c r="AM35" s="175"/>
      <c r="AN35" s="175"/>
      <c r="AO35" s="175"/>
      <c r="AP35" s="175"/>
      <c r="AQ35" s="175"/>
      <c r="AR35" s="175"/>
      <c r="AS35" s="175"/>
      <c r="AT35" s="175"/>
      <c r="AU35" s="175"/>
      <c r="AV35" s="175"/>
      <c r="AW35" s="175"/>
      <c r="AX35" s="175"/>
    </row>
    <row r="36" spans="1:50" s="179" customFormat="1" ht="18" customHeight="1">
      <c r="A36" s="175" t="s">
        <v>721</v>
      </c>
      <c r="B36" s="5" t="s">
        <v>855</v>
      </c>
      <c r="C36" s="186" t="s">
        <v>2187</v>
      </c>
      <c r="D36" s="5" t="s">
        <v>1437</v>
      </c>
      <c r="E36" s="437" t="s">
        <v>190</v>
      </c>
      <c r="F36" s="7">
        <v>28</v>
      </c>
      <c r="G36" s="7">
        <v>28</v>
      </c>
      <c r="H36" s="193">
        <f>計分版!D59</f>
        <v>3.05E-9</v>
      </c>
      <c r="I36" s="39">
        <f t="shared" si="5"/>
        <v>-27.999999996949999</v>
      </c>
      <c r="J36" s="40">
        <f t="shared" si="6"/>
        <v>-9180327867.852459</v>
      </c>
      <c r="K36" s="101">
        <v>42</v>
      </c>
      <c r="L36" s="381">
        <f>入學要求!S37</f>
        <v>0</v>
      </c>
      <c r="M36" s="366" t="s">
        <v>2180</v>
      </c>
      <c r="N36" s="127">
        <v>3</v>
      </c>
      <c r="O36" s="127">
        <v>3</v>
      </c>
      <c r="P36" s="127">
        <v>2</v>
      </c>
      <c r="Q36" s="127">
        <v>2</v>
      </c>
      <c r="R36" s="127">
        <v>3</v>
      </c>
      <c r="S36" s="127">
        <v>3</v>
      </c>
      <c r="T36" s="501"/>
      <c r="U36" s="272">
        <f>IF($T$2="2018年",'Offer Statistics'!H36,IF($T$2="2019年",'Offer Statistics'!H87,IF($T$2="2020年",'Offer Statistics'!H138)))</f>
        <v>45</v>
      </c>
      <c r="V36" s="284">
        <f>IF($T$2="2018年",'Offer Statistics'!C36,IF($T$2="2019年",'Offer Statistics'!C87,IF($T$2="2020年",'Offer Statistics'!C138)))</f>
        <v>45</v>
      </c>
      <c r="W36" s="284">
        <f>IF($T$2="2018年",'Offer Statistics'!D36,IF($T$2="2019年",'Offer Statistics'!D87,IF($T$2="2020年",'Offer Statistics'!D138)))</f>
        <v>0</v>
      </c>
      <c r="X36" s="284">
        <f>IF($T$2="2018年",'Offer Statistics'!E36,IF($T$2="2019年",'Offer Statistics'!E87,IF($T$2="2020年",'Offer Statistics'!E138)))</f>
        <v>0</v>
      </c>
      <c r="Y36" s="284">
        <f>IF($T$2="2018年",'Offer Statistics'!F36,IF($T$2="2019年",'Offer Statistics'!F87,IF($T$2="2020年",'Offer Statistics'!F138)))</f>
        <v>0</v>
      </c>
      <c r="Z36" s="285">
        <f>IF($T$2="2018年",'Offer Statistics'!G36,IF($T$2="2019年",'Offer Statistics'!G87,IF($T$2="2020年",'Offer Statistics'!G138)))</f>
        <v>0</v>
      </c>
      <c r="AA36" s="501"/>
      <c r="AB36" s="272">
        <f>IF($AA$2="2018年",'Offer Statistics'!P36,IF($AA$2="2019年",'Offer Statistics'!P87,IF($AA$2="2020年",'Offer Statistics'!P138)))</f>
        <v>4197</v>
      </c>
      <c r="AC36" s="284">
        <f>IF($AA$2="2018年",'Offer Statistics'!K36,IF($AA$2="2019年",'Offer Statistics'!K87,IF($AA$2="2020年",'Offer Statistics'!K138)))</f>
        <v>606</v>
      </c>
      <c r="AD36" s="284">
        <f>IF($AA$2="2018年",'Offer Statistics'!L36,IF($AA$2="2019年",'Offer Statistics'!L87,IF($AA$2="2020年",'Offer Statistics'!L138)))</f>
        <v>608</v>
      </c>
      <c r="AE36" s="284">
        <f>IF($AA$2="2018年",'Offer Statistics'!M36,IF($AA$2="2019年",'Offer Statistics'!M87,IF($AA$2="2020年",'Offer Statistics'!M138)))</f>
        <v>926</v>
      </c>
      <c r="AF36" s="284">
        <f>IF($AA$2="2018年",'Offer Statistics'!N36,IF($AA$2="2019年",'Offer Statistics'!N87,IF($AA$2="2020年",'Offer Statistics'!N138)))</f>
        <v>1161</v>
      </c>
      <c r="AG36" s="285">
        <f>IF($AA$2="2018年",'Offer Statistics'!O36,IF($AA$2="2019年",'Offer Statistics'!O87,IF($AA$2="2020年",'Offer Statistics'!O138)))</f>
        <v>896</v>
      </c>
      <c r="AH36" s="181"/>
      <c r="AI36" s="338" t="str">
        <f t="shared" si="2"/>
        <v>JS1113</v>
      </c>
      <c r="AJ36" s="175"/>
      <c r="AK36" s="175"/>
      <c r="AL36" s="175"/>
      <c r="AM36" s="175"/>
      <c r="AN36" s="175"/>
      <c r="AO36" s="175"/>
      <c r="AP36" s="175"/>
      <c r="AQ36" s="175"/>
      <c r="AR36" s="175"/>
      <c r="AS36" s="175"/>
      <c r="AT36" s="175"/>
      <c r="AU36" s="175"/>
      <c r="AV36" s="175"/>
      <c r="AW36" s="175"/>
      <c r="AX36" s="175"/>
    </row>
    <row r="37" spans="1:50" s="179" customFormat="1" ht="18" customHeight="1">
      <c r="A37" s="175" t="s">
        <v>1269</v>
      </c>
      <c r="B37" s="5" t="s">
        <v>383</v>
      </c>
      <c r="C37" s="186" t="s">
        <v>1267</v>
      </c>
      <c r="D37" s="117" t="s">
        <v>1438</v>
      </c>
      <c r="E37" s="249" t="s">
        <v>189</v>
      </c>
      <c r="F37" s="7" t="s">
        <v>360</v>
      </c>
      <c r="G37" s="7" t="s">
        <v>360</v>
      </c>
      <c r="H37" s="193">
        <f>計分版!D60</f>
        <v>4.4000000000000005E-9</v>
      </c>
      <c r="I37" s="8" t="s">
        <v>360</v>
      </c>
      <c r="J37" s="8" t="s">
        <v>360</v>
      </c>
      <c r="K37" s="105">
        <v>18</v>
      </c>
      <c r="L37" s="381">
        <f>入學要求!S38</f>
        <v>0</v>
      </c>
      <c r="M37" s="41" t="s">
        <v>2181</v>
      </c>
      <c r="N37" s="127">
        <v>3</v>
      </c>
      <c r="O37" s="127">
        <v>3</v>
      </c>
      <c r="P37" s="127">
        <v>2</v>
      </c>
      <c r="Q37" s="127">
        <v>2</v>
      </c>
      <c r="R37" s="418">
        <v>3</v>
      </c>
      <c r="S37" s="418">
        <v>3</v>
      </c>
      <c r="T37" s="501"/>
      <c r="U37" s="272" t="str">
        <f>IF($T$2="2018年",'Offer Statistics'!H37,IF($T$2="2019年",'Offer Statistics'!H88,IF($T$2="2020年",'Offer Statistics'!H139)))</f>
        <v>/</v>
      </c>
      <c r="V37" s="284" t="str">
        <f>IF($T$2="2018年",'Offer Statistics'!C37,IF($T$2="2019年",'Offer Statistics'!C88,IF($T$2="2020年",'Offer Statistics'!C139)))</f>
        <v>/</v>
      </c>
      <c r="W37" s="284" t="str">
        <f>IF($T$2="2018年",'Offer Statistics'!D37,IF($T$2="2019年",'Offer Statistics'!D88,IF($T$2="2020年",'Offer Statistics'!D139)))</f>
        <v>/</v>
      </c>
      <c r="X37" s="284" t="str">
        <f>IF($T$2="2018年",'Offer Statistics'!E37,IF($T$2="2019年",'Offer Statistics'!E88,IF($T$2="2020年",'Offer Statistics'!E139)))</f>
        <v>/</v>
      </c>
      <c r="Y37" s="284" t="str">
        <f>IF($T$2="2018年",'Offer Statistics'!F37,IF($T$2="2019年",'Offer Statistics'!F88,IF($T$2="2020年",'Offer Statistics'!F139)))</f>
        <v>/</v>
      </c>
      <c r="Z37" s="285" t="str">
        <f>IF($T$2="2018年",'Offer Statistics'!G37,IF($T$2="2019年",'Offer Statistics'!G88,IF($T$2="2020年",'Offer Statistics'!G139)))</f>
        <v>/</v>
      </c>
      <c r="AA37" s="501"/>
      <c r="AB37" s="272" t="str">
        <f>IF($AA$2="2018年",'Offer Statistics'!P37,IF($AA$2="2019年",'Offer Statistics'!P88,IF($AA$2="2020年",'Offer Statistics'!P139)))</f>
        <v>/</v>
      </c>
      <c r="AC37" s="284" t="str">
        <f>IF($AA$2="2018年",'Offer Statistics'!K37,IF($AA$2="2019年",'Offer Statistics'!K88,IF($AA$2="2020年",'Offer Statistics'!K139)))</f>
        <v>/</v>
      </c>
      <c r="AD37" s="284" t="str">
        <f>IF($AA$2="2018年",'Offer Statistics'!L37,IF($AA$2="2019年",'Offer Statistics'!L88,IF($AA$2="2020年",'Offer Statistics'!L139)))</f>
        <v>/</v>
      </c>
      <c r="AE37" s="284" t="str">
        <f>IF($AA$2="2018年",'Offer Statistics'!M37,IF($AA$2="2019年",'Offer Statistics'!M88,IF($AA$2="2020年",'Offer Statistics'!M139)))</f>
        <v>/</v>
      </c>
      <c r="AF37" s="284" t="str">
        <f>IF($AA$2="2018年",'Offer Statistics'!N37,IF($AA$2="2019年",'Offer Statistics'!N88,IF($AA$2="2020年",'Offer Statistics'!N139)))</f>
        <v>/</v>
      </c>
      <c r="AG37" s="285" t="str">
        <f>IF($AA$2="2018年",'Offer Statistics'!O37,IF($AA$2="2019年",'Offer Statistics'!O88,IF($AA$2="2020年",'Offer Statistics'!O139)))</f>
        <v>/</v>
      </c>
      <c r="AH37" s="181"/>
      <c r="AI37" s="338" t="str">
        <f t="shared" si="2"/>
        <v>JS1200</v>
      </c>
      <c r="AJ37" s="175"/>
      <c r="AK37" s="175"/>
      <c r="AL37" s="175"/>
      <c r="AM37" s="175"/>
      <c r="AN37" s="175"/>
      <c r="AO37" s="175"/>
      <c r="AP37" s="175"/>
      <c r="AQ37" s="175"/>
      <c r="AR37" s="175"/>
      <c r="AS37" s="175"/>
      <c r="AT37" s="175"/>
      <c r="AU37" s="175"/>
      <c r="AV37" s="175"/>
      <c r="AW37" s="175"/>
      <c r="AX37" s="175"/>
    </row>
    <row r="38" spans="1:50" s="179" customFormat="1" ht="18" customHeight="1">
      <c r="A38" s="175" t="s">
        <v>1266</v>
      </c>
      <c r="B38" s="5" t="s">
        <v>778</v>
      </c>
      <c r="C38" s="186" t="s">
        <v>745</v>
      </c>
      <c r="D38" s="5" t="s">
        <v>1439</v>
      </c>
      <c r="E38" s="249" t="s">
        <v>548</v>
      </c>
      <c r="F38" s="7" t="s">
        <v>360</v>
      </c>
      <c r="G38" s="7" t="s">
        <v>792</v>
      </c>
      <c r="H38" s="193">
        <f>計分版!D61</f>
        <v>5.0000000000000001E-9</v>
      </c>
      <c r="I38" s="8" t="s">
        <v>360</v>
      </c>
      <c r="J38" s="8" t="s">
        <v>360</v>
      </c>
      <c r="K38" s="101">
        <v>112</v>
      </c>
      <c r="L38" s="381">
        <f>入學要求!S39</f>
        <v>0</v>
      </c>
      <c r="M38" s="82" t="s">
        <v>792</v>
      </c>
      <c r="N38" s="127">
        <v>3</v>
      </c>
      <c r="O38" s="127">
        <v>3</v>
      </c>
      <c r="P38" s="127">
        <v>2</v>
      </c>
      <c r="Q38" s="127">
        <v>2</v>
      </c>
      <c r="R38" s="127">
        <v>3</v>
      </c>
      <c r="S38" s="127">
        <v>3</v>
      </c>
      <c r="T38" s="501"/>
      <c r="U38" s="272" t="str">
        <f>IF($T$2="2018年",'Offer Statistics'!H38,IF($T$2="2019年",'Offer Statistics'!H89,IF($T$2="2020年",'Offer Statistics'!H140)))</f>
        <v>/</v>
      </c>
      <c r="V38" s="284" t="str">
        <f>IF($T$2="2018年",'Offer Statistics'!C38,IF($T$2="2019年",'Offer Statistics'!C89,IF($T$2="2020年",'Offer Statistics'!C140)))</f>
        <v>/</v>
      </c>
      <c r="W38" s="284" t="str">
        <f>IF($T$2="2018年",'Offer Statistics'!D38,IF($T$2="2019年",'Offer Statistics'!D89,IF($T$2="2020年",'Offer Statistics'!D140)))</f>
        <v>/</v>
      </c>
      <c r="X38" s="284" t="str">
        <f>IF($T$2="2018年",'Offer Statistics'!E38,IF($T$2="2019年",'Offer Statistics'!E89,IF($T$2="2020年",'Offer Statistics'!E140)))</f>
        <v>/</v>
      </c>
      <c r="Y38" s="284" t="str">
        <f>IF($T$2="2018年",'Offer Statistics'!F38,IF($T$2="2019年",'Offer Statistics'!F89,IF($T$2="2020年",'Offer Statistics'!F140)))</f>
        <v>/</v>
      </c>
      <c r="Z38" s="285" t="str">
        <f>IF($T$2="2018年",'Offer Statistics'!G38,IF($T$2="2019年",'Offer Statistics'!G89,IF($T$2="2020年",'Offer Statistics'!G140)))</f>
        <v>/</v>
      </c>
      <c r="AA38" s="501"/>
      <c r="AB38" s="272" t="str">
        <f>IF($AA$2="2018年",'Offer Statistics'!P38,IF($AA$2="2019年",'Offer Statistics'!P89,IF($AA$2="2020年",'Offer Statistics'!P140)))</f>
        <v>/</v>
      </c>
      <c r="AC38" s="284" t="str">
        <f>IF($AA$2="2018年",'Offer Statistics'!K38,IF($AA$2="2019年",'Offer Statistics'!K89,IF($AA$2="2020年",'Offer Statistics'!K140)))</f>
        <v>/</v>
      </c>
      <c r="AD38" s="284" t="str">
        <f>IF($AA$2="2018年",'Offer Statistics'!L38,IF($AA$2="2019年",'Offer Statistics'!L89,IF($AA$2="2020年",'Offer Statistics'!L140)))</f>
        <v>/</v>
      </c>
      <c r="AE38" s="284" t="str">
        <f>IF($AA$2="2018年",'Offer Statistics'!M38,IF($AA$2="2019年",'Offer Statistics'!M89,IF($AA$2="2020年",'Offer Statistics'!M140)))</f>
        <v>/</v>
      </c>
      <c r="AF38" s="284" t="str">
        <f>IF($AA$2="2018年",'Offer Statistics'!N38,IF($AA$2="2019年",'Offer Statistics'!N89,IF($AA$2="2020年",'Offer Statistics'!N140)))</f>
        <v>/</v>
      </c>
      <c r="AG38" s="285" t="str">
        <f>IF($AA$2="2018年",'Offer Statistics'!O38,IF($AA$2="2019年",'Offer Statistics'!O89,IF($AA$2="2020年",'Offer Statistics'!O140)))</f>
        <v>/</v>
      </c>
      <c r="AH38" s="181"/>
      <c r="AI38" s="338" t="str">
        <f t="shared" si="2"/>
        <v>JS1201</v>
      </c>
      <c r="AJ38" s="175"/>
      <c r="AK38" s="175"/>
      <c r="AL38" s="175"/>
      <c r="AM38" s="175"/>
      <c r="AN38" s="175"/>
      <c r="AO38" s="175"/>
      <c r="AP38" s="175"/>
      <c r="AQ38" s="175"/>
      <c r="AR38" s="175"/>
      <c r="AS38" s="175"/>
      <c r="AT38" s="175"/>
      <c r="AU38" s="175"/>
      <c r="AV38" s="175"/>
      <c r="AW38" s="175"/>
      <c r="AX38" s="175"/>
    </row>
    <row r="39" spans="1:50" s="179" customFormat="1" ht="18" customHeight="1">
      <c r="A39" s="175" t="s">
        <v>724</v>
      </c>
      <c r="B39" s="5" t="s">
        <v>383</v>
      </c>
      <c r="C39" s="186" t="s">
        <v>725</v>
      </c>
      <c r="D39" s="5" t="s">
        <v>1440</v>
      </c>
      <c r="E39" s="249" t="s">
        <v>190</v>
      </c>
      <c r="F39" s="7">
        <v>32</v>
      </c>
      <c r="G39" s="7">
        <v>30</v>
      </c>
      <c r="H39" s="193">
        <f>計分版!D62</f>
        <v>3.1999999999999997E-9</v>
      </c>
      <c r="I39" s="39">
        <f t="shared" ref="I39:I49" si="7">IF(I$1="差距(Median)",H39-F39,IF(I$1="差距(LQ)",H39-G39))</f>
        <v>-31.9999999968</v>
      </c>
      <c r="J39" s="40">
        <f t="shared" ref="J39:J49" si="8">IF(I$1="差距(Median)",(H39-F39)/H39,IF(I$1="差距(LQ)",(H39-G39)/H39))</f>
        <v>-9999999999</v>
      </c>
      <c r="K39" s="101">
        <v>42</v>
      </c>
      <c r="L39" s="381">
        <f>入學要求!S40</f>
        <v>0</v>
      </c>
      <c r="M39" s="366" t="s">
        <v>2180</v>
      </c>
      <c r="N39" s="127">
        <v>3</v>
      </c>
      <c r="O39" s="127">
        <v>3</v>
      </c>
      <c r="P39" s="127">
        <v>2</v>
      </c>
      <c r="Q39" s="127">
        <v>2</v>
      </c>
      <c r="R39" s="127">
        <v>3</v>
      </c>
      <c r="S39" s="127">
        <v>3</v>
      </c>
      <c r="T39" s="501"/>
      <c r="U39" s="272">
        <f>IF($T$2="2018年",'Offer Statistics'!H39,IF($T$2="2019年",'Offer Statistics'!H90,IF($T$2="2020年",'Offer Statistics'!H141)))</f>
        <v>47</v>
      </c>
      <c r="V39" s="284">
        <f>IF($T$2="2018年",'Offer Statistics'!C39,IF($T$2="2019年",'Offer Statistics'!C90,IF($T$2="2020年",'Offer Statistics'!C141)))</f>
        <v>40</v>
      </c>
      <c r="W39" s="284">
        <f>IF($T$2="2018年",'Offer Statistics'!D39,IF($T$2="2019年",'Offer Statistics'!D90,IF($T$2="2020年",'Offer Statistics'!D141)))</f>
        <v>4</v>
      </c>
      <c r="X39" s="284">
        <f>IF($T$2="2018年",'Offer Statistics'!E39,IF($T$2="2019年",'Offer Statistics'!E90,IF($T$2="2020年",'Offer Statistics'!E141)))</f>
        <v>3</v>
      </c>
      <c r="Y39" s="284">
        <f>IF($T$2="2018年",'Offer Statistics'!F39,IF($T$2="2019年",'Offer Statistics'!F90,IF($T$2="2020年",'Offer Statistics'!F141)))</f>
        <v>0</v>
      </c>
      <c r="Z39" s="285">
        <f>IF($T$2="2018年",'Offer Statistics'!G39,IF($T$2="2019年",'Offer Statistics'!G90,IF($T$2="2020年",'Offer Statistics'!G141)))</f>
        <v>0</v>
      </c>
      <c r="AA39" s="501"/>
      <c r="AB39" s="272">
        <f>IF($AA$2="2018年",'Offer Statistics'!P39,IF($AA$2="2019年",'Offer Statistics'!P90,IF($AA$2="2020年",'Offer Statistics'!P141)))</f>
        <v>1847</v>
      </c>
      <c r="AC39" s="284">
        <f>IF($AA$2="2018年",'Offer Statistics'!K39,IF($AA$2="2019年",'Offer Statistics'!K90,IF($AA$2="2020年",'Offer Statistics'!K141)))</f>
        <v>224</v>
      </c>
      <c r="AD39" s="284">
        <f>IF($AA$2="2018年",'Offer Statistics'!L39,IF($AA$2="2019年",'Offer Statistics'!L90,IF($AA$2="2020年",'Offer Statistics'!L141)))</f>
        <v>346</v>
      </c>
      <c r="AE39" s="284">
        <f>IF($AA$2="2018年",'Offer Statistics'!M39,IF($AA$2="2019年",'Offer Statistics'!M90,IF($AA$2="2020年",'Offer Statistics'!M141)))</f>
        <v>448</v>
      </c>
      <c r="AF39" s="284">
        <f>IF($AA$2="2018年",'Offer Statistics'!N39,IF($AA$2="2019年",'Offer Statistics'!N90,IF($AA$2="2020年",'Offer Statistics'!N141)))</f>
        <v>497</v>
      </c>
      <c r="AG39" s="285">
        <f>IF($AA$2="2018年",'Offer Statistics'!O39,IF($AA$2="2019年",'Offer Statistics'!O90,IF($AA$2="2020年",'Offer Statistics'!O141)))</f>
        <v>332</v>
      </c>
      <c r="AH39" s="181"/>
      <c r="AI39" s="338" t="str">
        <f t="shared" si="2"/>
        <v>JS1202</v>
      </c>
      <c r="AJ39" s="175"/>
      <c r="AK39" s="175"/>
      <c r="AL39" s="175"/>
      <c r="AM39" s="175"/>
      <c r="AN39" s="175"/>
      <c r="AO39" s="175"/>
      <c r="AP39" s="175"/>
      <c r="AQ39" s="175"/>
      <c r="AR39" s="175"/>
      <c r="AS39" s="175"/>
      <c r="AT39" s="175"/>
      <c r="AU39" s="175"/>
      <c r="AV39" s="175"/>
      <c r="AW39" s="175"/>
      <c r="AX39" s="175"/>
    </row>
    <row r="40" spans="1:50" s="179" customFormat="1" ht="18" customHeight="1">
      <c r="A40" s="175" t="s">
        <v>727</v>
      </c>
      <c r="B40" s="5" t="s">
        <v>778</v>
      </c>
      <c r="C40" s="186" t="s">
        <v>728</v>
      </c>
      <c r="D40" s="5" t="s">
        <v>1441</v>
      </c>
      <c r="E40" s="311" t="s">
        <v>190</v>
      </c>
      <c r="F40" s="7">
        <v>27</v>
      </c>
      <c r="G40" s="7">
        <v>26</v>
      </c>
      <c r="H40" s="193">
        <f>計分版!D63</f>
        <v>3.05E-9</v>
      </c>
      <c r="I40" s="39">
        <f t="shared" si="7"/>
        <v>-26.999999996949999</v>
      </c>
      <c r="J40" s="40">
        <f t="shared" si="8"/>
        <v>-8852459015.3934422</v>
      </c>
      <c r="K40" s="101">
        <v>103</v>
      </c>
      <c r="L40" s="381">
        <f>入學要求!S41</f>
        <v>0</v>
      </c>
      <c r="M40" s="366" t="s">
        <v>2180</v>
      </c>
      <c r="N40" s="127">
        <v>3</v>
      </c>
      <c r="O40" s="127">
        <v>3</v>
      </c>
      <c r="P40" s="127">
        <v>3</v>
      </c>
      <c r="Q40" s="127">
        <v>2</v>
      </c>
      <c r="R40" s="127">
        <v>3</v>
      </c>
      <c r="S40" s="127">
        <v>3</v>
      </c>
      <c r="T40" s="501"/>
      <c r="U40" s="272">
        <f>IF($T$2="2018年",'Offer Statistics'!H40,IF($T$2="2019年",'Offer Statistics'!H91,IF($T$2="2020年",'Offer Statistics'!H142)))</f>
        <v>81</v>
      </c>
      <c r="V40" s="284">
        <f>IF($T$2="2018年",'Offer Statistics'!C40,IF($T$2="2019年",'Offer Statistics'!C91,IF($T$2="2020年",'Offer Statistics'!C142)))</f>
        <v>81</v>
      </c>
      <c r="W40" s="284">
        <f>IF($T$2="2018年",'Offer Statistics'!D40,IF($T$2="2019年",'Offer Statistics'!D91,IF($T$2="2020年",'Offer Statistics'!D142)))</f>
        <v>0</v>
      </c>
      <c r="X40" s="284">
        <f>IF($T$2="2018年",'Offer Statistics'!E40,IF($T$2="2019年",'Offer Statistics'!E91,IF($T$2="2020年",'Offer Statistics'!E142)))</f>
        <v>0</v>
      </c>
      <c r="Y40" s="284">
        <f>IF($T$2="2018年",'Offer Statistics'!F40,IF($T$2="2019年",'Offer Statistics'!F91,IF($T$2="2020年",'Offer Statistics'!F142)))</f>
        <v>0</v>
      </c>
      <c r="Z40" s="285">
        <f>IF($T$2="2018年",'Offer Statistics'!G40,IF($T$2="2019年",'Offer Statistics'!G91,IF($T$2="2020年",'Offer Statistics'!G142)))</f>
        <v>0</v>
      </c>
      <c r="AA40" s="501"/>
      <c r="AB40" s="272">
        <f>IF($AA$2="2018年",'Offer Statistics'!P40,IF($AA$2="2019年",'Offer Statistics'!P91,IF($AA$2="2020年",'Offer Statistics'!P142)))</f>
        <v>2554</v>
      </c>
      <c r="AC40" s="284">
        <f>IF($AA$2="2018年",'Offer Statistics'!K40,IF($AA$2="2019年",'Offer Statistics'!K91,IF($AA$2="2020年",'Offer Statistics'!K142)))</f>
        <v>627</v>
      </c>
      <c r="AD40" s="284">
        <f>IF($AA$2="2018年",'Offer Statistics'!L40,IF($AA$2="2019年",'Offer Statistics'!L91,IF($AA$2="2020年",'Offer Statistics'!L142)))</f>
        <v>559</v>
      </c>
      <c r="AE40" s="284">
        <f>IF($AA$2="2018年",'Offer Statistics'!M40,IF($AA$2="2019年",'Offer Statistics'!M91,IF($AA$2="2020年",'Offer Statistics'!M142)))</f>
        <v>509</v>
      </c>
      <c r="AF40" s="284">
        <f>IF($AA$2="2018年",'Offer Statistics'!N40,IF($AA$2="2019年",'Offer Statistics'!N91,IF($AA$2="2020年",'Offer Statistics'!N142)))</f>
        <v>509</v>
      </c>
      <c r="AG40" s="285">
        <f>IF($AA$2="2018年",'Offer Statistics'!O40,IF($AA$2="2019年",'Offer Statistics'!O91,IF($AA$2="2020年",'Offer Statistics'!O142)))</f>
        <v>350</v>
      </c>
      <c r="AH40" s="181"/>
      <c r="AI40" s="338" t="str">
        <f t="shared" si="2"/>
        <v>JS1204</v>
      </c>
      <c r="AJ40" s="175"/>
      <c r="AK40" s="175"/>
      <c r="AL40" s="175"/>
      <c r="AM40" s="175"/>
      <c r="AN40" s="175"/>
      <c r="AO40" s="175"/>
      <c r="AP40" s="175"/>
      <c r="AQ40" s="175"/>
      <c r="AR40" s="175"/>
      <c r="AS40" s="175"/>
      <c r="AT40" s="175"/>
      <c r="AU40" s="175"/>
      <c r="AV40" s="175"/>
      <c r="AW40" s="175"/>
      <c r="AX40" s="175"/>
    </row>
    <row r="41" spans="1:50" s="179" customFormat="1" ht="18" customHeight="1">
      <c r="A41" s="175" t="s">
        <v>730</v>
      </c>
      <c r="B41" s="5" t="s">
        <v>778</v>
      </c>
      <c r="C41" s="186" t="s">
        <v>881</v>
      </c>
      <c r="D41" s="5" t="s">
        <v>1442</v>
      </c>
      <c r="E41" s="249" t="s">
        <v>190</v>
      </c>
      <c r="F41" s="7">
        <v>35</v>
      </c>
      <c r="G41" s="7">
        <v>33.5</v>
      </c>
      <c r="H41" s="193">
        <f>計分版!D64</f>
        <v>3.4500000000000003E-9</v>
      </c>
      <c r="I41" s="39">
        <f t="shared" si="7"/>
        <v>-34.999999996550002</v>
      </c>
      <c r="J41" s="40">
        <f t="shared" si="8"/>
        <v>-10144927535.231884</v>
      </c>
      <c r="K41" s="101">
        <v>163</v>
      </c>
      <c r="L41" s="381">
        <f>入學要求!S42</f>
        <v>0</v>
      </c>
      <c r="M41" s="41" t="s">
        <v>792</v>
      </c>
      <c r="N41" s="127">
        <v>3</v>
      </c>
      <c r="O41" s="127">
        <v>3</v>
      </c>
      <c r="P41" s="127">
        <v>3</v>
      </c>
      <c r="Q41" s="127">
        <v>2</v>
      </c>
      <c r="R41" s="127">
        <v>3</v>
      </c>
      <c r="S41" s="127">
        <v>3</v>
      </c>
      <c r="T41" s="501"/>
      <c r="U41" s="272">
        <f>IF($T$2="2018年",'Offer Statistics'!H41,IF($T$2="2019年",'Offer Statistics'!H92,IF($T$2="2020年",'Offer Statistics'!H143)))</f>
        <v>99</v>
      </c>
      <c r="V41" s="284">
        <f>IF($T$2="2018年",'Offer Statistics'!C41,IF($T$2="2019年",'Offer Statistics'!C92,IF($T$2="2020年",'Offer Statistics'!C143)))</f>
        <v>90</v>
      </c>
      <c r="W41" s="284">
        <f>IF($T$2="2018年",'Offer Statistics'!D41,IF($T$2="2019年",'Offer Statistics'!D92,IF($T$2="2020年",'Offer Statistics'!D143)))</f>
        <v>5</v>
      </c>
      <c r="X41" s="284">
        <f>IF($T$2="2018年",'Offer Statistics'!E41,IF($T$2="2019年",'Offer Statistics'!E92,IF($T$2="2020年",'Offer Statistics'!E143)))</f>
        <v>4</v>
      </c>
      <c r="Y41" s="284">
        <f>IF($T$2="2018年",'Offer Statistics'!F41,IF($T$2="2019年",'Offer Statistics'!F92,IF($T$2="2020年",'Offer Statistics'!F143)))</f>
        <v>0</v>
      </c>
      <c r="Z41" s="285">
        <f>IF($T$2="2018年",'Offer Statistics'!G41,IF($T$2="2019年",'Offer Statistics'!G92,IF($T$2="2020年",'Offer Statistics'!G143)))</f>
        <v>0</v>
      </c>
      <c r="AA41" s="501"/>
      <c r="AB41" s="272">
        <f>IF($AA$2="2018年",'Offer Statistics'!P41,IF($AA$2="2019年",'Offer Statistics'!P92,IF($AA$2="2020年",'Offer Statistics'!P143)))</f>
        <v>2550</v>
      </c>
      <c r="AC41" s="284">
        <f>IF($AA$2="2018年",'Offer Statistics'!K41,IF($AA$2="2019年",'Offer Statistics'!K92,IF($AA$2="2020年",'Offer Statistics'!K143)))</f>
        <v>579</v>
      </c>
      <c r="AD41" s="284">
        <f>IF($AA$2="2018年",'Offer Statistics'!L41,IF($AA$2="2019年",'Offer Statistics'!L92,IF($AA$2="2020年",'Offer Statistics'!L143)))</f>
        <v>501</v>
      </c>
      <c r="AE41" s="284">
        <f>IF($AA$2="2018年",'Offer Statistics'!M41,IF($AA$2="2019年",'Offer Statistics'!M92,IF($AA$2="2020年",'Offer Statistics'!M143)))</f>
        <v>531</v>
      </c>
      <c r="AF41" s="284">
        <f>IF($AA$2="2018年",'Offer Statistics'!N41,IF($AA$2="2019年",'Offer Statistics'!N92,IF($AA$2="2020年",'Offer Statistics'!N143)))</f>
        <v>584</v>
      </c>
      <c r="AG41" s="285">
        <f>IF($AA$2="2018年",'Offer Statistics'!O41,IF($AA$2="2019年",'Offer Statistics'!O92,IF($AA$2="2020年",'Offer Statistics'!O143)))</f>
        <v>355</v>
      </c>
      <c r="AH41" s="181"/>
      <c r="AI41" s="338" t="str">
        <f t="shared" si="2"/>
        <v>JS1205</v>
      </c>
      <c r="AJ41" s="175"/>
      <c r="AK41" s="175"/>
      <c r="AL41" s="175"/>
      <c r="AM41" s="175"/>
      <c r="AN41" s="175"/>
      <c r="AO41" s="175"/>
      <c r="AP41" s="175"/>
      <c r="AQ41" s="175"/>
      <c r="AR41" s="175"/>
      <c r="AS41" s="175"/>
      <c r="AT41" s="175"/>
      <c r="AU41" s="175"/>
      <c r="AV41" s="175"/>
      <c r="AW41" s="175"/>
      <c r="AX41" s="175"/>
    </row>
    <row r="42" spans="1:50" s="179" customFormat="1" ht="18" customHeight="1">
      <c r="A42" s="175" t="s">
        <v>733</v>
      </c>
      <c r="B42" s="5" t="s">
        <v>383</v>
      </c>
      <c r="C42" s="186" t="s">
        <v>734</v>
      </c>
      <c r="D42" s="5" t="s">
        <v>1419</v>
      </c>
      <c r="E42" s="249" t="s">
        <v>190</v>
      </c>
      <c r="F42" s="7">
        <v>36.5</v>
      </c>
      <c r="G42" s="7">
        <v>36.5</v>
      </c>
      <c r="H42" s="193">
        <f>計分版!D65</f>
        <v>3.6E-9</v>
      </c>
      <c r="I42" s="39">
        <f t="shared" si="7"/>
        <v>-36.4999999964</v>
      </c>
      <c r="J42" s="40">
        <f t="shared" si="8"/>
        <v>-10138888887.888889</v>
      </c>
      <c r="K42" s="101">
        <v>36</v>
      </c>
      <c r="L42" s="381">
        <f>入學要求!S43</f>
        <v>0</v>
      </c>
      <c r="M42" s="41" t="s">
        <v>2178</v>
      </c>
      <c r="N42" s="127">
        <v>3</v>
      </c>
      <c r="O42" s="127">
        <v>3</v>
      </c>
      <c r="P42" s="127">
        <v>3</v>
      </c>
      <c r="Q42" s="127">
        <v>2</v>
      </c>
      <c r="R42" s="127">
        <v>3</v>
      </c>
      <c r="S42" s="127">
        <v>3</v>
      </c>
      <c r="T42" s="501"/>
      <c r="U42" s="272">
        <f>IF($T$2="2018年",'Offer Statistics'!H42,IF($T$2="2019年",'Offer Statistics'!H93,IF($T$2="2020年",'Offer Statistics'!H144)))</f>
        <v>35</v>
      </c>
      <c r="V42" s="284">
        <f>IF($T$2="2018年",'Offer Statistics'!C42,IF($T$2="2019年",'Offer Statistics'!C93,IF($T$2="2020年",'Offer Statistics'!C144)))</f>
        <v>33</v>
      </c>
      <c r="W42" s="284">
        <f>IF($T$2="2018年",'Offer Statistics'!D42,IF($T$2="2019年",'Offer Statistics'!D93,IF($T$2="2020年",'Offer Statistics'!D144)))</f>
        <v>2</v>
      </c>
      <c r="X42" s="284">
        <f>IF($T$2="2018年",'Offer Statistics'!E42,IF($T$2="2019年",'Offer Statistics'!E93,IF($T$2="2020年",'Offer Statistics'!E144)))</f>
        <v>0</v>
      </c>
      <c r="Y42" s="284">
        <f>IF($T$2="2018年",'Offer Statistics'!F42,IF($T$2="2019年",'Offer Statistics'!F93,IF($T$2="2020年",'Offer Statistics'!F144)))</f>
        <v>0</v>
      </c>
      <c r="Z42" s="285">
        <f>IF($T$2="2018年",'Offer Statistics'!G42,IF($T$2="2019年",'Offer Statistics'!G93,IF($T$2="2020年",'Offer Statistics'!G144)))</f>
        <v>0</v>
      </c>
      <c r="AA42" s="501"/>
      <c r="AB42" s="272">
        <f>IF($AA$2="2018年",'Offer Statistics'!P42,IF($AA$2="2019年",'Offer Statistics'!P93,IF($AA$2="2020年",'Offer Statistics'!P144)))</f>
        <v>1337</v>
      </c>
      <c r="AC42" s="284">
        <f>IF($AA$2="2018年",'Offer Statistics'!K42,IF($AA$2="2019年",'Offer Statistics'!K93,IF($AA$2="2020年",'Offer Statistics'!K144)))</f>
        <v>214</v>
      </c>
      <c r="AD42" s="284">
        <f>IF($AA$2="2018年",'Offer Statistics'!L42,IF($AA$2="2019年",'Offer Statistics'!L93,IF($AA$2="2020年",'Offer Statistics'!L144)))</f>
        <v>224</v>
      </c>
      <c r="AE42" s="284">
        <f>IF($AA$2="2018年",'Offer Statistics'!M42,IF($AA$2="2019年",'Offer Statistics'!M93,IF($AA$2="2020年",'Offer Statistics'!M144)))</f>
        <v>291</v>
      </c>
      <c r="AF42" s="284">
        <f>IF($AA$2="2018年",'Offer Statistics'!N42,IF($AA$2="2019年",'Offer Statistics'!N93,IF($AA$2="2020年",'Offer Statistics'!N144)))</f>
        <v>360</v>
      </c>
      <c r="AG42" s="285">
        <f>IF($AA$2="2018年",'Offer Statistics'!O42,IF($AA$2="2019年",'Offer Statistics'!O93,IF($AA$2="2020年",'Offer Statistics'!O144)))</f>
        <v>248</v>
      </c>
      <c r="AH42" s="181"/>
      <c r="AI42" s="338" t="str">
        <f t="shared" si="2"/>
        <v>JS1206</v>
      </c>
      <c r="AJ42" s="175"/>
      <c r="AK42" s="175"/>
      <c r="AL42" s="175"/>
      <c r="AM42" s="175"/>
      <c r="AN42" s="175"/>
      <c r="AO42" s="175"/>
      <c r="AP42" s="175"/>
      <c r="AQ42" s="175"/>
      <c r="AR42" s="175"/>
      <c r="AS42" s="175"/>
      <c r="AT42" s="175"/>
      <c r="AU42" s="175"/>
      <c r="AV42" s="175"/>
      <c r="AW42" s="175"/>
      <c r="AX42" s="175"/>
    </row>
    <row r="43" spans="1:50" s="179" customFormat="1" ht="18" customHeight="1">
      <c r="A43" s="175" t="s">
        <v>1249</v>
      </c>
      <c r="B43" s="5" t="s">
        <v>778</v>
      </c>
      <c r="C43" s="186" t="s">
        <v>737</v>
      </c>
      <c r="D43" s="5" t="s">
        <v>1443</v>
      </c>
      <c r="E43" s="249" t="s">
        <v>190</v>
      </c>
      <c r="F43" s="7">
        <v>33</v>
      </c>
      <c r="G43" s="7">
        <v>32</v>
      </c>
      <c r="H43" s="193">
        <f>計分版!D66</f>
        <v>3.3500000000000002E-9</v>
      </c>
      <c r="I43" s="39">
        <f t="shared" si="7"/>
        <v>-32.999999996649997</v>
      </c>
      <c r="J43" s="40">
        <f t="shared" si="8"/>
        <v>-9850746267.6567154</v>
      </c>
      <c r="K43" s="101">
        <v>90</v>
      </c>
      <c r="L43" s="381">
        <f>入學要求!S44</f>
        <v>0</v>
      </c>
      <c r="M43" s="338" t="s">
        <v>792</v>
      </c>
      <c r="N43" s="127">
        <v>3</v>
      </c>
      <c r="O43" s="127">
        <v>3</v>
      </c>
      <c r="P43" s="127">
        <v>3</v>
      </c>
      <c r="Q43" s="127">
        <v>2</v>
      </c>
      <c r="R43" s="127">
        <v>3</v>
      </c>
      <c r="S43" s="127">
        <v>3</v>
      </c>
      <c r="T43" s="501"/>
      <c r="U43" s="272">
        <f>IF($T$2="2018年",'Offer Statistics'!H43,IF($T$2="2019年",'Offer Statistics'!H94,IF($T$2="2020年",'Offer Statistics'!H145)))</f>
        <v>66</v>
      </c>
      <c r="V43" s="284">
        <f>IF($T$2="2018年",'Offer Statistics'!C43,IF($T$2="2019年",'Offer Statistics'!C94,IF($T$2="2020年",'Offer Statistics'!C145)))</f>
        <v>63</v>
      </c>
      <c r="W43" s="284">
        <f>IF($T$2="2018年",'Offer Statistics'!D43,IF($T$2="2019年",'Offer Statistics'!D94,IF($T$2="2020年",'Offer Statistics'!D145)))</f>
        <v>1</v>
      </c>
      <c r="X43" s="284">
        <f>IF($T$2="2018年",'Offer Statistics'!E43,IF($T$2="2019年",'Offer Statistics'!E94,IF($T$2="2020年",'Offer Statistics'!E145)))</f>
        <v>1</v>
      </c>
      <c r="Y43" s="284">
        <f>IF($T$2="2018年",'Offer Statistics'!F43,IF($T$2="2019年",'Offer Statistics'!F94,IF($T$2="2020年",'Offer Statistics'!F145)))</f>
        <v>0</v>
      </c>
      <c r="Z43" s="285">
        <f>IF($T$2="2018年",'Offer Statistics'!G43,IF($T$2="2019年",'Offer Statistics'!G94,IF($T$2="2020年",'Offer Statistics'!G145)))</f>
        <v>1</v>
      </c>
      <c r="AA43" s="501"/>
      <c r="AB43" s="272">
        <f>IF($AA$2="2018年",'Offer Statistics'!P43,IF($AA$2="2019年",'Offer Statistics'!P94,IF($AA$2="2020年",'Offer Statistics'!P145)))</f>
        <v>2061</v>
      </c>
      <c r="AC43" s="284">
        <f>IF($AA$2="2018年",'Offer Statistics'!K43,IF($AA$2="2019年",'Offer Statistics'!K94,IF($AA$2="2020年",'Offer Statistics'!K145)))</f>
        <v>466</v>
      </c>
      <c r="AD43" s="284">
        <f>IF($AA$2="2018年",'Offer Statistics'!L43,IF($AA$2="2019年",'Offer Statistics'!L94,IF($AA$2="2020年",'Offer Statistics'!L145)))</f>
        <v>370</v>
      </c>
      <c r="AE43" s="284">
        <f>IF($AA$2="2018年",'Offer Statistics'!M43,IF($AA$2="2019年",'Offer Statistics'!M94,IF($AA$2="2020年",'Offer Statistics'!M145)))</f>
        <v>408</v>
      </c>
      <c r="AF43" s="284">
        <f>IF($AA$2="2018年",'Offer Statistics'!N43,IF($AA$2="2019年",'Offer Statistics'!N94,IF($AA$2="2020年",'Offer Statistics'!N145)))</f>
        <v>469</v>
      </c>
      <c r="AG43" s="285">
        <f>IF($AA$2="2018年",'Offer Statistics'!O43,IF($AA$2="2019年",'Offer Statistics'!O94,IF($AA$2="2020年",'Offer Statistics'!O145)))</f>
        <v>348</v>
      </c>
      <c r="AH43" s="181"/>
      <c r="AI43" s="338" t="str">
        <f t="shared" si="2"/>
        <v>JS1207</v>
      </c>
      <c r="AJ43" s="175"/>
      <c r="AK43" s="175"/>
      <c r="AL43" s="175"/>
      <c r="AM43" s="175"/>
      <c r="AN43" s="175"/>
      <c r="AO43" s="175"/>
      <c r="AP43" s="175"/>
      <c r="AQ43" s="175"/>
      <c r="AR43" s="175"/>
      <c r="AS43" s="175"/>
      <c r="AT43" s="175"/>
      <c r="AU43" s="175"/>
      <c r="AV43" s="175"/>
      <c r="AW43" s="175"/>
      <c r="AX43" s="175"/>
    </row>
    <row r="44" spans="1:50" s="179" customFormat="1" ht="18" customHeight="1">
      <c r="A44" s="175" t="s">
        <v>1292</v>
      </c>
      <c r="B44" s="5" t="s">
        <v>383</v>
      </c>
      <c r="C44" s="186" t="s">
        <v>1293</v>
      </c>
      <c r="D44" s="5" t="s">
        <v>1444</v>
      </c>
      <c r="E44" s="249" t="s">
        <v>190</v>
      </c>
      <c r="F44" s="7">
        <v>31</v>
      </c>
      <c r="G44" s="7">
        <v>28.75</v>
      </c>
      <c r="H44" s="193">
        <f>計分版!D67</f>
        <v>3.1249999999999999E-9</v>
      </c>
      <c r="I44" s="39">
        <f t="shared" si="7"/>
        <v>-30.999999996875001</v>
      </c>
      <c r="J44" s="40">
        <f t="shared" si="8"/>
        <v>-9919999999</v>
      </c>
      <c r="K44" s="101">
        <v>30</v>
      </c>
      <c r="L44" s="381">
        <f>入學要求!S45</f>
        <v>0</v>
      </c>
      <c r="M44" s="41" t="s">
        <v>2178</v>
      </c>
      <c r="N44" s="127">
        <v>3</v>
      </c>
      <c r="O44" s="127">
        <v>3</v>
      </c>
      <c r="P44" s="127">
        <v>3</v>
      </c>
      <c r="Q44" s="127">
        <v>2</v>
      </c>
      <c r="R44" s="127">
        <v>3</v>
      </c>
      <c r="S44" s="127">
        <v>3</v>
      </c>
      <c r="T44" s="501"/>
      <c r="U44" s="272">
        <f>IF($T$2="2018年",'Offer Statistics'!H44,IF($T$2="2019年",'Offer Statistics'!H95,IF($T$2="2020年",'Offer Statistics'!H146)))</f>
        <v>13</v>
      </c>
      <c r="V44" s="284">
        <f>IF($T$2="2018年",'Offer Statistics'!C44,IF($T$2="2019年",'Offer Statistics'!C95,IF($T$2="2020年",'Offer Statistics'!C146)))</f>
        <v>8</v>
      </c>
      <c r="W44" s="284">
        <f>IF($T$2="2018年",'Offer Statistics'!D44,IF($T$2="2019年",'Offer Statistics'!D95,IF($T$2="2020年",'Offer Statistics'!D146)))</f>
        <v>3</v>
      </c>
      <c r="X44" s="284">
        <f>IF($T$2="2018年",'Offer Statistics'!E44,IF($T$2="2019年",'Offer Statistics'!E95,IF($T$2="2020年",'Offer Statistics'!E146)))</f>
        <v>1</v>
      </c>
      <c r="Y44" s="284">
        <f>IF($T$2="2018年",'Offer Statistics'!F44,IF($T$2="2019年",'Offer Statistics'!F95,IF($T$2="2020年",'Offer Statistics'!F146)))</f>
        <v>0</v>
      </c>
      <c r="Z44" s="285">
        <f>IF($T$2="2018年",'Offer Statistics'!G44,IF($T$2="2019年",'Offer Statistics'!G95,IF($T$2="2020年",'Offer Statistics'!G146)))</f>
        <v>1</v>
      </c>
      <c r="AA44" s="501"/>
      <c r="AB44" s="272">
        <f>IF($AA$2="2018年",'Offer Statistics'!P44,IF($AA$2="2019年",'Offer Statistics'!P95,IF($AA$2="2020年",'Offer Statistics'!P146)))</f>
        <v>1304</v>
      </c>
      <c r="AC44" s="284">
        <f>IF($AA$2="2018年",'Offer Statistics'!K44,IF($AA$2="2019年",'Offer Statistics'!K95,IF($AA$2="2020年",'Offer Statistics'!K146)))</f>
        <v>121</v>
      </c>
      <c r="AD44" s="284">
        <f>IF($AA$2="2018年",'Offer Statistics'!L44,IF($AA$2="2019年",'Offer Statistics'!L95,IF($AA$2="2020年",'Offer Statistics'!L146)))</f>
        <v>225</v>
      </c>
      <c r="AE44" s="284">
        <f>IF($AA$2="2018年",'Offer Statistics'!M44,IF($AA$2="2019年",'Offer Statistics'!M95,IF($AA$2="2020年",'Offer Statistics'!M146)))</f>
        <v>273</v>
      </c>
      <c r="AF44" s="284">
        <f>IF($AA$2="2018年",'Offer Statistics'!N44,IF($AA$2="2019年",'Offer Statistics'!N95,IF($AA$2="2020年",'Offer Statistics'!N146)))</f>
        <v>374</v>
      </c>
      <c r="AG44" s="285">
        <f>IF($AA$2="2018年",'Offer Statistics'!O44,IF($AA$2="2019年",'Offer Statistics'!O95,IF($AA$2="2020年",'Offer Statistics'!O146)))</f>
        <v>311</v>
      </c>
      <c r="AH44" s="181"/>
      <c r="AI44" s="338" t="str">
        <f t="shared" si="2"/>
        <v>JS1208</v>
      </c>
      <c r="AJ44" s="175"/>
      <c r="AK44" s="175"/>
      <c r="AL44" s="175"/>
      <c r="AM44" s="175"/>
      <c r="AN44" s="175"/>
      <c r="AO44" s="175"/>
      <c r="AP44" s="175"/>
      <c r="AQ44" s="175"/>
      <c r="AR44" s="175"/>
      <c r="AS44" s="175"/>
      <c r="AT44" s="175"/>
      <c r="AU44" s="175"/>
      <c r="AV44" s="175"/>
      <c r="AW44" s="175"/>
      <c r="AX44" s="175"/>
    </row>
    <row r="45" spans="1:50" s="179" customFormat="1" ht="18" customHeight="1">
      <c r="A45" s="175" t="s">
        <v>740</v>
      </c>
      <c r="B45" s="5" t="s">
        <v>778</v>
      </c>
      <c r="C45" s="186" t="s">
        <v>741</v>
      </c>
      <c r="D45" s="5" t="s">
        <v>1447</v>
      </c>
      <c r="E45" s="249" t="s">
        <v>190</v>
      </c>
      <c r="F45" s="7">
        <v>30</v>
      </c>
      <c r="G45" s="7">
        <v>29.5</v>
      </c>
      <c r="H45" s="193">
        <f>計分版!D68</f>
        <v>3.05E-9</v>
      </c>
      <c r="I45" s="39">
        <f t="shared" si="7"/>
        <v>-29.999999996949999</v>
      </c>
      <c r="J45" s="40">
        <f t="shared" si="8"/>
        <v>-9836065572.7704906</v>
      </c>
      <c r="K45" s="101">
        <v>38</v>
      </c>
      <c r="L45" s="381">
        <f>入學要求!S46</f>
        <v>0</v>
      </c>
      <c r="M45" s="82" t="s">
        <v>792</v>
      </c>
      <c r="N45" s="127">
        <v>3</v>
      </c>
      <c r="O45" s="127">
        <v>3</v>
      </c>
      <c r="P45" s="127">
        <v>2</v>
      </c>
      <c r="Q45" s="127">
        <v>2</v>
      </c>
      <c r="R45" s="127">
        <v>3</v>
      </c>
      <c r="S45" s="127">
        <v>3</v>
      </c>
      <c r="T45" s="501"/>
      <c r="U45" s="272">
        <f>IF($T$2="2018年",'Offer Statistics'!H45,IF($T$2="2019年",'Offer Statistics'!H96,IF($T$2="2020年",'Offer Statistics'!H147)))</f>
        <v>12</v>
      </c>
      <c r="V45" s="284">
        <f>IF($T$2="2018年",'Offer Statistics'!C45,IF($T$2="2019年",'Offer Statistics'!C96,IF($T$2="2020年",'Offer Statistics'!C147)))</f>
        <v>11</v>
      </c>
      <c r="W45" s="284">
        <f>IF($T$2="2018年",'Offer Statistics'!D45,IF($T$2="2019年",'Offer Statistics'!D96,IF($T$2="2020年",'Offer Statistics'!D147)))</f>
        <v>1</v>
      </c>
      <c r="X45" s="284">
        <f>IF($T$2="2018年",'Offer Statistics'!E45,IF($T$2="2019年",'Offer Statistics'!E96,IF($T$2="2020年",'Offer Statistics'!E147)))</f>
        <v>0</v>
      </c>
      <c r="Y45" s="284">
        <f>IF($T$2="2018年",'Offer Statistics'!F45,IF($T$2="2019年",'Offer Statistics'!F96,IF($T$2="2020年",'Offer Statistics'!F147)))</f>
        <v>0</v>
      </c>
      <c r="Z45" s="285">
        <f>IF($T$2="2018年",'Offer Statistics'!G45,IF($T$2="2019年",'Offer Statistics'!G96,IF($T$2="2020年",'Offer Statistics'!G147)))</f>
        <v>0</v>
      </c>
      <c r="AA45" s="501"/>
      <c r="AB45" s="272">
        <f>IF($AA$2="2018年",'Offer Statistics'!P45,IF($AA$2="2019年",'Offer Statistics'!P96,IF($AA$2="2020年",'Offer Statistics'!P147)))</f>
        <v>1107</v>
      </c>
      <c r="AC45" s="284">
        <f>IF($AA$2="2018年",'Offer Statistics'!K45,IF($AA$2="2019年",'Offer Statistics'!K96,IF($AA$2="2020年",'Offer Statistics'!K147)))</f>
        <v>97</v>
      </c>
      <c r="AD45" s="284">
        <f>IF($AA$2="2018年",'Offer Statistics'!L45,IF($AA$2="2019年",'Offer Statistics'!L96,IF($AA$2="2020年",'Offer Statistics'!L147)))</f>
        <v>153</v>
      </c>
      <c r="AE45" s="284">
        <f>IF($AA$2="2018年",'Offer Statistics'!M45,IF($AA$2="2019年",'Offer Statistics'!M96,IF($AA$2="2020年",'Offer Statistics'!M147)))</f>
        <v>241</v>
      </c>
      <c r="AF45" s="284">
        <f>IF($AA$2="2018年",'Offer Statistics'!N45,IF($AA$2="2019年",'Offer Statistics'!N96,IF($AA$2="2020年",'Offer Statistics'!N147)))</f>
        <v>355</v>
      </c>
      <c r="AG45" s="285">
        <f>IF($AA$2="2018年",'Offer Statistics'!O45,IF($AA$2="2019年",'Offer Statistics'!O96,IF($AA$2="2020年",'Offer Statistics'!O147)))</f>
        <v>261</v>
      </c>
      <c r="AH45" s="181"/>
      <c r="AI45" s="338" t="str">
        <f t="shared" si="2"/>
        <v>JS1210</v>
      </c>
      <c r="AJ45" s="175"/>
      <c r="AK45" s="175"/>
      <c r="AL45" s="175"/>
      <c r="AM45" s="175"/>
      <c r="AN45" s="175"/>
      <c r="AO45" s="175"/>
      <c r="AP45" s="175"/>
      <c r="AQ45" s="175"/>
      <c r="AR45" s="175"/>
      <c r="AS45" s="175"/>
      <c r="AT45" s="175"/>
      <c r="AU45" s="175"/>
      <c r="AV45" s="175"/>
      <c r="AW45" s="175"/>
      <c r="AX45" s="175"/>
    </row>
    <row r="46" spans="1:50" s="179" customFormat="1" ht="18" customHeight="1">
      <c r="A46" s="175" t="s">
        <v>743</v>
      </c>
      <c r="B46" s="5" t="s">
        <v>778</v>
      </c>
      <c r="C46" s="186" t="s">
        <v>744</v>
      </c>
      <c r="D46" s="5" t="s">
        <v>1448</v>
      </c>
      <c r="E46" s="249" t="s">
        <v>190</v>
      </c>
      <c r="F46" s="49">
        <v>38</v>
      </c>
      <c r="G46" s="49">
        <v>37</v>
      </c>
      <c r="H46" s="193">
        <f>計分版!D69</f>
        <v>3.3500000000000002E-9</v>
      </c>
      <c r="I46" s="39">
        <f t="shared" si="7"/>
        <v>-37.999999996649997</v>
      </c>
      <c r="J46" s="40">
        <f t="shared" si="8"/>
        <v>-11343283581.08955</v>
      </c>
      <c r="K46" s="101">
        <v>50</v>
      </c>
      <c r="L46" s="381">
        <f>入學要求!S47</f>
        <v>0</v>
      </c>
      <c r="M46" s="338" t="s">
        <v>792</v>
      </c>
      <c r="N46" s="127">
        <v>3</v>
      </c>
      <c r="O46" s="127">
        <v>3</v>
      </c>
      <c r="P46" s="127">
        <v>3</v>
      </c>
      <c r="Q46" s="127">
        <v>2</v>
      </c>
      <c r="R46" s="127">
        <v>3</v>
      </c>
      <c r="S46" s="127">
        <v>3</v>
      </c>
      <c r="T46" s="501"/>
      <c r="U46" s="272">
        <f>IF($T$2="2018年",'Offer Statistics'!H46,IF($T$2="2019年",'Offer Statistics'!H97,IF($T$2="2020年",'Offer Statistics'!H148)))</f>
        <v>55</v>
      </c>
      <c r="V46" s="284">
        <f>IF($T$2="2018年",'Offer Statistics'!C46,IF($T$2="2019年",'Offer Statistics'!C97,IF($T$2="2020年",'Offer Statistics'!C148)))</f>
        <v>47</v>
      </c>
      <c r="W46" s="284">
        <f>IF($T$2="2018年",'Offer Statistics'!D46,IF($T$2="2019年",'Offer Statistics'!D97,IF($T$2="2020年",'Offer Statistics'!D148)))</f>
        <v>5</v>
      </c>
      <c r="X46" s="284">
        <f>IF($T$2="2018年",'Offer Statistics'!E46,IF($T$2="2019年",'Offer Statistics'!E97,IF($T$2="2020年",'Offer Statistics'!E148)))</f>
        <v>2</v>
      </c>
      <c r="Y46" s="284">
        <f>IF($T$2="2018年",'Offer Statistics'!F46,IF($T$2="2019年",'Offer Statistics'!F97,IF($T$2="2020年",'Offer Statistics'!F148)))</f>
        <v>1</v>
      </c>
      <c r="Z46" s="284">
        <f>IF($T$2="2018年",'Offer Statistics'!G46,IF($T$2="2019年",'Offer Statistics'!G97,IF($T$2="2020年",'Offer Statistics'!G148)))</f>
        <v>0</v>
      </c>
      <c r="AA46" s="501"/>
      <c r="AB46" s="272">
        <f>IF($AA$2="2018年",'Offer Statistics'!P46,IF($AA$2="2019年",'Offer Statistics'!P97,IF($AA$2="2020年",'Offer Statistics'!P148)))</f>
        <v>2086</v>
      </c>
      <c r="AC46" s="284">
        <f>IF($AA$2="2018年",'Offer Statistics'!K46,IF($AA$2="2019年",'Offer Statistics'!K97,IF($AA$2="2020年",'Offer Statistics'!K148)))</f>
        <v>385</v>
      </c>
      <c r="AD46" s="284">
        <f>IF($AA$2="2018年",'Offer Statistics'!L46,IF($AA$2="2019年",'Offer Statistics'!L97,IF($AA$2="2020年",'Offer Statistics'!L148)))</f>
        <v>372</v>
      </c>
      <c r="AE46" s="284">
        <f>IF($AA$2="2018年",'Offer Statistics'!M46,IF($AA$2="2019年",'Offer Statistics'!M97,IF($AA$2="2020年",'Offer Statistics'!M148)))</f>
        <v>429</v>
      </c>
      <c r="AF46" s="284">
        <f>IF($AA$2="2018年",'Offer Statistics'!N46,IF($AA$2="2019年",'Offer Statistics'!N97,IF($AA$2="2020年",'Offer Statistics'!N148)))</f>
        <v>517</v>
      </c>
      <c r="AG46" s="285">
        <f>IF($AA$2="2018年",'Offer Statistics'!O46,IF($AA$2="2019年",'Offer Statistics'!O97,IF($AA$2="2020年",'Offer Statistics'!O148)))</f>
        <v>383</v>
      </c>
      <c r="AH46" s="181"/>
      <c r="AI46" s="338" t="str">
        <f t="shared" si="2"/>
        <v>JS1211</v>
      </c>
      <c r="AJ46" s="175"/>
      <c r="AK46" s="175"/>
      <c r="AL46" s="175"/>
      <c r="AM46" s="175"/>
      <c r="AN46" s="175"/>
      <c r="AO46" s="175"/>
      <c r="AP46" s="175"/>
      <c r="AQ46" s="175"/>
      <c r="AR46" s="175"/>
      <c r="AS46" s="175"/>
      <c r="AT46" s="175"/>
      <c r="AU46" s="175"/>
      <c r="AV46" s="175"/>
      <c r="AW46" s="175"/>
      <c r="AX46" s="175"/>
    </row>
    <row r="47" spans="1:50" s="179" customFormat="1" ht="18" customHeight="1">
      <c r="A47" s="175" t="s">
        <v>2185</v>
      </c>
      <c r="B47" s="175" t="s">
        <v>778</v>
      </c>
      <c r="C47" s="186" t="s">
        <v>2183</v>
      </c>
      <c r="D47" s="175" t="s">
        <v>2186</v>
      </c>
      <c r="E47" s="249" t="s">
        <v>189</v>
      </c>
      <c r="F47" s="49" t="s">
        <v>792</v>
      </c>
      <c r="G47" s="49" t="s">
        <v>792</v>
      </c>
      <c r="H47" s="193">
        <f>計分版!D70</f>
        <v>4.0000000000000002E-9</v>
      </c>
      <c r="I47" s="177" t="s">
        <v>360</v>
      </c>
      <c r="J47" s="177" t="s">
        <v>360</v>
      </c>
      <c r="K47" s="333">
        <v>20</v>
      </c>
      <c r="L47" s="381">
        <f>入學要求!S48</f>
        <v>0</v>
      </c>
      <c r="M47" s="338" t="s">
        <v>792</v>
      </c>
      <c r="N47" s="127">
        <v>3</v>
      </c>
      <c r="O47" s="127">
        <v>3</v>
      </c>
      <c r="P47" s="127">
        <v>3</v>
      </c>
      <c r="Q47" s="127">
        <v>2</v>
      </c>
      <c r="R47" s="127">
        <v>3</v>
      </c>
      <c r="S47" s="127">
        <v>3</v>
      </c>
      <c r="T47" s="501"/>
      <c r="U47" s="272" t="str">
        <f>IF($T$2="2018年",'Offer Statistics'!H47,IF($T$2="2019年",'Offer Statistics'!H98,IF($T$2="2020年",'Offer Statistics'!H149)))</f>
        <v>/</v>
      </c>
      <c r="V47" s="284" t="str">
        <f>IF($T$2="2018年",'Offer Statistics'!C47,IF($T$2="2019年",'Offer Statistics'!C98,IF($T$2="2020年",'Offer Statistics'!C149)))</f>
        <v>/</v>
      </c>
      <c r="W47" s="284" t="str">
        <f>IF($T$2="2018年",'Offer Statistics'!D47,IF($T$2="2019年",'Offer Statistics'!D98,IF($T$2="2020年",'Offer Statistics'!D149)))</f>
        <v>/</v>
      </c>
      <c r="X47" s="284" t="str">
        <f>IF($T$2="2018年",'Offer Statistics'!E47,IF($T$2="2019年",'Offer Statistics'!E98,IF($T$2="2020年",'Offer Statistics'!E149)))</f>
        <v>/</v>
      </c>
      <c r="Y47" s="284" t="str">
        <f>IF($T$2="2018年",'Offer Statistics'!F47,IF($T$2="2019年",'Offer Statistics'!F98,IF($T$2="2020年",'Offer Statistics'!F149)))</f>
        <v>/</v>
      </c>
      <c r="Z47" s="284" t="str">
        <f>IF($T$2="2018年",'Offer Statistics'!G47,IF($T$2="2019年",'Offer Statistics'!G98,IF($T$2="2020年",'Offer Statistics'!G149)))</f>
        <v>/</v>
      </c>
      <c r="AA47" s="501"/>
      <c r="AB47" s="272" t="str">
        <f>IF($AA$2="2018年",'Offer Statistics'!P47,IF($AA$2="2019年",'Offer Statistics'!P98,IF($AA$2="2020年",'Offer Statistics'!P149)))</f>
        <v>/</v>
      </c>
      <c r="AC47" s="284" t="str">
        <f>IF($AA$2="2018年",'Offer Statistics'!K47,IF($AA$2="2019年",'Offer Statistics'!K98,IF($AA$2="2020年",'Offer Statistics'!K149)))</f>
        <v>/</v>
      </c>
      <c r="AD47" s="284" t="str">
        <f>IF($AA$2="2018年",'Offer Statistics'!L47,IF($AA$2="2019年",'Offer Statistics'!L98,IF($AA$2="2020年",'Offer Statistics'!L149)))</f>
        <v>/</v>
      </c>
      <c r="AE47" s="284" t="str">
        <f>IF($AA$2="2018年",'Offer Statistics'!M47,IF($AA$2="2019年",'Offer Statistics'!M98,IF($AA$2="2020年",'Offer Statistics'!M149)))</f>
        <v>/</v>
      </c>
      <c r="AF47" s="284" t="str">
        <f>IF($AA$2="2018年",'Offer Statistics'!N47,IF($AA$2="2019年",'Offer Statistics'!N98,IF($AA$2="2020年",'Offer Statistics'!N149)))</f>
        <v>/</v>
      </c>
      <c r="AG47" s="284" t="str">
        <f>IF($AA$2="2018年",'Offer Statistics'!O47,IF($AA$2="2019年",'Offer Statistics'!O98,IF($AA$2="2020年",'Offer Statistics'!O149)))</f>
        <v>/</v>
      </c>
      <c r="AH47" s="338"/>
      <c r="AI47" s="338" t="str">
        <f t="shared" si="2"/>
        <v>JS1216</v>
      </c>
      <c r="AJ47" s="175"/>
      <c r="AK47" s="175"/>
      <c r="AL47" s="175"/>
      <c r="AM47" s="175"/>
      <c r="AN47" s="175"/>
      <c r="AO47" s="175"/>
      <c r="AP47" s="175"/>
      <c r="AQ47" s="175"/>
      <c r="AR47" s="175"/>
      <c r="AS47" s="175"/>
      <c r="AT47" s="175"/>
      <c r="AU47" s="175"/>
      <c r="AV47" s="175"/>
      <c r="AW47" s="175"/>
      <c r="AX47" s="175"/>
    </row>
    <row r="48" spans="1:50" s="179" customFormat="1" ht="18" customHeight="1">
      <c r="A48" s="175" t="s">
        <v>747</v>
      </c>
      <c r="B48" s="5" t="s">
        <v>863</v>
      </c>
      <c r="C48" s="186" t="s">
        <v>748</v>
      </c>
      <c r="D48" s="5" t="s">
        <v>1450</v>
      </c>
      <c r="E48" s="377" t="s">
        <v>190</v>
      </c>
      <c r="F48" s="7">
        <v>33</v>
      </c>
      <c r="G48" s="7">
        <v>33</v>
      </c>
      <c r="H48" s="193">
        <f>計分版!D71</f>
        <v>2.7000000000000002E-9</v>
      </c>
      <c r="I48" s="39">
        <f t="shared" si="7"/>
        <v>-32.999999997300002</v>
      </c>
      <c r="J48" s="40">
        <f t="shared" si="8"/>
        <v>-12222222221.222221</v>
      </c>
      <c r="K48" s="101">
        <v>30</v>
      </c>
      <c r="L48" s="381">
        <f>入學要求!S49</f>
        <v>0</v>
      </c>
      <c r="M48" s="366" t="s">
        <v>2180</v>
      </c>
      <c r="N48" s="127">
        <v>3</v>
      </c>
      <c r="O48" s="127">
        <v>3</v>
      </c>
      <c r="P48" s="127">
        <v>2</v>
      </c>
      <c r="Q48" s="127">
        <v>2</v>
      </c>
      <c r="R48" s="127">
        <v>3</v>
      </c>
      <c r="S48" s="127">
        <v>3</v>
      </c>
      <c r="T48" s="501"/>
      <c r="U48" s="272">
        <f>IF($T$2="2018年",'Offer Statistics'!H48,IF($T$2="2019年",'Offer Statistics'!H99,IF($T$2="2020年",'Offer Statistics'!H150)))</f>
        <v>16</v>
      </c>
      <c r="V48" s="284">
        <f>IF($T$2="2018年",'Offer Statistics'!C48,IF($T$2="2019年",'Offer Statistics'!C99,IF($T$2="2020年",'Offer Statistics'!C150)))</f>
        <v>16</v>
      </c>
      <c r="W48" s="284">
        <f>IF($T$2="2018年",'Offer Statistics'!D48,IF($T$2="2019年",'Offer Statistics'!D99,IF($T$2="2020年",'Offer Statistics'!D150)))</f>
        <v>0</v>
      </c>
      <c r="X48" s="284">
        <f>IF($T$2="2018年",'Offer Statistics'!E48,IF($T$2="2019年",'Offer Statistics'!E99,IF($T$2="2020年",'Offer Statistics'!E150)))</f>
        <v>0</v>
      </c>
      <c r="Y48" s="284">
        <f>IF($T$2="2018年",'Offer Statistics'!F48,IF($T$2="2019年",'Offer Statistics'!F99,IF($T$2="2020年",'Offer Statistics'!F150)))</f>
        <v>0</v>
      </c>
      <c r="Z48" s="285">
        <f>IF($T$2="2018年",'Offer Statistics'!G48,IF($T$2="2019年",'Offer Statistics'!G99,IF($T$2="2020年",'Offer Statistics'!G150)))</f>
        <v>0</v>
      </c>
      <c r="AA48" s="501"/>
      <c r="AB48" s="272">
        <f>IF($AA$2="2018年",'Offer Statistics'!P48,IF($AA$2="2019年",'Offer Statistics'!P99,IF($AA$2="2020年",'Offer Statistics'!P150)))</f>
        <v>915</v>
      </c>
      <c r="AC48" s="284">
        <f>IF($AA$2="2018年",'Offer Statistics'!K48,IF($AA$2="2019年",'Offer Statistics'!K99,IF($AA$2="2020年",'Offer Statistics'!K150)))</f>
        <v>151</v>
      </c>
      <c r="AD48" s="284">
        <f>IF($AA$2="2018年",'Offer Statistics'!L48,IF($AA$2="2019年",'Offer Statistics'!L99,IF($AA$2="2020年",'Offer Statistics'!L150)))</f>
        <v>109</v>
      </c>
      <c r="AE48" s="284">
        <f>IF($AA$2="2018年",'Offer Statistics'!M48,IF($AA$2="2019年",'Offer Statistics'!M99,IF($AA$2="2020年",'Offer Statistics'!M150)))</f>
        <v>147</v>
      </c>
      <c r="AF48" s="284">
        <f>IF($AA$2="2018年",'Offer Statistics'!N48,IF($AA$2="2019年",'Offer Statistics'!N99,IF($AA$2="2020年",'Offer Statistics'!N150)))</f>
        <v>220</v>
      </c>
      <c r="AG48" s="285">
        <f>IF($AA$2="2018年",'Offer Statistics'!O48,IF($AA$2="2019年",'Offer Statistics'!O99,IF($AA$2="2020年",'Offer Statistics'!O150)))</f>
        <v>288</v>
      </c>
      <c r="AH48" s="181"/>
      <c r="AI48" s="338" t="str">
        <f t="shared" si="2"/>
        <v>JS1801</v>
      </c>
      <c r="AJ48" s="175"/>
      <c r="AK48" s="175"/>
      <c r="AL48" s="175"/>
      <c r="AM48" s="175"/>
      <c r="AN48" s="175"/>
      <c r="AO48" s="175"/>
      <c r="AP48" s="175"/>
      <c r="AQ48" s="175"/>
      <c r="AR48" s="175"/>
      <c r="AS48" s="175"/>
      <c r="AT48" s="175"/>
      <c r="AU48" s="175"/>
      <c r="AV48" s="175"/>
      <c r="AW48" s="175"/>
      <c r="AX48" s="175"/>
    </row>
    <row r="49" spans="1:50" s="179" customFormat="1" ht="18" customHeight="1">
      <c r="A49" s="175" t="s">
        <v>749</v>
      </c>
      <c r="B49" s="5" t="s">
        <v>863</v>
      </c>
      <c r="C49" s="186" t="s">
        <v>750</v>
      </c>
      <c r="D49" s="5" t="s">
        <v>1452</v>
      </c>
      <c r="E49" s="437" t="s">
        <v>190</v>
      </c>
      <c r="F49" s="49">
        <v>38</v>
      </c>
      <c r="G49" s="49">
        <v>37.5</v>
      </c>
      <c r="H49" s="193">
        <f>計分版!D72</f>
        <v>3.0500000000000004E-9</v>
      </c>
      <c r="I49" s="39">
        <f t="shared" si="7"/>
        <v>-37.999999996950002</v>
      </c>
      <c r="J49" s="40">
        <f t="shared" si="8"/>
        <v>-12459016392.442621</v>
      </c>
      <c r="K49" s="101">
        <v>25</v>
      </c>
      <c r="L49" s="381">
        <f>入學要求!S50</f>
        <v>0</v>
      </c>
      <c r="M49" s="503" t="s">
        <v>360</v>
      </c>
      <c r="N49" s="127">
        <v>3</v>
      </c>
      <c r="O49" s="127">
        <v>3</v>
      </c>
      <c r="P49" s="127">
        <v>2</v>
      </c>
      <c r="Q49" s="127">
        <v>2</v>
      </c>
      <c r="R49" s="127">
        <v>3</v>
      </c>
      <c r="S49" s="127">
        <v>3</v>
      </c>
      <c r="T49" s="501"/>
      <c r="U49" s="272">
        <f>IF($T$2="2018年",'Offer Statistics'!H49,IF($T$2="2019年",'Offer Statistics'!H100,IF($T$2="2020年",'Offer Statistics'!H151)))</f>
        <v>24</v>
      </c>
      <c r="V49" s="284">
        <f>IF($T$2="2018年",'Offer Statistics'!C49,IF($T$2="2019年",'Offer Statistics'!C100,IF($T$2="2020年",'Offer Statistics'!C151)))</f>
        <v>21</v>
      </c>
      <c r="W49" s="284">
        <f>IF($T$2="2018年",'Offer Statistics'!D49,IF($T$2="2019年",'Offer Statistics'!D100,IF($T$2="2020年",'Offer Statistics'!D151)))</f>
        <v>1</v>
      </c>
      <c r="X49" s="284">
        <f>IF($T$2="2018年",'Offer Statistics'!E49,IF($T$2="2019年",'Offer Statistics'!E100,IF($T$2="2020年",'Offer Statistics'!E151)))</f>
        <v>1</v>
      </c>
      <c r="Y49" s="284">
        <f>IF($T$2="2018年",'Offer Statistics'!F49,IF($T$2="2019年",'Offer Statistics'!F100,IF($T$2="2020年",'Offer Statistics'!F151)))</f>
        <v>1</v>
      </c>
      <c r="Z49" s="285">
        <f>IF($T$2="2018年",'Offer Statistics'!G49,IF($T$2="2019年",'Offer Statistics'!G100,IF($T$2="2020年",'Offer Statistics'!G151)))</f>
        <v>0</v>
      </c>
      <c r="AA49" s="501"/>
      <c r="AB49" s="272">
        <f>IF($AA$2="2018年",'Offer Statistics'!P49,IF($AA$2="2019年",'Offer Statistics'!P100,IF($AA$2="2020年",'Offer Statistics'!P151)))</f>
        <v>1690</v>
      </c>
      <c r="AC49" s="284">
        <f>IF($AA$2="2018年",'Offer Statistics'!K49,IF($AA$2="2019年",'Offer Statistics'!K100,IF($AA$2="2020年",'Offer Statistics'!K151)))</f>
        <v>181</v>
      </c>
      <c r="AD49" s="284">
        <f>IF($AA$2="2018年",'Offer Statistics'!L49,IF($AA$2="2019年",'Offer Statistics'!L100,IF($AA$2="2020年",'Offer Statistics'!L151)))</f>
        <v>267</v>
      </c>
      <c r="AE49" s="284">
        <f>IF($AA$2="2018年",'Offer Statistics'!M49,IF($AA$2="2019年",'Offer Statistics'!M100,IF($AA$2="2020年",'Offer Statistics'!M151)))</f>
        <v>384</v>
      </c>
      <c r="AF49" s="284">
        <f>IF($AA$2="2018年",'Offer Statistics'!N49,IF($AA$2="2019年",'Offer Statistics'!N100,IF($AA$2="2020年",'Offer Statistics'!N151)))</f>
        <v>513</v>
      </c>
      <c r="AG49" s="285">
        <f>IF($AA$2="2018年",'Offer Statistics'!O49,IF($AA$2="2019年",'Offer Statistics'!O100,IF($AA$2="2020年",'Offer Statistics'!O151)))</f>
        <v>345</v>
      </c>
      <c r="AH49" s="181"/>
      <c r="AI49" s="338" t="str">
        <f t="shared" si="2"/>
        <v>JS1805</v>
      </c>
      <c r="AJ49" s="175"/>
      <c r="AK49" s="175"/>
      <c r="AL49" s="175"/>
      <c r="AM49" s="175"/>
      <c r="AN49" s="175"/>
      <c r="AO49" s="175"/>
      <c r="AP49" s="175"/>
      <c r="AQ49" s="175"/>
      <c r="AR49" s="175"/>
      <c r="AS49" s="175"/>
      <c r="AT49" s="175"/>
      <c r="AU49" s="175"/>
      <c r="AV49" s="175"/>
      <c r="AW49" s="175"/>
      <c r="AX49" s="175"/>
    </row>
    <row r="50" spans="1:50" s="179" customFormat="1" ht="18" customHeight="1">
      <c r="A50" s="175" t="s">
        <v>752</v>
      </c>
      <c r="B50" s="5" t="s">
        <v>863</v>
      </c>
      <c r="C50" s="186" t="s">
        <v>753</v>
      </c>
      <c r="D50" s="5" t="s">
        <v>1453</v>
      </c>
      <c r="E50" s="437" t="s">
        <v>190</v>
      </c>
      <c r="F50" s="49">
        <v>33.5</v>
      </c>
      <c r="G50" s="49">
        <v>33</v>
      </c>
      <c r="H50" s="193">
        <f>計分版!D73</f>
        <v>3.0500000000000004E-9</v>
      </c>
      <c r="I50" s="39">
        <f t="shared" ref="I50:I51" si="9">IF(I$1="差距(Median)",H50-F50,IF(I$1="差距(LQ)",H50-G50))</f>
        <v>-33.499999996950002</v>
      </c>
      <c r="J50" s="40">
        <f t="shared" ref="J50:J51" si="10">IF(I$1="差距(Median)",(H50-F50)/H50,IF(I$1="差距(LQ)",(H50-G50)/H50))</f>
        <v>-10983606556.377048</v>
      </c>
      <c r="K50" s="101">
        <v>30</v>
      </c>
      <c r="L50" s="381">
        <f>入學要求!S51</f>
        <v>0</v>
      </c>
      <c r="M50" s="503"/>
      <c r="N50" s="127">
        <v>3</v>
      </c>
      <c r="O50" s="127">
        <v>3</v>
      </c>
      <c r="P50" s="127">
        <v>2</v>
      </c>
      <c r="Q50" s="127">
        <v>2</v>
      </c>
      <c r="R50" s="127">
        <v>3</v>
      </c>
      <c r="S50" s="127">
        <v>3</v>
      </c>
      <c r="T50" s="501"/>
      <c r="U50" s="272">
        <f>IF($T$2="2018年",'Offer Statistics'!H50,IF($T$2="2019年",'Offer Statistics'!H101,IF($T$2="2020年",'Offer Statistics'!H152)))</f>
        <v>22</v>
      </c>
      <c r="V50" s="284">
        <f>IF($T$2="2018年",'Offer Statistics'!C50,IF($T$2="2019年",'Offer Statistics'!C101,IF($T$2="2020年",'Offer Statistics'!C152)))</f>
        <v>10</v>
      </c>
      <c r="W50" s="284">
        <f>IF($T$2="2018年",'Offer Statistics'!D50,IF($T$2="2019年",'Offer Statistics'!D101,IF($T$2="2020年",'Offer Statistics'!D152)))</f>
        <v>7</v>
      </c>
      <c r="X50" s="284">
        <f>IF($T$2="2018年",'Offer Statistics'!E50,IF($T$2="2019年",'Offer Statistics'!E101,IF($T$2="2020年",'Offer Statistics'!E152)))</f>
        <v>3</v>
      </c>
      <c r="Y50" s="284">
        <f>IF($T$2="2018年",'Offer Statistics'!F50,IF($T$2="2019年",'Offer Statistics'!F101,IF($T$2="2020年",'Offer Statistics'!F152)))</f>
        <v>2</v>
      </c>
      <c r="Z50" s="285">
        <f>IF($T$2="2018年",'Offer Statistics'!G50,IF($T$2="2019年",'Offer Statistics'!G101,IF($T$2="2020年",'Offer Statistics'!G152)))</f>
        <v>0</v>
      </c>
      <c r="AA50" s="501"/>
      <c r="AB50" s="272">
        <f>IF($AA$2="2018年",'Offer Statistics'!P50,IF($AA$2="2019年",'Offer Statistics'!P101,IF($AA$2="2020年",'Offer Statistics'!P152)))</f>
        <v>1421</v>
      </c>
      <c r="AC50" s="284">
        <f>IF($AA$2="2018年",'Offer Statistics'!K50,IF($AA$2="2019年",'Offer Statistics'!K101,IF($AA$2="2020年",'Offer Statistics'!K152)))</f>
        <v>105</v>
      </c>
      <c r="AD50" s="284">
        <f>IF($AA$2="2018年",'Offer Statistics'!L50,IF($AA$2="2019年",'Offer Statistics'!L101,IF($AA$2="2020年",'Offer Statistics'!L152)))</f>
        <v>217</v>
      </c>
      <c r="AE50" s="284">
        <f>IF($AA$2="2018年",'Offer Statistics'!M50,IF($AA$2="2019年",'Offer Statistics'!M101,IF($AA$2="2020年",'Offer Statistics'!M152)))</f>
        <v>346</v>
      </c>
      <c r="AF50" s="284">
        <f>IF($AA$2="2018年",'Offer Statistics'!N50,IF($AA$2="2019年",'Offer Statistics'!N101,IF($AA$2="2020年",'Offer Statistics'!N152)))</f>
        <v>434</v>
      </c>
      <c r="AG50" s="285">
        <f>IF($AA$2="2018年",'Offer Statistics'!O50,IF($AA$2="2019年",'Offer Statistics'!O101,IF($AA$2="2020年",'Offer Statistics'!O152)))</f>
        <v>319</v>
      </c>
      <c r="AH50" s="181"/>
      <c r="AI50" s="338" t="str">
        <f t="shared" si="2"/>
        <v>JS1806</v>
      </c>
      <c r="AJ50" s="175"/>
      <c r="AK50" s="175"/>
      <c r="AL50" s="175"/>
      <c r="AM50" s="175"/>
      <c r="AN50" s="175"/>
      <c r="AO50" s="175"/>
      <c r="AP50" s="175"/>
      <c r="AQ50" s="175"/>
      <c r="AR50" s="175"/>
      <c r="AS50" s="175"/>
      <c r="AT50" s="175"/>
      <c r="AU50" s="175"/>
      <c r="AV50" s="175"/>
      <c r="AW50" s="175"/>
      <c r="AX50" s="175"/>
    </row>
    <row r="51" spans="1:50" s="179" customFormat="1" ht="18" customHeight="1">
      <c r="A51" s="175" t="s">
        <v>755</v>
      </c>
      <c r="B51" s="5" t="s">
        <v>863</v>
      </c>
      <c r="C51" s="186" t="s">
        <v>756</v>
      </c>
      <c r="D51" s="5" t="s">
        <v>1454</v>
      </c>
      <c r="E51" s="437" t="s">
        <v>190</v>
      </c>
      <c r="F51" s="7">
        <v>40</v>
      </c>
      <c r="G51" s="7">
        <v>39</v>
      </c>
      <c r="H51" s="193">
        <f>計分版!D74</f>
        <v>3.0500000000000004E-9</v>
      </c>
      <c r="I51" s="39">
        <f t="shared" si="9"/>
        <v>-39.999999996950002</v>
      </c>
      <c r="J51" s="40">
        <f t="shared" si="10"/>
        <v>-13114754097.360655</v>
      </c>
      <c r="K51" s="101">
        <v>30</v>
      </c>
      <c r="L51" s="382">
        <f>入學要求!S52</f>
        <v>0</v>
      </c>
      <c r="M51" s="503"/>
      <c r="N51" s="127">
        <v>3</v>
      </c>
      <c r="O51" s="127">
        <v>3</v>
      </c>
      <c r="P51" s="127">
        <v>3</v>
      </c>
      <c r="Q51" s="127">
        <v>2</v>
      </c>
      <c r="R51" s="127">
        <v>3</v>
      </c>
      <c r="S51" s="127">
        <v>3</v>
      </c>
      <c r="T51" s="501"/>
      <c r="U51" s="272">
        <f>IF($T$2="2018年",'Offer Statistics'!H51,IF($T$2="2019年",'Offer Statistics'!H102,IF($T$2="2020年",'Offer Statistics'!H153)))</f>
        <v>25</v>
      </c>
      <c r="V51" s="284">
        <f>IF($T$2="2018年",'Offer Statistics'!C51,IF($T$2="2019年",'Offer Statistics'!C102,IF($T$2="2020年",'Offer Statistics'!C153)))</f>
        <v>24</v>
      </c>
      <c r="W51" s="284">
        <f>IF($T$2="2018年",'Offer Statistics'!D51,IF($T$2="2019年",'Offer Statistics'!D102,IF($T$2="2020年",'Offer Statistics'!D153)))</f>
        <v>0</v>
      </c>
      <c r="X51" s="284">
        <f>IF($T$2="2018年",'Offer Statistics'!E51,IF($T$2="2019年",'Offer Statistics'!E102,IF($T$2="2020年",'Offer Statistics'!E153)))</f>
        <v>1</v>
      </c>
      <c r="Y51" s="284">
        <f>IF($T$2="2018年",'Offer Statistics'!F51,IF($T$2="2019年",'Offer Statistics'!F102,IF($T$2="2020年",'Offer Statistics'!F153)))</f>
        <v>0</v>
      </c>
      <c r="Z51" s="285">
        <f>IF($T$2="2018年",'Offer Statistics'!G51,IF($T$2="2019年",'Offer Statistics'!G102,IF($T$2="2020年",'Offer Statistics'!G153)))</f>
        <v>0</v>
      </c>
      <c r="AA51" s="501"/>
      <c r="AB51" s="272">
        <f>IF($AA$2="2018年",'Offer Statistics'!P51,IF($AA$2="2019年",'Offer Statistics'!P102,IF($AA$2="2020年",'Offer Statistics'!P153)))</f>
        <v>1814</v>
      </c>
      <c r="AC51" s="284">
        <f>IF($AA$2="2018年",'Offer Statistics'!K51,IF($AA$2="2019年",'Offer Statistics'!K102,IF($AA$2="2020年",'Offer Statistics'!K153)))</f>
        <v>185</v>
      </c>
      <c r="AD51" s="284">
        <f>IF($AA$2="2018年",'Offer Statistics'!L51,IF($AA$2="2019年",'Offer Statistics'!L102,IF($AA$2="2020年",'Offer Statistics'!L153)))</f>
        <v>264</v>
      </c>
      <c r="AE51" s="284">
        <f>IF($AA$2="2018年",'Offer Statistics'!M51,IF($AA$2="2019年",'Offer Statistics'!M102,IF($AA$2="2020年",'Offer Statistics'!M153)))</f>
        <v>444</v>
      </c>
      <c r="AF51" s="284">
        <f>IF($AA$2="2018年",'Offer Statistics'!N51,IF($AA$2="2019年",'Offer Statistics'!N102,IF($AA$2="2020年",'Offer Statistics'!N153)))</f>
        <v>539</v>
      </c>
      <c r="AG51" s="285">
        <f>IF($AA$2="2018年",'Offer Statistics'!O51,IF($AA$2="2019年",'Offer Statistics'!O102,IF($AA$2="2020年",'Offer Statistics'!O153)))</f>
        <v>382</v>
      </c>
      <c r="AH51" s="181"/>
      <c r="AI51" s="338" t="str">
        <f t="shared" si="2"/>
        <v>JS1807</v>
      </c>
      <c r="AJ51" s="175"/>
      <c r="AK51" s="175"/>
      <c r="AL51" s="175"/>
      <c r="AM51" s="175"/>
      <c r="AN51" s="175"/>
      <c r="AO51" s="175"/>
      <c r="AP51" s="175"/>
      <c r="AQ51" s="175"/>
      <c r="AR51" s="175"/>
      <c r="AS51" s="175"/>
      <c r="AT51" s="175"/>
      <c r="AU51" s="175"/>
      <c r="AV51" s="175"/>
      <c r="AW51" s="175"/>
      <c r="AX51" s="175"/>
    </row>
    <row r="52" spans="1:50" s="179" customFormat="1" ht="18" customHeight="1">
      <c r="A52" s="175"/>
      <c r="B52" s="5"/>
      <c r="C52" s="186"/>
      <c r="D52" s="5"/>
      <c r="E52" s="307"/>
      <c r="F52" s="5"/>
      <c r="G52" s="5"/>
      <c r="H52" s="338"/>
      <c r="I52" s="5"/>
      <c r="J52" s="5"/>
      <c r="K52" s="53"/>
      <c r="L52" s="371"/>
      <c r="M52" s="5"/>
      <c r="N52" s="5"/>
      <c r="O52" s="5"/>
      <c r="P52" s="5"/>
      <c r="Q52" s="5"/>
      <c r="R52" s="5"/>
      <c r="S52" s="5"/>
      <c r="T52" s="5"/>
      <c r="U52" s="175"/>
      <c r="V52" s="5"/>
      <c r="W52" s="5"/>
      <c r="X52" s="5"/>
      <c r="Y52" s="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row>
    <row r="53" spans="1:50" ht="18" customHeight="1">
      <c r="A53" s="175" t="s">
        <v>2198</v>
      </c>
    </row>
    <row r="54" spans="1:50" ht="18" customHeight="1">
      <c r="A54" s="175" t="s">
        <v>1274</v>
      </c>
    </row>
    <row r="55" spans="1:50" s="175" customFormat="1" ht="18" customHeight="1">
      <c r="C55" s="186"/>
      <c r="E55" s="438"/>
      <c r="H55" s="438"/>
      <c r="K55" s="437"/>
      <c r="L55" s="438"/>
    </row>
    <row r="56" spans="1:50" s="187" customFormat="1" ht="18" customHeight="1">
      <c r="A56" s="187" t="s">
        <v>2352</v>
      </c>
      <c r="E56" s="272"/>
      <c r="F56" s="35"/>
      <c r="G56" s="35"/>
      <c r="H56" s="35"/>
      <c r="I56" s="35"/>
      <c r="J56" s="36"/>
      <c r="K56" s="37"/>
      <c r="L56" s="35"/>
      <c r="N56" s="35"/>
      <c r="O56" s="35"/>
      <c r="P56" s="35"/>
      <c r="Q56" s="35"/>
      <c r="R56" s="35"/>
      <c r="S56" s="35"/>
      <c r="T56" s="35"/>
      <c r="U56" s="35"/>
      <c r="V56" s="35"/>
      <c r="W56" s="35"/>
      <c r="X56" s="35"/>
      <c r="Y56" s="35"/>
      <c r="Z56" s="35"/>
      <c r="AA56" s="35"/>
      <c r="AB56" s="35"/>
      <c r="AC56" s="35"/>
      <c r="AD56" s="35"/>
      <c r="AE56" s="35"/>
      <c r="AF56" s="35"/>
      <c r="AG56" s="35"/>
      <c r="AH56" s="35"/>
      <c r="AJ56" s="35"/>
    </row>
    <row r="57" spans="1:50" s="175" customFormat="1" ht="18" customHeight="1">
      <c r="C57" s="186"/>
      <c r="E57" s="386"/>
      <c r="H57" s="386"/>
      <c r="K57" s="385"/>
      <c r="L57" s="386"/>
    </row>
    <row r="58" spans="1:50" s="175" customFormat="1" ht="18" customHeight="1">
      <c r="A58" s="4" t="s">
        <v>2243</v>
      </c>
      <c r="C58" s="186"/>
      <c r="E58" s="386"/>
      <c r="H58" s="386"/>
      <c r="K58" s="385"/>
      <c r="L58" s="386"/>
    </row>
    <row r="59" spans="1:50" s="175" customFormat="1" ht="18" customHeight="1">
      <c r="A59" s="175" t="s">
        <v>2244</v>
      </c>
      <c r="C59" s="186"/>
      <c r="E59" s="386"/>
      <c r="H59" s="386"/>
      <c r="K59" s="385"/>
      <c r="L59" s="386"/>
    </row>
    <row r="60" spans="1:50" ht="18" customHeight="1"/>
    <row r="61" spans="1:50" ht="18" customHeight="1">
      <c r="A61" s="4" t="s">
        <v>1147</v>
      </c>
    </row>
    <row r="62" spans="1:50" ht="18" customHeight="1">
      <c r="A62" s="194" t="s">
        <v>1281</v>
      </c>
    </row>
    <row r="63" spans="1:50" ht="18" customHeight="1">
      <c r="A63" s="194" t="s">
        <v>1150</v>
      </c>
    </row>
    <row r="64" spans="1:50" ht="18" customHeight="1">
      <c r="A64" s="194" t="s">
        <v>1151</v>
      </c>
    </row>
    <row r="65" spans="1:12" ht="18" customHeight="1">
      <c r="A65" s="194" t="s">
        <v>1280</v>
      </c>
      <c r="K65" s="73"/>
    </row>
    <row r="66" spans="1:12" s="175" customFormat="1" ht="18" customHeight="1">
      <c r="A66" s="194" t="s">
        <v>2179</v>
      </c>
      <c r="C66" s="186"/>
      <c r="E66" s="338"/>
      <c r="H66" s="338"/>
      <c r="K66" s="333"/>
      <c r="L66" s="371"/>
    </row>
    <row r="67" spans="1:12" ht="18" customHeight="1"/>
    <row r="68" spans="1:12" ht="16.5" hidden="1" customHeight="1"/>
    <row r="69" spans="1:12" ht="16.5" hidden="1" customHeight="1"/>
    <row r="70" spans="1:12" ht="16.5" hidden="1" customHeight="1"/>
    <row r="71" spans="1:12" ht="16.5" hidden="1" customHeight="1"/>
    <row r="72" spans="1:12" ht="16.5" hidden="1" customHeight="1"/>
    <row r="73" spans="1:12" ht="16.5" hidden="1" customHeight="1"/>
  </sheetData>
  <mergeCells count="10">
    <mergeCell ref="I1:J1"/>
    <mergeCell ref="T2:T51"/>
    <mergeCell ref="AA2:AA51"/>
    <mergeCell ref="M10:M12"/>
    <mergeCell ref="M7:M9"/>
    <mergeCell ref="M13:M15"/>
    <mergeCell ref="M16:M19"/>
    <mergeCell ref="M22:M24"/>
    <mergeCell ref="M33:M35"/>
    <mergeCell ref="M49:M51"/>
  </mergeCells>
  <phoneticPr fontId="2" type="noConversion"/>
  <conditionalFormatting sqref="I2:J51">
    <cfRule type="cellIs" dxfId="385" priority="154" operator="equal">
      <formula>"/"</formula>
    </cfRule>
    <cfRule type="cellIs" dxfId="384" priority="155" operator="lessThan">
      <formula>0</formula>
    </cfRule>
    <cfRule type="cellIs" dxfId="383" priority="156" operator="greaterThan">
      <formula>0</formula>
    </cfRule>
  </conditionalFormatting>
  <conditionalFormatting sqref="F2:F51">
    <cfRule type="expression" dxfId="382" priority="153">
      <formula>$I$1="差距(Median)"</formula>
    </cfRule>
  </conditionalFormatting>
  <conditionalFormatting sqref="G2:G51">
    <cfRule type="expression" dxfId="381" priority="140">
      <formula>$I$1="差距(LQ)"</formula>
    </cfRule>
  </conditionalFormatting>
  <conditionalFormatting sqref="L2:L51">
    <cfRule type="cellIs" dxfId="380" priority="137" operator="equal">
      <formula>2</formula>
    </cfRule>
    <cfRule type="cellIs" dxfId="379" priority="138" operator="equal">
      <formula>1</formula>
    </cfRule>
    <cfRule type="cellIs" dxfId="378" priority="139" operator="equal">
      <formula>0</formula>
    </cfRule>
  </conditionalFormatting>
  <conditionalFormatting sqref="A2:AI51">
    <cfRule type="expression" dxfId="377" priority="1033">
      <formula>MOD(ROW(),2)=0</formula>
    </cfRule>
  </conditionalFormatting>
  <conditionalFormatting sqref="T2">
    <cfRule type="expression" dxfId="376" priority="23">
      <formula>TRUE</formula>
    </cfRule>
  </conditionalFormatting>
  <conditionalFormatting sqref="AA2">
    <cfRule type="expression" dxfId="375" priority="21">
      <formula>TRUE</formula>
    </cfRule>
  </conditionalFormatting>
  <conditionalFormatting sqref="AH2:AH51">
    <cfRule type="expression" dxfId="374" priority="20">
      <formula>TRUE</formula>
    </cfRule>
  </conditionalFormatting>
  <conditionalFormatting sqref="M22">
    <cfRule type="expression" dxfId="373" priority="19">
      <formula>MOD(ROW(),2)=0</formula>
    </cfRule>
  </conditionalFormatting>
  <conditionalFormatting sqref="S25">
    <cfRule type="expression" dxfId="372" priority="1" stopIfTrue="1">
      <formula>TRUE</formula>
    </cfRule>
  </conditionalFormatting>
  <conditionalFormatting sqref="S26">
    <cfRule type="expression" dxfId="371" priority="2" stopIfTrue="1">
      <formula>TRUE</formula>
    </cfRule>
  </conditionalFormatting>
  <hyperlinks>
    <hyperlink ref="A62" r:id="rId1" xr:uid="{00000000-0004-0000-0500-000000000000}"/>
    <hyperlink ref="A63" r:id="rId2" xr:uid="{00000000-0004-0000-0500-000001000000}"/>
    <hyperlink ref="A64" r:id="rId3" xr:uid="{00000000-0004-0000-0500-000002000000}"/>
    <hyperlink ref="A65" r:id="rId4" xr:uid="{00000000-0004-0000-0500-000003000000}"/>
    <hyperlink ref="A66" r:id="rId5" xr:uid="{00000000-0004-0000-0500-000004000000}"/>
  </hyperlinks>
  <pageMargins left="0.7" right="0.7" top="0.75" bottom="0.75" header="0.3" footer="0.3"/>
  <pageSetup paperSize="9" orientation="portrait" horizontalDpi="300" verticalDpi="300" r:id="rId6"/>
  <legacyDrawing r:id="rId7"/>
  <extLst>
    <ext xmlns:x14="http://schemas.microsoft.com/office/spreadsheetml/2009/9/main" uri="{78C0D931-6437-407d-A8EE-F0AAD7539E65}">
      <x14:conditionalFormattings>
        <x14:conditionalFormatting xmlns:xm="http://schemas.microsoft.com/office/excel/2006/main">
          <x14:cfRule type="expression" priority="3" id="{B0923242-EE9A-4F1F-8146-1AD1085DC0CB}">
            <xm:f>入學要求!L3=0</xm:f>
            <x14:dxf>
              <font>
                <color rgb="FF9C0006"/>
              </font>
              <fill>
                <patternFill>
                  <bgColor rgb="FFFFC7CE"/>
                </patternFill>
              </fill>
            </x14:dxf>
          </x14:cfRule>
          <x14:cfRule type="expression" priority="4" id="{DB5FF3CF-16EB-44EB-8F73-E716C3A623B9}">
            <xm:f>入學要求!L3=2</xm:f>
            <x14:dxf>
              <font>
                <color rgb="FF9C5700"/>
              </font>
              <fill>
                <patternFill>
                  <bgColor rgb="FFFFEB9C"/>
                </patternFill>
              </fill>
            </x14:dxf>
          </x14:cfRule>
          <x14:cfRule type="expression" priority="5" id="{07523817-4A57-46A0-9BE7-62AAB3866A9E}">
            <xm:f>入學要求!L3=1</xm:f>
            <x14:dxf>
              <font>
                <color rgb="FF006100"/>
              </font>
              <fill>
                <patternFill>
                  <bgColor rgb="FFC6EFCE"/>
                </patternFill>
              </fill>
            </x14:dxf>
          </x14:cfRule>
          <xm:sqref>N2:S51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選單!$J$2:$J$3</xm:f>
          </x14:formula1>
          <xm:sqref>I1:J1</xm:sqref>
        </x14:dataValidation>
        <x14:dataValidation type="list" allowBlank="1" showInputMessage="1" showErrorMessage="1" xr:uid="{00000000-0002-0000-0500-000001000000}">
          <x14:formula1>
            <xm:f>選單!$I$1:$I$3</xm:f>
          </x14:formula1>
          <xm:sqref>T2:T51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6">
    <pageSetUpPr autoPageBreaks="0"/>
  </sheetPr>
  <dimension ref="A1:AO73"/>
  <sheetViews>
    <sheetView zoomScaleNormal="100" zoomScaleSheetLayoutView="50" workbookViewId="0">
      <pane ySplit="1" topLeftCell="A2" activePane="bottomLeft" state="frozen"/>
      <selection pane="bottomLeft"/>
    </sheetView>
  </sheetViews>
  <sheetFormatPr defaultColWidth="0" defaultRowHeight="0" customHeight="1" zeroHeight="1"/>
  <cols>
    <col min="1" max="1" width="7.109375" style="5" customWidth="1"/>
    <col min="2" max="2" width="9.109375" style="5" customWidth="1"/>
    <col min="3" max="3" width="25.77734375" style="5" customWidth="1"/>
    <col min="4" max="4" width="10.6640625" style="5" hidden="1" customWidth="1"/>
    <col min="5" max="5" width="7.77734375" style="307" customWidth="1"/>
    <col min="6" max="8" width="7.77734375" style="5" customWidth="1"/>
    <col min="9" max="10" width="7.6640625" style="5" customWidth="1"/>
    <col min="11" max="11" width="4.88671875" style="60" customWidth="1"/>
    <col min="12" max="12" width="4.6640625" style="406" customWidth="1"/>
    <col min="13" max="13" width="9.77734375" style="355" customWidth="1"/>
    <col min="14" max="19" width="2.21875" style="5" customWidth="1"/>
    <col min="20" max="20" width="8.88671875" style="175" customWidth="1"/>
    <col min="21" max="26" width="6.33203125" style="175" customWidth="1"/>
    <col min="27" max="27" width="8.88671875" style="175" customWidth="1"/>
    <col min="28" max="33" width="6.33203125" style="175" customWidth="1"/>
    <col min="34" max="34" width="3.109375" style="175" customWidth="1"/>
    <col min="35" max="35" width="8.109375" style="175" customWidth="1"/>
    <col min="36" max="41" width="0" style="5" hidden="1" customWidth="1"/>
    <col min="42" max="16384" width="8.88671875" style="5" hidden="1"/>
  </cols>
  <sheetData>
    <row r="1" spans="1:35" s="62" customFormat="1" ht="18" customHeight="1">
      <c r="A1" s="62" t="s">
        <v>2297</v>
      </c>
      <c r="B1" s="62" t="s">
        <v>298</v>
      </c>
      <c r="C1" s="62" t="s">
        <v>367</v>
      </c>
      <c r="E1" s="303" t="s">
        <v>204</v>
      </c>
      <c r="F1" s="303" t="s">
        <v>300</v>
      </c>
      <c r="G1" s="303" t="s">
        <v>301</v>
      </c>
      <c r="H1" s="303" t="s">
        <v>205</v>
      </c>
      <c r="I1" s="504" t="s">
        <v>363</v>
      </c>
      <c r="J1" s="504"/>
      <c r="K1" s="63" t="s">
        <v>361</v>
      </c>
      <c r="L1" s="407" t="s">
        <v>376</v>
      </c>
      <c r="M1" s="352" t="s">
        <v>2189</v>
      </c>
      <c r="N1" s="63" t="s">
        <v>369</v>
      </c>
      <c r="O1" s="63" t="s">
        <v>370</v>
      </c>
      <c r="P1" s="63" t="s">
        <v>371</v>
      </c>
      <c r="Q1" s="63" t="s">
        <v>372</v>
      </c>
      <c r="R1" s="63" t="s">
        <v>373</v>
      </c>
      <c r="S1" s="63" t="s">
        <v>374</v>
      </c>
      <c r="T1" s="334" t="s">
        <v>2029</v>
      </c>
      <c r="U1" s="277" t="s">
        <v>2027</v>
      </c>
      <c r="V1" s="277" t="s">
        <v>2021</v>
      </c>
      <c r="W1" s="277" t="s">
        <v>2022</v>
      </c>
      <c r="X1" s="277" t="s">
        <v>2023</v>
      </c>
      <c r="Y1" s="277" t="s">
        <v>2024</v>
      </c>
      <c r="Z1" s="277" t="s">
        <v>2025</v>
      </c>
      <c r="AA1" s="277" t="s">
        <v>2038</v>
      </c>
      <c r="AB1" s="277" t="s">
        <v>2027</v>
      </c>
      <c r="AC1" s="277" t="s">
        <v>2021</v>
      </c>
      <c r="AD1" s="277" t="s">
        <v>2022</v>
      </c>
      <c r="AE1" s="277" t="s">
        <v>2023</v>
      </c>
      <c r="AF1" s="277" t="s">
        <v>2024</v>
      </c>
      <c r="AG1" s="277" t="s">
        <v>2025</v>
      </c>
      <c r="AI1" s="277"/>
    </row>
    <row r="2" spans="1:35" ht="18" customHeight="1">
      <c r="A2" s="5" t="s">
        <v>893</v>
      </c>
      <c r="B2" s="5" t="s">
        <v>287</v>
      </c>
      <c r="C2" s="5" t="s">
        <v>215</v>
      </c>
      <c r="D2" s="5" t="s">
        <v>1515</v>
      </c>
      <c r="E2" s="307" t="s">
        <v>190</v>
      </c>
      <c r="F2" s="7">
        <f>7+3+3+3+4+4</f>
        <v>24</v>
      </c>
      <c r="G2" s="7">
        <f>5+4+3+4+5+3</f>
        <v>24</v>
      </c>
      <c r="H2" s="193">
        <f>計分版!D77</f>
        <v>2.8499999999999999E-9</v>
      </c>
      <c r="I2" s="39">
        <f>IF(I$1="差距(Median)",H2-F2,IF(I$1="差距(LQ)",H2-G2))</f>
        <v>-23.999999997149999</v>
      </c>
      <c r="J2" s="40">
        <f>IF(I$1="差距(Median)",(H2-F2)/H2,IF(I$1="差距(LQ)",(H2-G2)/H2))</f>
        <v>-8421052630.5789471</v>
      </c>
      <c r="K2" s="101">
        <v>56</v>
      </c>
      <c r="L2" s="380">
        <f>入學要求!S56</f>
        <v>0</v>
      </c>
      <c r="M2" s="361" t="s">
        <v>360</v>
      </c>
      <c r="N2" s="82">
        <v>3</v>
      </c>
      <c r="O2" s="82">
        <v>3</v>
      </c>
      <c r="P2" s="82">
        <v>2</v>
      </c>
      <c r="Q2" s="82">
        <v>2</v>
      </c>
      <c r="R2" s="82">
        <v>3</v>
      </c>
      <c r="S2" s="82">
        <v>3</v>
      </c>
      <c r="T2" s="501" t="s">
        <v>2030</v>
      </c>
      <c r="U2" s="276">
        <f>IF($T$2="2018年",'Offer Statistics'!AG2,IF($T$2="2019年",'Offer Statistics'!AG33,IF($T$2="2020年",'Offer Statistics'!AG64)))</f>
        <v>53</v>
      </c>
      <c r="V2" s="284">
        <f>IF($T$2="2018年",'Offer Statistics'!AB2,IF($T$2="2019年",'Offer Statistics'!AB33,IF($T$2="2020年",'Offer Statistics'!AB64)))</f>
        <v>47</v>
      </c>
      <c r="W2" s="284">
        <f>IF($T$2="2018年",'Offer Statistics'!AC2,IF($T$2="2019年",'Offer Statistics'!AC33,IF($T$2="2020年",'Offer Statistics'!AC64)))</f>
        <v>3</v>
      </c>
      <c r="X2" s="284">
        <f>IF($T$2="2018年",'Offer Statistics'!AD2,IF($T$2="2019年",'Offer Statistics'!AD33,IF($T$2="2020年",'Offer Statistics'!AD64)))</f>
        <v>2</v>
      </c>
      <c r="Y2" s="284">
        <f>IF($T$2="2018年",'Offer Statistics'!AE2,IF($T$2="2019年",'Offer Statistics'!AE33,IF($T$2="2020年",'Offer Statistics'!AE64)))</f>
        <v>0</v>
      </c>
      <c r="Z2" s="284">
        <f>IF($T$2="2018年",'Offer Statistics'!AF2,IF($T$2="2019年",'Offer Statistics'!AF33,IF($T$2="2020年",'Offer Statistics'!AF64)))</f>
        <v>1</v>
      </c>
      <c r="AA2" s="501" t="str">
        <f>T2</f>
        <v>2020年</v>
      </c>
      <c r="AB2" s="276">
        <f>IF($AA$2="2018年",'Offer Statistics'!Y2,IF($AA$2="2019年",'Offer Statistics'!Y33,IF($AA$2="2020年",'Offer Statistics'!Y64)))</f>
        <v>4300</v>
      </c>
      <c r="AC2" s="284">
        <f>IF($AA$2="2018年",'Offer Statistics'!T2,IF($AA$2="2019年",'Offer Statistics'!T33,IF($AA$2="2020年",'Offer Statistics'!T64)))</f>
        <v>765</v>
      </c>
      <c r="AD2" s="284">
        <f>IF($AA$2="2018年",'Offer Statistics'!U2,IF($AA$2="2019年",'Offer Statistics'!U33,IF($AA$2="2020年",'Offer Statistics'!U64)))</f>
        <v>826</v>
      </c>
      <c r="AE2" s="284">
        <f>IF($AA$2="2018年",'Offer Statistics'!V2,IF($AA$2="2019年",'Offer Statistics'!V33,IF($AA$2="2020年",'Offer Statistics'!V64)))</f>
        <v>1021</v>
      </c>
      <c r="AF2" s="284">
        <f>IF($AA$2="2018年",'Offer Statistics'!W2,IF($AA$2="2019年",'Offer Statistics'!W33,IF($AA$2="2020年",'Offer Statistics'!W64)))</f>
        <v>1045</v>
      </c>
      <c r="AG2" s="284">
        <f>IF($AA$2="2018年",'Offer Statistics'!X2,IF($AA$2="2019年",'Offer Statistics'!X33,IF($AA$2="2020年",'Offer Statistics'!X64)))</f>
        <v>643</v>
      </c>
      <c r="AI2" s="181" t="str">
        <f>A2</f>
        <v>JS2020</v>
      </c>
    </row>
    <row r="3" spans="1:35" s="64" customFormat="1" ht="18" customHeight="1">
      <c r="A3" s="5" t="s">
        <v>894</v>
      </c>
      <c r="B3" s="5" t="s">
        <v>287</v>
      </c>
      <c r="C3" s="5" t="s">
        <v>922</v>
      </c>
      <c r="D3" s="5" t="s">
        <v>1516</v>
      </c>
      <c r="E3" s="307" t="s">
        <v>195</v>
      </c>
      <c r="F3" s="7">
        <f>7+3+4+4+4+3</f>
        <v>25</v>
      </c>
      <c r="G3" s="7">
        <f>5+4+3+4+5+4</f>
        <v>25</v>
      </c>
      <c r="H3" s="193">
        <f>計分版!D78</f>
        <v>2.8499999999999999E-9</v>
      </c>
      <c r="I3" s="39">
        <f t="shared" ref="I3:I8" si="0">IF(I$1="差距(Median)",H3-F3,IF(I$1="差距(LQ)",H3-G3))</f>
        <v>-24.999999997149999</v>
      </c>
      <c r="J3" s="40">
        <f t="shared" ref="J3:J8" si="1">IF(I$1="差距(Median)",(H3-F3)/H3,IF(I$1="差距(LQ)",(H3-G3)/H3))</f>
        <v>-8771929823.5614033</v>
      </c>
      <c r="K3" s="276">
        <v>18</v>
      </c>
      <c r="L3" s="381">
        <f>入學要求!S57</f>
        <v>0</v>
      </c>
      <c r="M3" s="361" t="s">
        <v>360</v>
      </c>
      <c r="N3" s="82">
        <v>3</v>
      </c>
      <c r="O3" s="82">
        <v>3</v>
      </c>
      <c r="P3" s="82">
        <v>2</v>
      </c>
      <c r="Q3" s="82">
        <v>2</v>
      </c>
      <c r="R3" s="82">
        <v>3</v>
      </c>
      <c r="S3" s="82">
        <v>3</v>
      </c>
      <c r="T3" s="501"/>
      <c r="U3" s="276">
        <f>IF($T$2="2018年",'Offer Statistics'!AG3,IF($T$2="2019年",'Offer Statistics'!AG34,IF($T$2="2020年",'Offer Statistics'!AG65)))</f>
        <v>20</v>
      </c>
      <c r="V3" s="284">
        <f>IF($T$2="2018年",'Offer Statistics'!AB3,IF($T$2="2019年",'Offer Statistics'!AB34,IF($T$2="2020年",'Offer Statistics'!AB65)))</f>
        <v>20</v>
      </c>
      <c r="W3" s="284">
        <f>IF($T$2="2018年",'Offer Statistics'!AC3,IF($T$2="2019年",'Offer Statistics'!AC34,IF($T$2="2020年",'Offer Statistics'!AC65)))</f>
        <v>0</v>
      </c>
      <c r="X3" s="284">
        <f>IF($T$2="2018年",'Offer Statistics'!AD3,IF($T$2="2019年",'Offer Statistics'!AD34,IF($T$2="2020年",'Offer Statistics'!AD65)))</f>
        <v>0</v>
      </c>
      <c r="Y3" s="284">
        <f>IF($T$2="2018年",'Offer Statistics'!AE3,IF($T$2="2019年",'Offer Statistics'!AE34,IF($T$2="2020年",'Offer Statistics'!AE65)))</f>
        <v>0</v>
      </c>
      <c r="Z3" s="284">
        <f>IF($T$2="2018年",'Offer Statistics'!AF3,IF($T$2="2019年",'Offer Statistics'!AF34,IF($T$2="2020年",'Offer Statistics'!AF65)))</f>
        <v>0</v>
      </c>
      <c r="AA3" s="501"/>
      <c r="AB3" s="276">
        <f>IF($AA$2="2018年",'Offer Statistics'!Y3,IF($AA$2="2019年",'Offer Statistics'!Y34,IF($AA$2="2020年",'Offer Statistics'!Y65)))</f>
        <v>1942</v>
      </c>
      <c r="AC3" s="284">
        <f>IF($AA$2="2018年",'Offer Statistics'!T3,IF($AA$2="2019年",'Offer Statistics'!T34,IF($AA$2="2020年",'Offer Statistics'!T65)))</f>
        <v>285</v>
      </c>
      <c r="AD3" s="284">
        <f>IF($AA$2="2018年",'Offer Statistics'!U3,IF($AA$2="2019年",'Offer Statistics'!U34,IF($AA$2="2020年",'Offer Statistics'!U65)))</f>
        <v>368</v>
      </c>
      <c r="AE3" s="284">
        <f>IF($AA$2="2018年",'Offer Statistics'!V3,IF($AA$2="2019年",'Offer Statistics'!V34,IF($AA$2="2020年",'Offer Statistics'!V65)))</f>
        <v>475</v>
      </c>
      <c r="AF3" s="284">
        <f>IF($AA$2="2018年",'Offer Statistics'!W3,IF($AA$2="2019年",'Offer Statistics'!W34,IF($AA$2="2020年",'Offer Statistics'!W65)))</f>
        <v>491</v>
      </c>
      <c r="AG3" s="284">
        <f>IF($AA$2="2018年",'Offer Statistics'!X3,IF($AA$2="2019年",'Offer Statistics'!X34,IF($AA$2="2020年",'Offer Statistics'!X65)))</f>
        <v>323</v>
      </c>
      <c r="AH3" s="175"/>
      <c r="AI3" s="338" t="str">
        <f t="shared" ref="AI3:AI30" si="2">A3</f>
        <v>JS2021</v>
      </c>
    </row>
    <row r="4" spans="1:35" ht="18" customHeight="1">
      <c r="A4" s="5" t="s">
        <v>895</v>
      </c>
      <c r="B4" s="5" t="s">
        <v>287</v>
      </c>
      <c r="C4" s="5" t="s">
        <v>924</v>
      </c>
      <c r="D4" s="5" t="s">
        <v>1517</v>
      </c>
      <c r="E4" s="307" t="s">
        <v>195</v>
      </c>
      <c r="F4" s="7">
        <f>5+4+3+4+4+3</f>
        <v>23</v>
      </c>
      <c r="G4" s="7">
        <f>4+4+4+4+4+3</f>
        <v>23</v>
      </c>
      <c r="H4" s="193">
        <f>計分版!D79</f>
        <v>2.8499999999999999E-9</v>
      </c>
      <c r="I4" s="39">
        <f t="shared" si="0"/>
        <v>-22.999999997149999</v>
      </c>
      <c r="J4" s="40">
        <f t="shared" si="1"/>
        <v>-8070175437.5964909</v>
      </c>
      <c r="K4" s="101">
        <v>14</v>
      </c>
      <c r="L4" s="381">
        <f>入學要求!S58</f>
        <v>0</v>
      </c>
      <c r="M4" s="361" t="s">
        <v>360</v>
      </c>
      <c r="N4" s="82">
        <v>3</v>
      </c>
      <c r="O4" s="82">
        <v>3</v>
      </c>
      <c r="P4" s="82">
        <v>2</v>
      </c>
      <c r="Q4" s="82">
        <v>2</v>
      </c>
      <c r="R4" s="82">
        <v>3</v>
      </c>
      <c r="S4" s="82">
        <v>3</v>
      </c>
      <c r="T4" s="501"/>
      <c r="U4" s="276">
        <f>IF($T$2="2018年",'Offer Statistics'!AG4,IF($T$2="2019年",'Offer Statistics'!AG35,IF($T$2="2020年",'Offer Statistics'!AG66)))</f>
        <v>13</v>
      </c>
      <c r="V4" s="284">
        <f>IF($T$2="2018年",'Offer Statistics'!AB4,IF($T$2="2019年",'Offer Statistics'!AB35,IF($T$2="2020年",'Offer Statistics'!AB66)))</f>
        <v>8</v>
      </c>
      <c r="W4" s="284">
        <f>IF($T$2="2018年",'Offer Statistics'!AC4,IF($T$2="2019年",'Offer Statistics'!AC35,IF($T$2="2020年",'Offer Statistics'!AC66)))</f>
        <v>3</v>
      </c>
      <c r="X4" s="284">
        <f>IF($T$2="2018年",'Offer Statistics'!AD4,IF($T$2="2019年",'Offer Statistics'!AD35,IF($T$2="2020年",'Offer Statistics'!AD66)))</f>
        <v>1</v>
      </c>
      <c r="Y4" s="284">
        <f>IF($T$2="2018年",'Offer Statistics'!AE4,IF($T$2="2019年",'Offer Statistics'!AE35,IF($T$2="2020年",'Offer Statistics'!AE66)))</f>
        <v>0</v>
      </c>
      <c r="Z4" s="284">
        <f>IF($T$2="2018年",'Offer Statistics'!AF4,IF($T$2="2019年",'Offer Statistics'!AF35,IF($T$2="2020年",'Offer Statistics'!AF66)))</f>
        <v>1</v>
      </c>
      <c r="AA4" s="501"/>
      <c r="AB4" s="276">
        <f>IF($AA$2="2018年",'Offer Statistics'!Y4,IF($AA$2="2019年",'Offer Statistics'!Y35,IF($AA$2="2020年",'Offer Statistics'!Y66)))</f>
        <v>1310</v>
      </c>
      <c r="AC4" s="284">
        <f>IF($AA$2="2018年",'Offer Statistics'!T4,IF($AA$2="2019年",'Offer Statistics'!T35,IF($AA$2="2020年",'Offer Statistics'!T66)))</f>
        <v>152</v>
      </c>
      <c r="AD4" s="284">
        <f>IF($AA$2="2018年",'Offer Statistics'!U4,IF($AA$2="2019年",'Offer Statistics'!U35,IF($AA$2="2020年",'Offer Statistics'!U66)))</f>
        <v>220</v>
      </c>
      <c r="AE4" s="284">
        <f>IF($AA$2="2018年",'Offer Statistics'!V4,IF($AA$2="2019年",'Offer Statistics'!V35,IF($AA$2="2020年",'Offer Statistics'!V66)))</f>
        <v>339</v>
      </c>
      <c r="AF4" s="284">
        <f>IF($AA$2="2018年",'Offer Statistics'!W4,IF($AA$2="2019年",'Offer Statistics'!W35,IF($AA$2="2020年",'Offer Statistics'!W66)))</f>
        <v>346</v>
      </c>
      <c r="AG4" s="284">
        <f>IF($AA$2="2018年",'Offer Statistics'!X4,IF($AA$2="2019年",'Offer Statistics'!X35,IF($AA$2="2020年",'Offer Statistics'!X66)))</f>
        <v>253</v>
      </c>
      <c r="AI4" s="338" t="str">
        <f t="shared" si="2"/>
        <v>JS2022</v>
      </c>
    </row>
    <row r="5" spans="1:35" s="64" customFormat="1" ht="18" customHeight="1">
      <c r="A5" s="5" t="s">
        <v>896</v>
      </c>
      <c r="B5" s="5" t="s">
        <v>287</v>
      </c>
      <c r="C5" s="5" t="s">
        <v>926</v>
      </c>
      <c r="D5" s="5" t="s">
        <v>1518</v>
      </c>
      <c r="E5" s="307" t="s">
        <v>195</v>
      </c>
      <c r="F5" s="7">
        <f>5+3+3+3+4+4</f>
        <v>22</v>
      </c>
      <c r="G5" s="7">
        <f>3+5+3+3+4+3</f>
        <v>21</v>
      </c>
      <c r="H5" s="193">
        <f>計分版!D80</f>
        <v>2.8499999999999999E-9</v>
      </c>
      <c r="I5" s="39">
        <f t="shared" si="0"/>
        <v>-21.999999997149999</v>
      </c>
      <c r="J5" s="40">
        <f t="shared" si="1"/>
        <v>-7719298244.6140347</v>
      </c>
      <c r="K5" s="101">
        <v>14</v>
      </c>
      <c r="L5" s="381">
        <f>入學要求!S59</f>
        <v>0</v>
      </c>
      <c r="M5" s="361" t="s">
        <v>360</v>
      </c>
      <c r="N5" s="82">
        <v>3</v>
      </c>
      <c r="O5" s="82">
        <v>3</v>
      </c>
      <c r="P5" s="82">
        <v>2</v>
      </c>
      <c r="Q5" s="82">
        <v>2</v>
      </c>
      <c r="R5" s="82">
        <v>3</v>
      </c>
      <c r="S5" s="82">
        <v>3</v>
      </c>
      <c r="T5" s="501"/>
      <c r="U5" s="276">
        <f>IF($T$2="2018年",'Offer Statistics'!AG5,IF($T$2="2019年",'Offer Statistics'!AG36,IF($T$2="2020年",'Offer Statistics'!AG67)))</f>
        <v>15</v>
      </c>
      <c r="V5" s="284">
        <f>IF($T$2="2018年",'Offer Statistics'!AB5,IF($T$2="2019年",'Offer Statistics'!AB36,IF($T$2="2020年",'Offer Statistics'!AB67)))</f>
        <v>10</v>
      </c>
      <c r="W5" s="284">
        <f>IF($T$2="2018年",'Offer Statistics'!AC5,IF($T$2="2019年",'Offer Statistics'!AC36,IF($T$2="2020年",'Offer Statistics'!AC67)))</f>
        <v>2</v>
      </c>
      <c r="X5" s="284">
        <f>IF($T$2="2018年",'Offer Statistics'!AD5,IF($T$2="2019年",'Offer Statistics'!AD36,IF($T$2="2020年",'Offer Statistics'!AD67)))</f>
        <v>2</v>
      </c>
      <c r="Y5" s="284">
        <f>IF($T$2="2018年",'Offer Statistics'!AE5,IF($T$2="2019年",'Offer Statistics'!AE36,IF($T$2="2020年",'Offer Statistics'!AE67)))</f>
        <v>0</v>
      </c>
      <c r="Z5" s="284">
        <f>IF($T$2="2018年",'Offer Statistics'!AF5,IF($T$2="2019年",'Offer Statistics'!AF36,IF($T$2="2020年",'Offer Statistics'!AF67)))</f>
        <v>1</v>
      </c>
      <c r="AA5" s="501"/>
      <c r="AB5" s="276">
        <f>IF($AA$2="2018年",'Offer Statistics'!Y5,IF($AA$2="2019年",'Offer Statistics'!Y36,IF($AA$2="2020年",'Offer Statistics'!Y67)))</f>
        <v>1055</v>
      </c>
      <c r="AC5" s="284">
        <f>IF($AA$2="2018年",'Offer Statistics'!T5,IF($AA$2="2019年",'Offer Statistics'!T36,IF($AA$2="2020年",'Offer Statistics'!T67)))</f>
        <v>80</v>
      </c>
      <c r="AD5" s="284">
        <f>IF($AA$2="2018年",'Offer Statistics'!U5,IF($AA$2="2019年",'Offer Statistics'!U36,IF($AA$2="2020年",'Offer Statistics'!U67)))</f>
        <v>176</v>
      </c>
      <c r="AE5" s="284">
        <f>IF($AA$2="2018年",'Offer Statistics'!V5,IF($AA$2="2019年",'Offer Statistics'!V36,IF($AA$2="2020年",'Offer Statistics'!V67)))</f>
        <v>294</v>
      </c>
      <c r="AF5" s="284">
        <f>IF($AA$2="2018年",'Offer Statistics'!W5,IF($AA$2="2019年",'Offer Statistics'!W36,IF($AA$2="2020年",'Offer Statistics'!W67)))</f>
        <v>301</v>
      </c>
      <c r="AG5" s="284">
        <f>IF($AA$2="2018年",'Offer Statistics'!X5,IF($AA$2="2019年",'Offer Statistics'!X36,IF($AA$2="2020年",'Offer Statistics'!X67)))</f>
        <v>204</v>
      </c>
      <c r="AH5" s="175"/>
      <c r="AI5" s="338" t="str">
        <f t="shared" si="2"/>
        <v>JS2023</v>
      </c>
    </row>
    <row r="6" spans="1:35" ht="18" customHeight="1">
      <c r="A6" s="5" t="s">
        <v>897</v>
      </c>
      <c r="B6" s="5" t="s">
        <v>878</v>
      </c>
      <c r="C6" s="5" t="s">
        <v>928</v>
      </c>
      <c r="D6" s="5" t="s">
        <v>1519</v>
      </c>
      <c r="E6" s="307" t="s">
        <v>195</v>
      </c>
      <c r="F6" s="7">
        <f>4+3+4+4+5+3</f>
        <v>23</v>
      </c>
      <c r="G6" s="7">
        <f>4+3+4+4+4+4</f>
        <v>23</v>
      </c>
      <c r="H6" s="193">
        <f>計分版!D81</f>
        <v>2.8499999999999999E-9</v>
      </c>
      <c r="I6" s="39">
        <f t="shared" si="0"/>
        <v>-22.999999997149999</v>
      </c>
      <c r="J6" s="40">
        <f t="shared" si="1"/>
        <v>-8070175437.5964909</v>
      </c>
      <c r="K6" s="101">
        <v>14</v>
      </c>
      <c r="L6" s="381">
        <f>入學要求!S60</f>
        <v>0</v>
      </c>
      <c r="M6" s="361" t="s">
        <v>360</v>
      </c>
      <c r="N6" s="82">
        <v>3</v>
      </c>
      <c r="O6" s="82">
        <v>3</v>
      </c>
      <c r="P6" s="82">
        <v>2</v>
      </c>
      <c r="Q6" s="82">
        <v>2</v>
      </c>
      <c r="R6" s="82">
        <v>3</v>
      </c>
      <c r="S6" s="82">
        <v>3</v>
      </c>
      <c r="T6" s="501"/>
      <c r="U6" s="276">
        <f>IF($T$2="2018年",'Offer Statistics'!AG6,IF($T$2="2019年",'Offer Statistics'!AG37,IF($T$2="2020年",'Offer Statistics'!AG68)))</f>
        <v>16</v>
      </c>
      <c r="V6" s="284">
        <f>IF($T$2="2018年",'Offer Statistics'!AB6,IF($T$2="2019年",'Offer Statistics'!AB37,IF($T$2="2020年",'Offer Statistics'!AB68)))</f>
        <v>10</v>
      </c>
      <c r="W6" s="284">
        <f>IF($T$2="2018年",'Offer Statistics'!AC6,IF($T$2="2019年",'Offer Statistics'!AC37,IF($T$2="2020年",'Offer Statistics'!AC68)))</f>
        <v>2</v>
      </c>
      <c r="X6" s="284">
        <f>IF($T$2="2018年",'Offer Statistics'!AD6,IF($T$2="2019年",'Offer Statistics'!AD37,IF($T$2="2020年",'Offer Statistics'!AD68)))</f>
        <v>2</v>
      </c>
      <c r="Y6" s="284">
        <f>IF($T$2="2018年",'Offer Statistics'!AE6,IF($T$2="2019年",'Offer Statistics'!AE37,IF($T$2="2020年",'Offer Statistics'!AE68)))</f>
        <v>1</v>
      </c>
      <c r="Z6" s="284">
        <f>IF($T$2="2018年",'Offer Statistics'!AF6,IF($T$2="2019年",'Offer Statistics'!AF37,IF($T$2="2020年",'Offer Statistics'!AF68)))</f>
        <v>1</v>
      </c>
      <c r="AA6" s="501"/>
      <c r="AB6" s="276">
        <f>IF($AA$2="2018年",'Offer Statistics'!Y6,IF($AA$2="2019年",'Offer Statistics'!Y37,IF($AA$2="2020年",'Offer Statistics'!Y68)))</f>
        <v>1522</v>
      </c>
      <c r="AC6" s="284">
        <f>IF($AA$2="2018年",'Offer Statistics'!T6,IF($AA$2="2019年",'Offer Statistics'!T37,IF($AA$2="2020年",'Offer Statistics'!T68)))</f>
        <v>76</v>
      </c>
      <c r="AD6" s="284">
        <f>IF($AA$2="2018年",'Offer Statistics'!U6,IF($AA$2="2019年",'Offer Statistics'!U37,IF($AA$2="2020年",'Offer Statistics'!U68)))</f>
        <v>177</v>
      </c>
      <c r="AE6" s="284">
        <f>IF($AA$2="2018年",'Offer Statistics'!V6,IF($AA$2="2019年",'Offer Statistics'!V37,IF($AA$2="2020年",'Offer Statistics'!V68)))</f>
        <v>362</v>
      </c>
      <c r="AF6" s="284">
        <f>IF($AA$2="2018年",'Offer Statistics'!W6,IF($AA$2="2019年",'Offer Statistics'!W37,IF($AA$2="2020年",'Offer Statistics'!W68)))</f>
        <v>509</v>
      </c>
      <c r="AG6" s="284">
        <f>IF($AA$2="2018年",'Offer Statistics'!X6,IF($AA$2="2019年",'Offer Statistics'!X37,IF($AA$2="2020年",'Offer Statistics'!X68)))</f>
        <v>398</v>
      </c>
      <c r="AI6" s="338" t="str">
        <f t="shared" si="2"/>
        <v>JS2024</v>
      </c>
    </row>
    <row r="7" spans="1:35" s="64" customFormat="1" ht="18" customHeight="1">
      <c r="A7" s="5" t="s">
        <v>898</v>
      </c>
      <c r="B7" s="5" t="s">
        <v>287</v>
      </c>
      <c r="C7" s="5" t="s">
        <v>930</v>
      </c>
      <c r="D7" s="5" t="s">
        <v>1520</v>
      </c>
      <c r="E7" s="307" t="s">
        <v>195</v>
      </c>
      <c r="F7" s="7">
        <f>3+5+4+3+5+4</f>
        <v>24</v>
      </c>
      <c r="G7" s="7">
        <f>5+4+4+3+4+3</f>
        <v>23</v>
      </c>
      <c r="H7" s="193">
        <f>計分版!D82</f>
        <v>2.8499999999999999E-9</v>
      </c>
      <c r="I7" s="39">
        <f t="shared" si="0"/>
        <v>-23.999999997149999</v>
      </c>
      <c r="J7" s="40">
        <f t="shared" si="1"/>
        <v>-8421052630.5789471</v>
      </c>
      <c r="K7" s="101">
        <v>10</v>
      </c>
      <c r="L7" s="381">
        <f>入學要求!S61</f>
        <v>0</v>
      </c>
      <c r="M7" s="355" t="s">
        <v>2188</v>
      </c>
      <c r="N7" s="82">
        <v>3</v>
      </c>
      <c r="O7" s="82">
        <v>3</v>
      </c>
      <c r="P7" s="82">
        <v>2</v>
      </c>
      <c r="Q7" s="82">
        <v>2</v>
      </c>
      <c r="R7" s="82">
        <v>3</v>
      </c>
      <c r="S7" s="82">
        <v>3</v>
      </c>
      <c r="T7" s="501"/>
      <c r="U7" s="276">
        <f>IF($T$2="2018年",'Offer Statistics'!AG7,IF($T$2="2019年",'Offer Statistics'!AG38,IF($T$2="2020年",'Offer Statistics'!AG69)))</f>
        <v>8</v>
      </c>
      <c r="V7" s="284">
        <f>IF($T$2="2018年",'Offer Statistics'!AB7,IF($T$2="2019年",'Offer Statistics'!AB38,IF($T$2="2020年",'Offer Statistics'!AB69)))</f>
        <v>7</v>
      </c>
      <c r="W7" s="284">
        <f>IF($T$2="2018年",'Offer Statistics'!AC7,IF($T$2="2019年",'Offer Statistics'!AC38,IF($T$2="2020年",'Offer Statistics'!AC69)))</f>
        <v>0</v>
      </c>
      <c r="X7" s="284">
        <f>IF($T$2="2018年",'Offer Statistics'!AD7,IF($T$2="2019年",'Offer Statistics'!AD38,IF($T$2="2020年",'Offer Statistics'!AD69)))</f>
        <v>1</v>
      </c>
      <c r="Y7" s="284">
        <f>IF($T$2="2018年",'Offer Statistics'!AE7,IF($T$2="2019年",'Offer Statistics'!AE38,IF($T$2="2020年",'Offer Statistics'!AE69)))</f>
        <v>0</v>
      </c>
      <c r="Z7" s="284">
        <f>IF($T$2="2018年",'Offer Statistics'!AF7,IF($T$2="2019年",'Offer Statistics'!AF38,IF($T$2="2020年",'Offer Statistics'!AF69)))</f>
        <v>0</v>
      </c>
      <c r="AA7" s="501"/>
      <c r="AB7" s="276">
        <f>IF($AA$2="2018年",'Offer Statistics'!Y7,IF($AA$2="2019年",'Offer Statistics'!Y38,IF($AA$2="2020年",'Offer Statistics'!Y69)))</f>
        <v>952</v>
      </c>
      <c r="AC7" s="284">
        <f>IF($AA$2="2018年",'Offer Statistics'!T7,IF($AA$2="2019年",'Offer Statistics'!T38,IF($AA$2="2020年",'Offer Statistics'!T69)))</f>
        <v>102</v>
      </c>
      <c r="AD7" s="284">
        <f>IF($AA$2="2018年",'Offer Statistics'!U7,IF($AA$2="2019年",'Offer Statistics'!U38,IF($AA$2="2020年",'Offer Statistics'!U69)))</f>
        <v>130</v>
      </c>
      <c r="AE7" s="284">
        <f>IF($AA$2="2018年",'Offer Statistics'!V7,IF($AA$2="2019年",'Offer Statistics'!V38,IF($AA$2="2020年",'Offer Statistics'!V69)))</f>
        <v>231</v>
      </c>
      <c r="AF7" s="284">
        <f>IF($AA$2="2018年",'Offer Statistics'!W7,IF($AA$2="2019年",'Offer Statistics'!W38,IF($AA$2="2020年",'Offer Statistics'!W69)))</f>
        <v>260</v>
      </c>
      <c r="AG7" s="284">
        <f>IF($AA$2="2018年",'Offer Statistics'!X7,IF($AA$2="2019年",'Offer Statistics'!X38,IF($AA$2="2020年",'Offer Statistics'!X69)))</f>
        <v>229</v>
      </c>
      <c r="AH7" s="175"/>
      <c r="AI7" s="338" t="str">
        <f t="shared" si="2"/>
        <v>JS2025</v>
      </c>
    </row>
    <row r="8" spans="1:35" ht="18" customHeight="1">
      <c r="A8" s="5" t="s">
        <v>899</v>
      </c>
      <c r="B8" s="5" t="s">
        <v>287</v>
      </c>
      <c r="C8" s="5" t="s">
        <v>932</v>
      </c>
      <c r="D8" s="5" t="s">
        <v>1521</v>
      </c>
      <c r="E8" s="307" t="s">
        <v>195</v>
      </c>
      <c r="F8" s="7">
        <f>4+4+4+4+4+4</f>
        <v>24</v>
      </c>
      <c r="G8" s="7">
        <f>4+4+3+4+4+4</f>
        <v>23</v>
      </c>
      <c r="H8" s="193">
        <f>計分版!D83</f>
        <v>2.8499999999999999E-9</v>
      </c>
      <c r="I8" s="39">
        <f t="shared" si="0"/>
        <v>-23.999999997149999</v>
      </c>
      <c r="J8" s="40">
        <f t="shared" si="1"/>
        <v>-8421052630.5789471</v>
      </c>
      <c r="K8" s="101">
        <v>14</v>
      </c>
      <c r="L8" s="381">
        <f>入學要求!S62</f>
        <v>0</v>
      </c>
      <c r="M8" s="361" t="s">
        <v>360</v>
      </c>
      <c r="N8" s="82">
        <v>3</v>
      </c>
      <c r="O8" s="82">
        <v>3</v>
      </c>
      <c r="P8" s="82">
        <v>2</v>
      </c>
      <c r="Q8" s="82">
        <v>2</v>
      </c>
      <c r="R8" s="82">
        <v>3</v>
      </c>
      <c r="S8" s="82">
        <v>3</v>
      </c>
      <c r="T8" s="501"/>
      <c r="U8" s="276">
        <f>IF($T$2="2018年",'Offer Statistics'!AG8,IF($T$2="2019年",'Offer Statistics'!AG39,IF($T$2="2020年",'Offer Statistics'!AG70)))</f>
        <v>14</v>
      </c>
      <c r="V8" s="284">
        <f>IF($T$2="2018年",'Offer Statistics'!AB8,IF($T$2="2019年",'Offer Statistics'!AB39,IF($T$2="2020年",'Offer Statistics'!AB70)))</f>
        <v>9</v>
      </c>
      <c r="W8" s="284">
        <f>IF($T$2="2018年",'Offer Statistics'!AC8,IF($T$2="2019年",'Offer Statistics'!AC39,IF($T$2="2020年",'Offer Statistics'!AC70)))</f>
        <v>3</v>
      </c>
      <c r="X8" s="284">
        <f>IF($T$2="2018年",'Offer Statistics'!AD8,IF($T$2="2019年",'Offer Statistics'!AD39,IF($T$2="2020年",'Offer Statistics'!AD70)))</f>
        <v>2</v>
      </c>
      <c r="Y8" s="284">
        <f>IF($T$2="2018年",'Offer Statistics'!AE8,IF($T$2="2019年",'Offer Statistics'!AE39,IF($T$2="2020年",'Offer Statistics'!AE70)))</f>
        <v>0</v>
      </c>
      <c r="Z8" s="284">
        <f>IF($T$2="2018年",'Offer Statistics'!AF8,IF($T$2="2019年",'Offer Statistics'!AF39,IF($T$2="2020年",'Offer Statistics'!AF70)))</f>
        <v>0</v>
      </c>
      <c r="AA8" s="501"/>
      <c r="AB8" s="276">
        <f>IF($AA$2="2018年",'Offer Statistics'!Y8,IF($AA$2="2019年",'Offer Statistics'!Y39,IF($AA$2="2020年",'Offer Statistics'!Y70)))</f>
        <v>1795</v>
      </c>
      <c r="AC8" s="284">
        <f>IF($AA$2="2018年",'Offer Statistics'!T8,IF($AA$2="2019年",'Offer Statistics'!T39,IF($AA$2="2020年",'Offer Statistics'!T70)))</f>
        <v>135</v>
      </c>
      <c r="AD8" s="284">
        <f>IF($AA$2="2018年",'Offer Statistics'!U8,IF($AA$2="2019年",'Offer Statistics'!U39,IF($AA$2="2020年",'Offer Statistics'!U70)))</f>
        <v>257</v>
      </c>
      <c r="AE8" s="284">
        <f>IF($AA$2="2018年",'Offer Statistics'!V8,IF($AA$2="2019年",'Offer Statistics'!V39,IF($AA$2="2020年",'Offer Statistics'!V70)))</f>
        <v>445</v>
      </c>
      <c r="AF8" s="284">
        <f>IF($AA$2="2018年",'Offer Statistics'!W8,IF($AA$2="2019年",'Offer Statistics'!W39,IF($AA$2="2020年",'Offer Statistics'!W70)))</f>
        <v>560</v>
      </c>
      <c r="AG8" s="284">
        <f>IF($AA$2="2018年",'Offer Statistics'!X8,IF($AA$2="2019年",'Offer Statistics'!X39,IF($AA$2="2020年",'Offer Statistics'!X70)))</f>
        <v>398</v>
      </c>
      <c r="AI8" s="338" t="str">
        <f t="shared" si="2"/>
        <v>JS2026</v>
      </c>
    </row>
    <row r="9" spans="1:35" s="64" customFormat="1" ht="18" customHeight="1">
      <c r="A9" s="5" t="s">
        <v>900</v>
      </c>
      <c r="B9" s="5" t="s">
        <v>287</v>
      </c>
      <c r="C9" s="5" t="s">
        <v>934</v>
      </c>
      <c r="D9" s="5" t="s">
        <v>1522</v>
      </c>
      <c r="E9" s="307" t="s">
        <v>190</v>
      </c>
      <c r="F9" s="7">
        <f>4+5+4+4+5+4</f>
        <v>26</v>
      </c>
      <c r="G9" s="7">
        <f>3+5+5+4+5+5</f>
        <v>27</v>
      </c>
      <c r="H9" s="193">
        <f>計分版!D84</f>
        <v>2.8499999999999999E-9</v>
      </c>
      <c r="I9" s="39">
        <f t="shared" ref="I9:I30" si="3">IF(I$1="差距(Median)",H9-F9,IF(I$1="差距(LQ)",H9-G9))</f>
        <v>-25.999999997149999</v>
      </c>
      <c r="J9" s="40">
        <f>IF(I$1="差距(Median)",(H9-F9)/H9,IF(I$1="差距(LQ)",(H9-G9)/H9))</f>
        <v>-9122807016.5438595</v>
      </c>
      <c r="K9" s="101">
        <v>28</v>
      </c>
      <c r="L9" s="381">
        <f>入學要求!S63</f>
        <v>0</v>
      </c>
      <c r="M9" s="355" t="s">
        <v>2190</v>
      </c>
      <c r="N9" s="82">
        <v>3</v>
      </c>
      <c r="O9" s="82">
        <v>3</v>
      </c>
      <c r="P9" s="82">
        <v>2</v>
      </c>
      <c r="Q9" s="82">
        <v>2</v>
      </c>
      <c r="R9" s="82">
        <v>3</v>
      </c>
      <c r="S9" s="82">
        <v>3</v>
      </c>
      <c r="T9" s="501"/>
      <c r="U9" s="276">
        <f>IF($T$2="2018年",'Offer Statistics'!AG9,IF($T$2="2019年",'Offer Statistics'!AG40,IF($T$2="2020年",'Offer Statistics'!AG71)))</f>
        <v>12</v>
      </c>
      <c r="V9" s="284">
        <f>IF($T$2="2018年",'Offer Statistics'!AB9,IF($T$2="2019年",'Offer Statistics'!AB40,IF($T$2="2020年",'Offer Statistics'!AB71)))</f>
        <v>12</v>
      </c>
      <c r="W9" s="284">
        <f>IF($T$2="2018年",'Offer Statistics'!AC9,IF($T$2="2019年",'Offer Statistics'!AC40,IF($T$2="2020年",'Offer Statistics'!AC71)))</f>
        <v>0</v>
      </c>
      <c r="X9" s="284">
        <f>IF($T$2="2018年",'Offer Statistics'!AD9,IF($T$2="2019年",'Offer Statistics'!AD40,IF($T$2="2020年",'Offer Statistics'!AD71)))</f>
        <v>0</v>
      </c>
      <c r="Y9" s="284">
        <f>IF($T$2="2018年",'Offer Statistics'!AE9,IF($T$2="2019年",'Offer Statistics'!AE40,IF($T$2="2020年",'Offer Statistics'!AE71)))</f>
        <v>0</v>
      </c>
      <c r="Z9" s="284">
        <f>IF($T$2="2018年",'Offer Statistics'!AF9,IF($T$2="2019年",'Offer Statistics'!AF40,IF($T$2="2020年",'Offer Statistics'!AF71)))</f>
        <v>0</v>
      </c>
      <c r="AA9" s="501"/>
      <c r="AB9" s="276">
        <f>IF($AA$2="2018年",'Offer Statistics'!Y9,IF($AA$2="2019年",'Offer Statistics'!Y40,IF($AA$2="2020年",'Offer Statistics'!Y71)))</f>
        <v>920</v>
      </c>
      <c r="AC9" s="284">
        <f>IF($AA$2="2018年",'Offer Statistics'!T9,IF($AA$2="2019年",'Offer Statistics'!T40,IF($AA$2="2020年",'Offer Statistics'!T71)))</f>
        <v>237</v>
      </c>
      <c r="AD9" s="284">
        <f>IF($AA$2="2018年",'Offer Statistics'!U9,IF($AA$2="2019年",'Offer Statistics'!U40,IF($AA$2="2020年",'Offer Statistics'!U71)))</f>
        <v>121</v>
      </c>
      <c r="AE9" s="284">
        <f>IF($AA$2="2018年",'Offer Statistics'!V9,IF($AA$2="2019年",'Offer Statistics'!V40,IF($AA$2="2020年",'Offer Statistics'!V71)))</f>
        <v>145</v>
      </c>
      <c r="AF9" s="284">
        <f>IF($AA$2="2018年",'Offer Statistics'!W9,IF($AA$2="2019年",'Offer Statistics'!W40,IF($AA$2="2020年",'Offer Statistics'!W71)))</f>
        <v>215</v>
      </c>
      <c r="AG9" s="284">
        <f>IF($AA$2="2018年",'Offer Statistics'!X9,IF($AA$2="2019年",'Offer Statistics'!X40,IF($AA$2="2020年",'Offer Statistics'!X71)))</f>
        <v>202</v>
      </c>
      <c r="AH9" s="175"/>
      <c r="AI9" s="338" t="str">
        <f t="shared" si="2"/>
        <v>JS2030</v>
      </c>
    </row>
    <row r="10" spans="1:35" ht="18" customHeight="1">
      <c r="A10" s="5" t="s">
        <v>901</v>
      </c>
      <c r="B10" s="5" t="s">
        <v>982</v>
      </c>
      <c r="C10" s="5" t="s">
        <v>935</v>
      </c>
      <c r="D10" s="5" t="s">
        <v>1523</v>
      </c>
      <c r="E10" s="437" t="s">
        <v>195</v>
      </c>
      <c r="F10" s="7">
        <f>4*1.5+5*2+3*1.5+4*1.5+4*2+4*1.5</f>
        <v>40.5</v>
      </c>
      <c r="G10" s="7">
        <f>3*1.5+5*2+4*1.5+3*1.5+4*2+4*1.5</f>
        <v>39</v>
      </c>
      <c r="H10" s="193">
        <f>計分版!D85</f>
        <v>3.4499999999999995E-9</v>
      </c>
      <c r="I10" s="39">
        <f t="shared" si="3"/>
        <v>-40.499999996550002</v>
      </c>
      <c r="J10" s="40">
        <f t="shared" ref="J10:J30" si="4">IF(I$1="差距(Median)",(H10-F10)/H10,IF(I$1="差距(LQ)",(H10-G10)/H10))</f>
        <v>-11739130433.782612</v>
      </c>
      <c r="K10" s="101">
        <v>40</v>
      </c>
      <c r="L10" s="381">
        <f>入學要求!S64</f>
        <v>0</v>
      </c>
      <c r="M10" s="377" t="s">
        <v>2191</v>
      </c>
      <c r="N10" s="82">
        <v>3</v>
      </c>
      <c r="O10" s="82">
        <v>3</v>
      </c>
      <c r="P10" s="82">
        <v>2</v>
      </c>
      <c r="Q10" s="82">
        <v>2</v>
      </c>
      <c r="R10" s="82">
        <v>3</v>
      </c>
      <c r="S10" s="82">
        <v>3</v>
      </c>
      <c r="T10" s="501"/>
      <c r="U10" s="276">
        <f>IF($T$2="2018年",'Offer Statistics'!AG10,IF($T$2="2019年",'Offer Statistics'!AG41,IF($T$2="2020年",'Offer Statistics'!AG72)))</f>
        <v>38</v>
      </c>
      <c r="V10" s="284">
        <f>IF($T$2="2018年",'Offer Statistics'!AB10,IF($T$2="2019年",'Offer Statistics'!AB41,IF($T$2="2020年",'Offer Statistics'!AB72)))</f>
        <v>34</v>
      </c>
      <c r="W10" s="284">
        <f>IF($T$2="2018年",'Offer Statistics'!AC10,IF($T$2="2019年",'Offer Statistics'!AC41,IF($T$2="2020年",'Offer Statistics'!AC72)))</f>
        <v>4</v>
      </c>
      <c r="X10" s="284">
        <f>IF($T$2="2018年",'Offer Statistics'!AD10,IF($T$2="2019年",'Offer Statistics'!AD41,IF($T$2="2020年",'Offer Statistics'!AD72)))</f>
        <v>0</v>
      </c>
      <c r="Y10" s="284">
        <f>IF($T$2="2018年",'Offer Statistics'!AE10,IF($T$2="2019年",'Offer Statistics'!AE41,IF($T$2="2020年",'Offer Statistics'!AE72)))</f>
        <v>0</v>
      </c>
      <c r="Z10" s="284">
        <f>IF($T$2="2018年",'Offer Statistics'!AF10,IF($T$2="2019年",'Offer Statistics'!AF41,IF($T$2="2020年",'Offer Statistics'!AF72)))</f>
        <v>0</v>
      </c>
      <c r="AA10" s="501"/>
      <c r="AB10" s="276">
        <f>IF($AA$2="2018年",'Offer Statistics'!Y10,IF($AA$2="2019年",'Offer Statistics'!Y41,IF($AA$2="2020年",'Offer Statistics'!Y72)))</f>
        <v>1305</v>
      </c>
      <c r="AC10" s="284">
        <f>IF($AA$2="2018年",'Offer Statistics'!T10,IF($AA$2="2019年",'Offer Statistics'!T41,IF($AA$2="2020年",'Offer Statistics'!T72)))</f>
        <v>234</v>
      </c>
      <c r="AD10" s="284">
        <f>IF($AA$2="2018年",'Offer Statistics'!U10,IF($AA$2="2019年",'Offer Statistics'!U41,IF($AA$2="2020年",'Offer Statistics'!U72)))</f>
        <v>264</v>
      </c>
      <c r="AE10" s="284">
        <f>IF($AA$2="2018年",'Offer Statistics'!V10,IF($AA$2="2019年",'Offer Statistics'!V41,IF($AA$2="2020年",'Offer Statistics'!V72)))</f>
        <v>284</v>
      </c>
      <c r="AF10" s="284">
        <f>IF($AA$2="2018年",'Offer Statistics'!W10,IF($AA$2="2019年",'Offer Statistics'!W41,IF($AA$2="2020年",'Offer Statistics'!W72)))</f>
        <v>298</v>
      </c>
      <c r="AG10" s="284">
        <f>IF($AA$2="2018年",'Offer Statistics'!X10,IF($AA$2="2019年",'Offer Statistics'!X41,IF($AA$2="2020年",'Offer Statistics'!X72)))</f>
        <v>225</v>
      </c>
      <c r="AI10" s="338" t="str">
        <f t="shared" si="2"/>
        <v>JS2040</v>
      </c>
    </row>
    <row r="11" spans="1:35" s="64" customFormat="1" ht="18" customHeight="1">
      <c r="A11" s="5" t="s">
        <v>902</v>
      </c>
      <c r="B11" s="5" t="s">
        <v>287</v>
      </c>
      <c r="C11" s="5" t="s">
        <v>937</v>
      </c>
      <c r="D11" s="5" t="s">
        <v>1524</v>
      </c>
      <c r="E11" s="307" t="s">
        <v>190</v>
      </c>
      <c r="F11" s="7">
        <f>4+4+5+4+5+5</f>
        <v>27</v>
      </c>
      <c r="G11" s="7">
        <f>3+5+5+3+5+3</f>
        <v>24</v>
      </c>
      <c r="H11" s="193">
        <f>計分版!D86</f>
        <v>2.8499999999999999E-9</v>
      </c>
      <c r="I11" s="39">
        <f t="shared" ref="I11:I14" si="5">IF(I$1="差距(Median)",H11-F11,IF(I$1="差距(LQ)",H11-G11))</f>
        <v>-26.999999997149999</v>
      </c>
      <c r="J11" s="40">
        <f t="shared" ref="J11:J14" si="6">IF(I$1="差距(Median)",(H11-F11)/H11,IF(I$1="差距(LQ)",(H11-G11)/H11))</f>
        <v>-9473684209.5263157</v>
      </c>
      <c r="K11" s="101">
        <v>15</v>
      </c>
      <c r="L11" s="381">
        <f>入學要求!S65</f>
        <v>0</v>
      </c>
      <c r="M11" s="355" t="s">
        <v>2190</v>
      </c>
      <c r="N11" s="82">
        <v>3</v>
      </c>
      <c r="O11" s="82">
        <v>3</v>
      </c>
      <c r="P11" s="82">
        <v>2</v>
      </c>
      <c r="Q11" s="82">
        <v>2</v>
      </c>
      <c r="R11" s="82">
        <v>3</v>
      </c>
      <c r="S11" s="82">
        <v>3</v>
      </c>
      <c r="T11" s="501"/>
      <c r="U11" s="276">
        <f>IF($T$2="2018年",'Offer Statistics'!AG11,IF($T$2="2019年",'Offer Statistics'!AG42,IF($T$2="2020年",'Offer Statistics'!AG73)))</f>
        <v>7</v>
      </c>
      <c r="V11" s="284">
        <f>IF($T$2="2018年",'Offer Statistics'!AB11,IF($T$2="2019年",'Offer Statistics'!AB42,IF($T$2="2020年",'Offer Statistics'!AB73)))</f>
        <v>7</v>
      </c>
      <c r="W11" s="284">
        <f>IF($T$2="2018年",'Offer Statistics'!AC11,IF($T$2="2019年",'Offer Statistics'!AC42,IF($T$2="2020年",'Offer Statistics'!AC73)))</f>
        <v>0</v>
      </c>
      <c r="X11" s="284">
        <f>IF($T$2="2018年",'Offer Statistics'!AD11,IF($T$2="2019年",'Offer Statistics'!AD42,IF($T$2="2020年",'Offer Statistics'!AD73)))</f>
        <v>0</v>
      </c>
      <c r="Y11" s="284">
        <f>IF($T$2="2018年",'Offer Statistics'!AE11,IF($T$2="2019年",'Offer Statistics'!AE42,IF($T$2="2020年",'Offer Statistics'!AE73)))</f>
        <v>0</v>
      </c>
      <c r="Z11" s="284">
        <f>IF($T$2="2018年",'Offer Statistics'!AF11,IF($T$2="2019年",'Offer Statistics'!AF42,IF($T$2="2020年",'Offer Statistics'!AF73)))</f>
        <v>0</v>
      </c>
      <c r="AA11" s="501"/>
      <c r="AB11" s="276">
        <f>IF($AA$2="2018年",'Offer Statistics'!Y11,IF($AA$2="2019年",'Offer Statistics'!Y42,IF($AA$2="2020年",'Offer Statistics'!Y73)))</f>
        <v>735</v>
      </c>
      <c r="AC11" s="284">
        <f>IF($AA$2="2018年",'Offer Statistics'!T11,IF($AA$2="2019年",'Offer Statistics'!T42,IF($AA$2="2020年",'Offer Statistics'!T73)))</f>
        <v>135</v>
      </c>
      <c r="AD11" s="284">
        <f>IF($AA$2="2018年",'Offer Statistics'!U11,IF($AA$2="2019年",'Offer Statistics'!U42,IF($AA$2="2020年",'Offer Statistics'!U73)))</f>
        <v>97</v>
      </c>
      <c r="AE11" s="284">
        <f>IF($AA$2="2018年",'Offer Statistics'!V11,IF($AA$2="2019年",'Offer Statistics'!V42,IF($AA$2="2020年",'Offer Statistics'!V73)))</f>
        <v>141</v>
      </c>
      <c r="AF11" s="284">
        <f>IF($AA$2="2018年",'Offer Statistics'!W11,IF($AA$2="2019年",'Offer Statistics'!W42,IF($AA$2="2020年",'Offer Statistics'!W73)))</f>
        <v>176</v>
      </c>
      <c r="AG11" s="284">
        <f>IF($AA$2="2018年",'Offer Statistics'!X11,IF($AA$2="2019年",'Offer Statistics'!X42,IF($AA$2="2020年",'Offer Statistics'!X73)))</f>
        <v>186</v>
      </c>
      <c r="AH11" s="175"/>
      <c r="AI11" s="338" t="str">
        <f t="shared" si="2"/>
        <v>JS2050</v>
      </c>
    </row>
    <row r="12" spans="1:35" ht="18" customHeight="1">
      <c r="A12" s="5" t="s">
        <v>903</v>
      </c>
      <c r="B12" s="5" t="s">
        <v>779</v>
      </c>
      <c r="C12" s="5" t="s">
        <v>939</v>
      </c>
      <c r="D12" s="5" t="s">
        <v>1525</v>
      </c>
      <c r="E12" s="437" t="s">
        <v>548</v>
      </c>
      <c r="F12" s="7">
        <f>4+4*1.5+5+4+3+3</f>
        <v>25</v>
      </c>
      <c r="G12" s="7">
        <f>4+4*1.5+4+3+4+4</f>
        <v>25</v>
      </c>
      <c r="H12" s="193">
        <f>計分版!D87</f>
        <v>4.450000000000001E-9</v>
      </c>
      <c r="I12" s="39">
        <f t="shared" si="5"/>
        <v>-24.999999995549999</v>
      </c>
      <c r="J12" s="40">
        <f t="shared" si="6"/>
        <v>-5617977527.0898857</v>
      </c>
      <c r="K12" s="101">
        <v>50</v>
      </c>
      <c r="L12" s="381">
        <f>入學要求!S66</f>
        <v>0</v>
      </c>
      <c r="M12" s="355" t="s">
        <v>2188</v>
      </c>
      <c r="N12" s="82">
        <v>3</v>
      </c>
      <c r="O12" s="82">
        <v>3</v>
      </c>
      <c r="P12" s="82">
        <v>2</v>
      </c>
      <c r="Q12" s="82">
        <v>2</v>
      </c>
      <c r="R12" s="82">
        <v>3</v>
      </c>
      <c r="S12" s="82">
        <v>3</v>
      </c>
      <c r="T12" s="501"/>
      <c r="U12" s="276">
        <f>IF($T$2="2018年",'Offer Statistics'!AG12,IF($T$2="2019年",'Offer Statistics'!AG43,IF($T$2="2020年",'Offer Statistics'!AG74)))</f>
        <v>29</v>
      </c>
      <c r="V12" s="284">
        <f>IF($T$2="2018年",'Offer Statistics'!AB12,IF($T$2="2019年",'Offer Statistics'!AB43,IF($T$2="2020年",'Offer Statistics'!AB74)))</f>
        <v>23</v>
      </c>
      <c r="W12" s="284">
        <f>IF($T$2="2018年",'Offer Statistics'!AC12,IF($T$2="2019年",'Offer Statistics'!AC43,IF($T$2="2020年",'Offer Statistics'!AC74)))</f>
        <v>4</v>
      </c>
      <c r="X12" s="284">
        <f>IF($T$2="2018年",'Offer Statistics'!AD12,IF($T$2="2019年",'Offer Statistics'!AD43,IF($T$2="2020年",'Offer Statistics'!AD74)))</f>
        <v>1</v>
      </c>
      <c r="Y12" s="284">
        <f>IF($T$2="2018年",'Offer Statistics'!AE12,IF($T$2="2019年",'Offer Statistics'!AE43,IF($T$2="2020年",'Offer Statistics'!AE74)))</f>
        <v>1</v>
      </c>
      <c r="Z12" s="284">
        <f>IF($T$2="2018年",'Offer Statistics'!AF12,IF($T$2="2019年",'Offer Statistics'!AF43,IF($T$2="2020年",'Offer Statistics'!AF74)))</f>
        <v>0</v>
      </c>
      <c r="AA12" s="501"/>
      <c r="AB12" s="276">
        <f>IF($AA$2="2018年",'Offer Statistics'!Y12,IF($AA$2="2019年",'Offer Statistics'!Y43,IF($AA$2="2020年",'Offer Statistics'!Y74)))</f>
        <v>3216</v>
      </c>
      <c r="AC12" s="284">
        <f>IF($AA$2="2018年",'Offer Statistics'!T12,IF($AA$2="2019年",'Offer Statistics'!T43,IF($AA$2="2020年",'Offer Statistics'!T74)))</f>
        <v>553</v>
      </c>
      <c r="AD12" s="284">
        <f>IF($AA$2="2018年",'Offer Statistics'!U12,IF($AA$2="2019年",'Offer Statistics'!U43,IF($AA$2="2020年",'Offer Statistics'!U74)))</f>
        <v>640</v>
      </c>
      <c r="AE12" s="284">
        <f>IF($AA$2="2018年",'Offer Statistics'!V12,IF($AA$2="2019年",'Offer Statistics'!V43,IF($AA$2="2020年",'Offer Statistics'!V74)))</f>
        <v>714</v>
      </c>
      <c r="AF12" s="284">
        <f>IF($AA$2="2018年",'Offer Statistics'!W12,IF($AA$2="2019年",'Offer Statistics'!W43,IF($AA$2="2020年",'Offer Statistics'!W74)))</f>
        <v>765</v>
      </c>
      <c r="AG12" s="284">
        <f>IF($AA$2="2018年",'Offer Statistics'!X12,IF($AA$2="2019年",'Offer Statistics'!X43,IF($AA$2="2020年",'Offer Statistics'!X74)))</f>
        <v>544</v>
      </c>
      <c r="AI12" s="338" t="str">
        <f t="shared" si="2"/>
        <v>JS2110</v>
      </c>
    </row>
    <row r="13" spans="1:35" s="64" customFormat="1" ht="18" customHeight="1">
      <c r="A13" s="5" t="s">
        <v>904</v>
      </c>
      <c r="B13" s="5" t="s">
        <v>779</v>
      </c>
      <c r="C13" s="5" t="s">
        <v>941</v>
      </c>
      <c r="D13" s="5" t="s">
        <v>1526</v>
      </c>
      <c r="E13" s="437" t="s">
        <v>548</v>
      </c>
      <c r="F13" s="7">
        <f>4+4*1.5+4+5+3+3</f>
        <v>25</v>
      </c>
      <c r="G13" s="7">
        <f>4+3*1.5+4+4+4+4</f>
        <v>24.5</v>
      </c>
      <c r="H13" s="193">
        <f>計分版!D88</f>
        <v>4.450000000000001E-9</v>
      </c>
      <c r="I13" s="39">
        <f t="shared" si="5"/>
        <v>-24.999999995549999</v>
      </c>
      <c r="J13" s="40">
        <f t="shared" si="6"/>
        <v>-5617977527.0898857</v>
      </c>
      <c r="K13" s="101">
        <v>193</v>
      </c>
      <c r="L13" s="381">
        <f>入學要求!S67</f>
        <v>0</v>
      </c>
      <c r="M13" s="355" t="s">
        <v>2188</v>
      </c>
      <c r="N13" s="82">
        <v>3</v>
      </c>
      <c r="O13" s="402">
        <v>3</v>
      </c>
      <c r="P13" s="82">
        <v>2</v>
      </c>
      <c r="Q13" s="82">
        <v>2</v>
      </c>
      <c r="R13" s="82">
        <v>3</v>
      </c>
      <c r="S13" s="82">
        <v>3</v>
      </c>
      <c r="T13" s="501"/>
      <c r="U13" s="276">
        <f>IF($T$2="2018年",'Offer Statistics'!AG13,IF($T$2="2019年",'Offer Statistics'!AG44,IF($T$2="2020年",'Offer Statistics'!AG75)))</f>
        <v>167</v>
      </c>
      <c r="V13" s="284">
        <f>IF($T$2="2018年",'Offer Statistics'!AB13,IF($T$2="2019年",'Offer Statistics'!AB44,IF($T$2="2020年",'Offer Statistics'!AB75)))</f>
        <v>157</v>
      </c>
      <c r="W13" s="284">
        <f>IF($T$2="2018年",'Offer Statistics'!AC13,IF($T$2="2019年",'Offer Statistics'!AC44,IF($T$2="2020年",'Offer Statistics'!AC75)))</f>
        <v>7</v>
      </c>
      <c r="X13" s="284">
        <f>IF($T$2="2018年",'Offer Statistics'!AD13,IF($T$2="2019年",'Offer Statistics'!AD44,IF($T$2="2020年",'Offer Statistics'!AD75)))</f>
        <v>1</v>
      </c>
      <c r="Y13" s="284">
        <f>IF($T$2="2018年",'Offer Statistics'!AE13,IF($T$2="2019年",'Offer Statistics'!AE44,IF($T$2="2020年",'Offer Statistics'!AE75)))</f>
        <v>2</v>
      </c>
      <c r="Z13" s="284">
        <f>IF($T$2="2018年",'Offer Statistics'!AF13,IF($T$2="2019年",'Offer Statistics'!AF44,IF($T$2="2020年",'Offer Statistics'!AF75)))</f>
        <v>0</v>
      </c>
      <c r="AA13" s="501"/>
      <c r="AB13" s="276">
        <f>IF($AA$2="2018年",'Offer Statistics'!Y13,IF($AA$2="2019年",'Offer Statistics'!Y44,IF($AA$2="2020年",'Offer Statistics'!Y75)))</f>
        <v>7370</v>
      </c>
      <c r="AC13" s="284">
        <f>IF($AA$2="2018年",'Offer Statistics'!T13,IF($AA$2="2019年",'Offer Statistics'!T44,IF($AA$2="2020年",'Offer Statistics'!T75)))</f>
        <v>1873</v>
      </c>
      <c r="AD13" s="284">
        <f>IF($AA$2="2018年",'Offer Statistics'!U13,IF($AA$2="2019年",'Offer Statistics'!U44,IF($AA$2="2020年",'Offer Statistics'!U75)))</f>
        <v>1371</v>
      </c>
      <c r="AE13" s="284">
        <f>IF($AA$2="2018年",'Offer Statistics'!V13,IF($AA$2="2019年",'Offer Statistics'!V44,IF($AA$2="2020年",'Offer Statistics'!V75)))</f>
        <v>1531</v>
      </c>
      <c r="AF13" s="284">
        <f>IF($AA$2="2018年",'Offer Statistics'!W13,IF($AA$2="2019年",'Offer Statistics'!W44,IF($AA$2="2020年",'Offer Statistics'!W75)))</f>
        <v>1528</v>
      </c>
      <c r="AG13" s="284">
        <f>IF($AA$2="2018年",'Offer Statistics'!X13,IF($AA$2="2019年",'Offer Statistics'!X44,IF($AA$2="2020年",'Offer Statistics'!X75)))</f>
        <v>1067</v>
      </c>
      <c r="AH13" s="175"/>
      <c r="AI13" s="338" t="str">
        <f t="shared" si="2"/>
        <v>JS2120</v>
      </c>
    </row>
    <row r="14" spans="1:35" ht="18" customHeight="1">
      <c r="A14" s="5" t="s">
        <v>905</v>
      </c>
      <c r="B14" s="5" t="s">
        <v>968</v>
      </c>
      <c r="C14" s="5" t="s">
        <v>943</v>
      </c>
      <c r="D14" s="5" t="s">
        <v>1527</v>
      </c>
      <c r="E14" s="437" t="s">
        <v>189</v>
      </c>
      <c r="F14" s="7">
        <f>5*1.25+3*1.25+4+4+4</f>
        <v>22</v>
      </c>
      <c r="G14" s="7">
        <f>3*1.5+3*1.5+4+5+4</f>
        <v>22</v>
      </c>
      <c r="H14" s="193">
        <f>計分版!D89</f>
        <v>3.0250000000000002E-9</v>
      </c>
      <c r="I14" s="39">
        <f t="shared" si="5"/>
        <v>-21.999999996974999</v>
      </c>
      <c r="J14" s="40">
        <f t="shared" si="6"/>
        <v>-7272727271.727272</v>
      </c>
      <c r="K14" s="101">
        <v>13</v>
      </c>
      <c r="L14" s="381">
        <f>入學要求!S68</f>
        <v>0</v>
      </c>
      <c r="M14" s="377" t="s">
        <v>2191</v>
      </c>
      <c r="N14" s="82">
        <v>3</v>
      </c>
      <c r="O14" s="82">
        <v>3</v>
      </c>
      <c r="P14" s="82">
        <v>2</v>
      </c>
      <c r="Q14" s="82">
        <v>2</v>
      </c>
      <c r="R14" s="82">
        <v>3</v>
      </c>
      <c r="S14" s="82">
        <v>3</v>
      </c>
      <c r="T14" s="501"/>
      <c r="U14" s="276">
        <f>IF($T$2="2018年",'Offer Statistics'!AG14,IF($T$2="2019年",'Offer Statistics'!AG45,IF($T$2="2020年",'Offer Statistics'!AG76)))</f>
        <v>14</v>
      </c>
      <c r="V14" s="284">
        <f>IF($T$2="2018年",'Offer Statistics'!AB14,IF($T$2="2019年",'Offer Statistics'!AB45,IF($T$2="2020年",'Offer Statistics'!AB76)))</f>
        <v>14</v>
      </c>
      <c r="W14" s="284">
        <f>IF($T$2="2018年",'Offer Statistics'!AC14,IF($T$2="2019年",'Offer Statistics'!AC45,IF($T$2="2020年",'Offer Statistics'!AC76)))</f>
        <v>0</v>
      </c>
      <c r="X14" s="284">
        <f>IF($T$2="2018年",'Offer Statistics'!AD14,IF($T$2="2019年",'Offer Statistics'!AD45,IF($T$2="2020年",'Offer Statistics'!AD76)))</f>
        <v>0</v>
      </c>
      <c r="Y14" s="284">
        <f>IF($T$2="2018年",'Offer Statistics'!AE14,IF($T$2="2019年",'Offer Statistics'!AE45,IF($T$2="2020年",'Offer Statistics'!AE76)))</f>
        <v>0</v>
      </c>
      <c r="Z14" s="284">
        <f>IF($T$2="2018年",'Offer Statistics'!AF14,IF($T$2="2019年",'Offer Statistics'!AF45,IF($T$2="2020年",'Offer Statistics'!AF76)))</f>
        <v>0</v>
      </c>
      <c r="AA14" s="501"/>
      <c r="AB14" s="276">
        <f>IF($AA$2="2018年",'Offer Statistics'!Y14,IF($AA$2="2019年",'Offer Statistics'!Y45,IF($AA$2="2020年",'Offer Statistics'!Y76)))</f>
        <v>3140</v>
      </c>
      <c r="AC14" s="284">
        <f>IF($AA$2="2018年",'Offer Statistics'!T14,IF($AA$2="2019年",'Offer Statistics'!T45,IF($AA$2="2020年",'Offer Statistics'!T76)))</f>
        <v>550</v>
      </c>
      <c r="AD14" s="284">
        <f>IF($AA$2="2018年",'Offer Statistics'!U14,IF($AA$2="2019年",'Offer Statistics'!U45,IF($AA$2="2020年",'Offer Statistics'!U76)))</f>
        <v>571</v>
      </c>
      <c r="AE14" s="284">
        <f>IF($AA$2="2018年",'Offer Statistics'!V14,IF($AA$2="2019年",'Offer Statistics'!V45,IF($AA$2="2020年",'Offer Statistics'!V76)))</f>
        <v>737</v>
      </c>
      <c r="AF14" s="284">
        <f>IF($AA$2="2018年",'Offer Statistics'!W14,IF($AA$2="2019年",'Offer Statistics'!W45,IF($AA$2="2020年",'Offer Statistics'!W76)))</f>
        <v>736</v>
      </c>
      <c r="AG14" s="284">
        <f>IF($AA$2="2018年",'Offer Statistics'!X14,IF($AA$2="2019年",'Offer Statistics'!X45,IF($AA$2="2020年",'Offer Statistics'!X76)))</f>
        <v>546</v>
      </c>
      <c r="AI14" s="338" t="str">
        <f t="shared" si="2"/>
        <v>JS2320</v>
      </c>
    </row>
    <row r="15" spans="1:35" s="64" customFormat="1" ht="18" customHeight="1">
      <c r="A15" s="5" t="s">
        <v>906</v>
      </c>
      <c r="B15" s="5" t="s">
        <v>968</v>
      </c>
      <c r="C15" s="5" t="s">
        <v>944</v>
      </c>
      <c r="D15" s="5" t="s">
        <v>1529</v>
      </c>
      <c r="E15" s="437" t="s">
        <v>189</v>
      </c>
      <c r="F15" s="7">
        <f>5*1.25+4*1.25+4+4+5</f>
        <v>24.25</v>
      </c>
      <c r="G15" s="7">
        <f>4*1.25+3*1.25+4+4+4</f>
        <v>20.75</v>
      </c>
      <c r="H15" s="193">
        <f>計分版!D90</f>
        <v>3.0250000000000002E-9</v>
      </c>
      <c r="I15" s="39">
        <f t="shared" si="3"/>
        <v>-24.249999996974999</v>
      </c>
      <c r="J15" s="40">
        <f t="shared" si="4"/>
        <v>-8016528924.6198339</v>
      </c>
      <c r="K15" s="101">
        <v>20</v>
      </c>
      <c r="L15" s="381">
        <f>入學要求!S69</f>
        <v>0</v>
      </c>
      <c r="M15" s="377" t="s">
        <v>2191</v>
      </c>
      <c r="N15" s="82">
        <v>3</v>
      </c>
      <c r="O15" s="82">
        <v>3</v>
      </c>
      <c r="P15" s="82">
        <v>2</v>
      </c>
      <c r="Q15" s="82">
        <v>2</v>
      </c>
      <c r="R15" s="82">
        <v>3</v>
      </c>
      <c r="S15" s="82">
        <v>3</v>
      </c>
      <c r="T15" s="501"/>
      <c r="U15" s="276">
        <f>IF($T$2="2018年",'Offer Statistics'!AG15,IF($T$2="2019年",'Offer Statistics'!AG46,IF($T$2="2020年",'Offer Statistics'!AG77)))</f>
        <v>16</v>
      </c>
      <c r="V15" s="284">
        <f>IF($T$2="2018年",'Offer Statistics'!AB15,IF($T$2="2019年",'Offer Statistics'!AB46,IF($T$2="2020年",'Offer Statistics'!AB77)))</f>
        <v>16</v>
      </c>
      <c r="W15" s="284">
        <f>IF($T$2="2018年",'Offer Statistics'!AC15,IF($T$2="2019年",'Offer Statistics'!AC46,IF($T$2="2020年",'Offer Statistics'!AC77)))</f>
        <v>0</v>
      </c>
      <c r="X15" s="284">
        <f>IF($T$2="2018年",'Offer Statistics'!AD15,IF($T$2="2019年",'Offer Statistics'!AD46,IF($T$2="2020年",'Offer Statistics'!AD77)))</f>
        <v>0</v>
      </c>
      <c r="Y15" s="284">
        <f>IF($T$2="2018年",'Offer Statistics'!AE15,IF($T$2="2019年",'Offer Statistics'!AE46,IF($T$2="2020年",'Offer Statistics'!AE77)))</f>
        <v>0</v>
      </c>
      <c r="Z15" s="284">
        <f>IF($T$2="2018年",'Offer Statistics'!AF15,IF($T$2="2019年",'Offer Statistics'!AF46,IF($T$2="2020年",'Offer Statistics'!AF77)))</f>
        <v>0</v>
      </c>
      <c r="AA15" s="501"/>
      <c r="AB15" s="276">
        <f>IF($AA$2="2018年",'Offer Statistics'!Y15,IF($AA$2="2019年",'Offer Statistics'!Y46,IF($AA$2="2020年",'Offer Statistics'!Y77)))</f>
        <v>2872</v>
      </c>
      <c r="AC15" s="284">
        <f>IF($AA$2="2018年",'Offer Statistics'!T15,IF($AA$2="2019年",'Offer Statistics'!T46,IF($AA$2="2020年",'Offer Statistics'!T77)))</f>
        <v>590</v>
      </c>
      <c r="AD15" s="284">
        <f>IF($AA$2="2018年",'Offer Statistics'!U15,IF($AA$2="2019年",'Offer Statistics'!U46,IF($AA$2="2020年",'Offer Statistics'!U77)))</f>
        <v>425</v>
      </c>
      <c r="AE15" s="284">
        <f>IF($AA$2="2018年",'Offer Statistics'!V15,IF($AA$2="2019年",'Offer Statistics'!V46,IF($AA$2="2020年",'Offer Statistics'!V77)))</f>
        <v>624</v>
      </c>
      <c r="AF15" s="284">
        <f>IF($AA$2="2018年",'Offer Statistics'!W15,IF($AA$2="2019年",'Offer Statistics'!W46,IF($AA$2="2020年",'Offer Statistics'!W77)))</f>
        <v>716</v>
      </c>
      <c r="AG15" s="284">
        <f>IF($AA$2="2018年",'Offer Statistics'!X15,IF($AA$2="2019年",'Offer Statistics'!X46,IF($AA$2="2020年",'Offer Statistics'!X77)))</f>
        <v>517</v>
      </c>
      <c r="AH15" s="175"/>
      <c r="AI15" s="338" t="str">
        <f t="shared" si="2"/>
        <v>JS2330</v>
      </c>
    </row>
    <row r="16" spans="1:35" ht="18" customHeight="1">
      <c r="A16" s="5" t="s">
        <v>907</v>
      </c>
      <c r="B16" s="5" t="s">
        <v>968</v>
      </c>
      <c r="C16" s="5" t="s">
        <v>945</v>
      </c>
      <c r="D16" s="5" t="s">
        <v>1531</v>
      </c>
      <c r="E16" s="437" t="s">
        <v>59</v>
      </c>
      <c r="F16" s="7">
        <f>4+4+5+4+4</f>
        <v>21</v>
      </c>
      <c r="G16" s="7">
        <f>3+5+5+4+4</f>
        <v>21</v>
      </c>
      <c r="H16" s="193">
        <f>計分版!D91</f>
        <v>3.5500000000000004E-9</v>
      </c>
      <c r="I16" s="39">
        <f t="shared" si="3"/>
        <v>-20.999999996450001</v>
      </c>
      <c r="J16" s="40">
        <f t="shared" si="4"/>
        <v>-5915492956.7464781</v>
      </c>
      <c r="K16" s="101">
        <v>8</v>
      </c>
      <c r="L16" s="381">
        <f>入學要求!S70</f>
        <v>0</v>
      </c>
      <c r="M16" s="355" t="s">
        <v>2192</v>
      </c>
      <c r="N16" s="82">
        <v>3</v>
      </c>
      <c r="O16" s="82">
        <v>3</v>
      </c>
      <c r="P16" s="82">
        <v>2</v>
      </c>
      <c r="Q16" s="82">
        <v>2</v>
      </c>
      <c r="R16" s="82">
        <v>3</v>
      </c>
      <c r="S16" s="82">
        <v>3</v>
      </c>
      <c r="T16" s="501"/>
      <c r="U16" s="276">
        <f>IF($T$2="2018年",'Offer Statistics'!AG16,IF($T$2="2019年",'Offer Statistics'!AG47,IF($T$2="2020年",'Offer Statistics'!AG78)))</f>
        <v>10</v>
      </c>
      <c r="V16" s="284">
        <f>IF($T$2="2018年",'Offer Statistics'!AB16,IF($T$2="2019年",'Offer Statistics'!AB47,IF($T$2="2020年",'Offer Statistics'!AB78)))</f>
        <v>10</v>
      </c>
      <c r="W16" s="284">
        <f>IF($T$2="2018年",'Offer Statistics'!AC16,IF($T$2="2019年",'Offer Statistics'!AC47,IF($T$2="2020年",'Offer Statistics'!AC78)))</f>
        <v>0</v>
      </c>
      <c r="X16" s="284">
        <f>IF($T$2="2018年",'Offer Statistics'!AD16,IF($T$2="2019年",'Offer Statistics'!AD47,IF($T$2="2020年",'Offer Statistics'!AD78)))</f>
        <v>0</v>
      </c>
      <c r="Y16" s="284">
        <f>IF($T$2="2018年",'Offer Statistics'!AE16,IF($T$2="2019年",'Offer Statistics'!AE47,IF($T$2="2020年",'Offer Statistics'!AE78)))</f>
        <v>0</v>
      </c>
      <c r="Z16" s="284">
        <f>IF($T$2="2018年",'Offer Statistics'!AF16,IF($T$2="2019年",'Offer Statistics'!AF47,IF($T$2="2020年",'Offer Statistics'!AF78)))</f>
        <v>0</v>
      </c>
      <c r="AA16" s="501"/>
      <c r="AB16" s="276">
        <f>IF($AA$2="2018年",'Offer Statistics'!Y16,IF($AA$2="2019年",'Offer Statistics'!Y47,IF($AA$2="2020年",'Offer Statistics'!Y78)))</f>
        <v>696</v>
      </c>
      <c r="AC16" s="284">
        <f>IF($AA$2="2018年",'Offer Statistics'!T16,IF($AA$2="2019年",'Offer Statistics'!T47,IF($AA$2="2020年",'Offer Statistics'!T78)))</f>
        <v>121</v>
      </c>
      <c r="AD16" s="284">
        <f>IF($AA$2="2018年",'Offer Statistics'!U16,IF($AA$2="2019年",'Offer Statistics'!U47,IF($AA$2="2020年",'Offer Statistics'!U78)))</f>
        <v>115</v>
      </c>
      <c r="AE16" s="284">
        <f>IF($AA$2="2018年",'Offer Statistics'!V16,IF($AA$2="2019年",'Offer Statistics'!V47,IF($AA$2="2020年",'Offer Statistics'!V78)))</f>
        <v>127</v>
      </c>
      <c r="AF16" s="284">
        <f>IF($AA$2="2018年",'Offer Statistics'!W16,IF($AA$2="2019年",'Offer Statistics'!W47,IF($AA$2="2020年",'Offer Statistics'!W78)))</f>
        <v>162</v>
      </c>
      <c r="AG16" s="284">
        <f>IF($AA$2="2018年",'Offer Statistics'!X16,IF($AA$2="2019年",'Offer Statistics'!X47,IF($AA$2="2020年",'Offer Statistics'!X78)))</f>
        <v>171</v>
      </c>
      <c r="AI16" s="338" t="str">
        <f t="shared" si="2"/>
        <v>JS2340</v>
      </c>
    </row>
    <row r="17" spans="1:35" s="64" customFormat="1" ht="18" customHeight="1">
      <c r="A17" s="5" t="s">
        <v>1261</v>
      </c>
      <c r="B17" s="5" t="s">
        <v>1252</v>
      </c>
      <c r="C17" s="5" t="s">
        <v>1259</v>
      </c>
      <c r="D17" s="5" t="s">
        <v>1532</v>
      </c>
      <c r="E17" s="437" t="s">
        <v>189</v>
      </c>
      <c r="F17" s="7" t="s">
        <v>792</v>
      </c>
      <c r="G17" s="7" t="s">
        <v>792</v>
      </c>
      <c r="H17" s="193">
        <f>計分版!D92</f>
        <v>3.0250000000000002E-9</v>
      </c>
      <c r="I17" s="8" t="s">
        <v>792</v>
      </c>
      <c r="J17" s="9" t="s">
        <v>792</v>
      </c>
      <c r="K17" s="101">
        <v>41</v>
      </c>
      <c r="L17" s="381">
        <f>入學要求!S71</f>
        <v>0</v>
      </c>
      <c r="M17" s="361" t="s">
        <v>360</v>
      </c>
      <c r="N17" s="82">
        <v>3</v>
      </c>
      <c r="O17" s="82">
        <v>3</v>
      </c>
      <c r="P17" s="82">
        <v>2</v>
      </c>
      <c r="Q17" s="82">
        <v>2</v>
      </c>
      <c r="R17" s="82">
        <v>3</v>
      </c>
      <c r="S17" s="82">
        <v>3</v>
      </c>
      <c r="T17" s="501"/>
      <c r="U17" s="276" t="str">
        <f>IF($T$2="2018年",'Offer Statistics'!AG17,IF($T$2="2019年",'Offer Statistics'!AG48,IF($T$2="2020年",'Offer Statistics'!AG79)))</f>
        <v>/</v>
      </c>
      <c r="V17" s="284" t="str">
        <f>IF($T$2="2018年",'Offer Statistics'!AB17,IF($T$2="2019年",'Offer Statistics'!AB48,IF($T$2="2020年",'Offer Statistics'!AB79)))</f>
        <v>/</v>
      </c>
      <c r="W17" s="284" t="str">
        <f>IF($T$2="2018年",'Offer Statistics'!AC17,IF($T$2="2019年",'Offer Statistics'!AC48,IF($T$2="2020年",'Offer Statistics'!AC79)))</f>
        <v>/</v>
      </c>
      <c r="X17" s="284" t="str">
        <f>IF($T$2="2018年",'Offer Statistics'!AD17,IF($T$2="2019年",'Offer Statistics'!AD48,IF($T$2="2020年",'Offer Statistics'!AD79)))</f>
        <v>/</v>
      </c>
      <c r="Y17" s="284" t="str">
        <f>IF($T$2="2018年",'Offer Statistics'!AE17,IF($T$2="2019年",'Offer Statistics'!AE48,IF($T$2="2020年",'Offer Statistics'!AE79)))</f>
        <v>/</v>
      </c>
      <c r="Z17" s="284" t="str">
        <f>IF($T$2="2018年",'Offer Statistics'!AF17,IF($T$2="2019年",'Offer Statistics'!AF48,IF($T$2="2020年",'Offer Statistics'!AF79)))</f>
        <v>/</v>
      </c>
      <c r="AA17" s="501"/>
      <c r="AB17" s="276" t="str">
        <f>IF($AA$2="2018年",'Offer Statistics'!Y17,IF($AA$2="2019年",'Offer Statistics'!Y48,IF($AA$2="2020年",'Offer Statistics'!Y79)))</f>
        <v>/</v>
      </c>
      <c r="AC17" s="284" t="str">
        <f>IF($AA$2="2018年",'Offer Statistics'!T17,IF($AA$2="2019年",'Offer Statistics'!T48,IF($AA$2="2020年",'Offer Statistics'!T79)))</f>
        <v>/</v>
      </c>
      <c r="AD17" s="284" t="str">
        <f>IF($AA$2="2018年",'Offer Statistics'!U17,IF($AA$2="2019年",'Offer Statistics'!U48,IF($AA$2="2020年",'Offer Statistics'!U79)))</f>
        <v>/</v>
      </c>
      <c r="AE17" s="284" t="str">
        <f>IF($AA$2="2018年",'Offer Statistics'!V17,IF($AA$2="2019年",'Offer Statistics'!V48,IF($AA$2="2020年",'Offer Statistics'!V79)))</f>
        <v>/</v>
      </c>
      <c r="AF17" s="284" t="str">
        <f>IF($AA$2="2018年",'Offer Statistics'!W17,IF($AA$2="2019年",'Offer Statistics'!W48,IF($AA$2="2020年",'Offer Statistics'!W79)))</f>
        <v>/</v>
      </c>
      <c r="AG17" s="284" t="str">
        <f>IF($AA$2="2018年",'Offer Statistics'!X17,IF($AA$2="2019年",'Offer Statistics'!X48,IF($AA$2="2020年",'Offer Statistics'!X79)))</f>
        <v>/</v>
      </c>
      <c r="AH17" s="175"/>
      <c r="AI17" s="338" t="str">
        <f t="shared" si="2"/>
        <v>JS2350</v>
      </c>
    </row>
    <row r="18" spans="1:35" ht="18" customHeight="1">
      <c r="A18" s="5" t="s">
        <v>1262</v>
      </c>
      <c r="B18" s="5" t="s">
        <v>968</v>
      </c>
      <c r="C18" s="5" t="s">
        <v>1260</v>
      </c>
      <c r="D18" s="5" t="s">
        <v>1533</v>
      </c>
      <c r="E18" s="437" t="s">
        <v>189</v>
      </c>
      <c r="F18" s="7" t="s">
        <v>792</v>
      </c>
      <c r="G18" s="7" t="s">
        <v>792</v>
      </c>
      <c r="H18" s="193">
        <f>計分版!D93</f>
        <v>3.0250000000000002E-9</v>
      </c>
      <c r="I18" s="8" t="s">
        <v>792</v>
      </c>
      <c r="J18" s="9" t="s">
        <v>792</v>
      </c>
      <c r="K18" s="101">
        <v>40</v>
      </c>
      <c r="L18" s="381">
        <f>入學要求!S72</f>
        <v>0</v>
      </c>
      <c r="M18" s="361" t="s">
        <v>360</v>
      </c>
      <c r="N18" s="82">
        <v>3</v>
      </c>
      <c r="O18" s="82">
        <v>3</v>
      </c>
      <c r="P18" s="82">
        <v>2</v>
      </c>
      <c r="Q18" s="82">
        <v>2</v>
      </c>
      <c r="R18" s="82">
        <v>3</v>
      </c>
      <c r="S18" s="82">
        <v>3</v>
      </c>
      <c r="T18" s="501"/>
      <c r="U18" s="276" t="str">
        <f>IF($T$2="2018年",'Offer Statistics'!AG18,IF($T$2="2019年",'Offer Statistics'!AG49,IF($T$2="2020年",'Offer Statistics'!AG80)))</f>
        <v>/</v>
      </c>
      <c r="V18" s="284" t="str">
        <f>IF($T$2="2018年",'Offer Statistics'!AB18,IF($T$2="2019年",'Offer Statistics'!AB49,IF($T$2="2020年",'Offer Statistics'!AB80)))</f>
        <v>/</v>
      </c>
      <c r="W18" s="284" t="str">
        <f>IF($T$2="2018年",'Offer Statistics'!AC18,IF($T$2="2019年",'Offer Statistics'!AC49,IF($T$2="2020年",'Offer Statistics'!AC80)))</f>
        <v>/</v>
      </c>
      <c r="X18" s="284" t="str">
        <f>IF($T$2="2018年",'Offer Statistics'!AD18,IF($T$2="2019年",'Offer Statistics'!AD49,IF($T$2="2020年",'Offer Statistics'!AD80)))</f>
        <v>/</v>
      </c>
      <c r="Y18" s="284" t="str">
        <f>IF($T$2="2018年",'Offer Statistics'!AE18,IF($T$2="2019年",'Offer Statistics'!AE49,IF($T$2="2020年",'Offer Statistics'!AE80)))</f>
        <v>/</v>
      </c>
      <c r="Z18" s="284" t="str">
        <f>IF($T$2="2018年",'Offer Statistics'!AF18,IF($T$2="2019年",'Offer Statistics'!AF49,IF($T$2="2020年",'Offer Statistics'!AF80)))</f>
        <v>/</v>
      </c>
      <c r="AA18" s="501"/>
      <c r="AB18" s="276" t="str">
        <f>IF($AA$2="2018年",'Offer Statistics'!Y18,IF($AA$2="2019年",'Offer Statistics'!Y49,IF($AA$2="2020年",'Offer Statistics'!Y80)))</f>
        <v>/</v>
      </c>
      <c r="AC18" s="284" t="str">
        <f>IF($AA$2="2018年",'Offer Statistics'!T18,IF($AA$2="2019年",'Offer Statistics'!T49,IF($AA$2="2020年",'Offer Statistics'!T80)))</f>
        <v>/</v>
      </c>
      <c r="AD18" s="284" t="str">
        <f>IF($AA$2="2018年",'Offer Statistics'!U18,IF($AA$2="2019年",'Offer Statistics'!U49,IF($AA$2="2020年",'Offer Statistics'!U80)))</f>
        <v>/</v>
      </c>
      <c r="AE18" s="284" t="str">
        <f>IF($AA$2="2018年",'Offer Statistics'!V18,IF($AA$2="2019年",'Offer Statistics'!V49,IF($AA$2="2020年",'Offer Statistics'!V80)))</f>
        <v>/</v>
      </c>
      <c r="AF18" s="284" t="str">
        <f>IF($AA$2="2018年",'Offer Statistics'!W18,IF($AA$2="2019年",'Offer Statistics'!W49,IF($AA$2="2020年",'Offer Statistics'!W80)))</f>
        <v>/</v>
      </c>
      <c r="AG18" s="284" t="str">
        <f>IF($AA$2="2018年",'Offer Statistics'!X18,IF($AA$2="2019年",'Offer Statistics'!X49,IF($AA$2="2020年",'Offer Statistics'!X80)))</f>
        <v>/</v>
      </c>
      <c r="AI18" s="338" t="str">
        <f t="shared" si="2"/>
        <v>JS2360</v>
      </c>
    </row>
    <row r="19" spans="1:35" s="64" customFormat="1" ht="18" customHeight="1">
      <c r="A19" s="5" t="s">
        <v>908</v>
      </c>
      <c r="B19" s="5" t="s">
        <v>973</v>
      </c>
      <c r="C19" s="5" t="s">
        <v>946</v>
      </c>
      <c r="D19" s="5" t="s">
        <v>1534</v>
      </c>
      <c r="E19" s="437" t="s">
        <v>189</v>
      </c>
      <c r="F19" s="7">
        <f>6*1.5+4*1.5+5*1.25+4*1.5+4*1.25</f>
        <v>32.25</v>
      </c>
      <c r="G19" s="7">
        <f>6*1.5+4*1.5+4*1.25+5+4*1.5</f>
        <v>31</v>
      </c>
      <c r="H19" s="193">
        <f>計分版!D94</f>
        <v>3.9500000000000006E-9</v>
      </c>
      <c r="I19" s="39">
        <f>IF(I$1="差距(Median)",H19-F19,IF(I$1="差距(LQ)",H19-G19))</f>
        <v>-32.249999996050001</v>
      </c>
      <c r="J19" s="40">
        <f>IF(I$1="差距(Median)",(H19-F19)/H19,IF(I$1="差距(LQ)",(H19-G19)/H19))</f>
        <v>-8164556961.0253153</v>
      </c>
      <c r="K19" s="101">
        <v>30</v>
      </c>
      <c r="L19" s="381">
        <f>入學要求!S73</f>
        <v>0</v>
      </c>
      <c r="M19" s="355" t="s">
        <v>2190</v>
      </c>
      <c r="N19" s="82">
        <v>3</v>
      </c>
      <c r="O19" s="82">
        <v>3</v>
      </c>
      <c r="P19" s="82">
        <v>2</v>
      </c>
      <c r="Q19" s="82">
        <v>2</v>
      </c>
      <c r="R19" s="82">
        <v>3</v>
      </c>
      <c r="S19" s="82">
        <v>3</v>
      </c>
      <c r="T19" s="501"/>
      <c r="U19" s="276">
        <f>IF($T$2="2018年",'Offer Statistics'!AG19,IF($T$2="2019年",'Offer Statistics'!AG50,IF($T$2="2020年",'Offer Statistics'!AG81)))</f>
        <v>29</v>
      </c>
      <c r="V19" s="284">
        <f>IF($T$2="2018年",'Offer Statistics'!AB19,IF($T$2="2019年",'Offer Statistics'!AB50,IF($T$2="2020年",'Offer Statistics'!AB81)))</f>
        <v>28</v>
      </c>
      <c r="W19" s="284">
        <f>IF($T$2="2018年",'Offer Statistics'!AC19,IF($T$2="2019年",'Offer Statistics'!AC50,IF($T$2="2020年",'Offer Statistics'!AC81)))</f>
        <v>1</v>
      </c>
      <c r="X19" s="284">
        <f>IF($T$2="2018年",'Offer Statistics'!AD19,IF($T$2="2019年",'Offer Statistics'!AD50,IF($T$2="2020年",'Offer Statistics'!AD81)))</f>
        <v>0</v>
      </c>
      <c r="Y19" s="284">
        <f>IF($T$2="2018年",'Offer Statistics'!AE19,IF($T$2="2019年",'Offer Statistics'!AE50,IF($T$2="2020年",'Offer Statistics'!AE81)))</f>
        <v>0</v>
      </c>
      <c r="Z19" s="284">
        <f>IF($T$2="2018年",'Offer Statistics'!AF19,IF($T$2="2019年",'Offer Statistics'!AF50,IF($T$2="2020年",'Offer Statistics'!AF81)))</f>
        <v>0</v>
      </c>
      <c r="AA19" s="501"/>
      <c r="AB19" s="276">
        <f>IF($AA$2="2018年",'Offer Statistics'!Y19,IF($AA$2="2019年",'Offer Statistics'!Y50,IF($AA$2="2020年",'Offer Statistics'!Y81)))</f>
        <v>1319</v>
      </c>
      <c r="AC19" s="284">
        <f>IF($AA$2="2018年",'Offer Statistics'!T19,IF($AA$2="2019年",'Offer Statistics'!T50,IF($AA$2="2020年",'Offer Statistics'!T81)))</f>
        <v>193</v>
      </c>
      <c r="AD19" s="284">
        <f>IF($AA$2="2018年",'Offer Statistics'!U19,IF($AA$2="2019年",'Offer Statistics'!U50,IF($AA$2="2020年",'Offer Statistics'!U81)))</f>
        <v>139</v>
      </c>
      <c r="AE19" s="284">
        <f>IF($AA$2="2018年",'Offer Statistics'!V19,IF($AA$2="2019年",'Offer Statistics'!V50,IF($AA$2="2020年",'Offer Statistics'!V81)))</f>
        <v>247</v>
      </c>
      <c r="AF19" s="284">
        <f>IF($AA$2="2018年",'Offer Statistics'!W19,IF($AA$2="2019年",'Offer Statistics'!W50,IF($AA$2="2020年",'Offer Statistics'!W81)))</f>
        <v>408</v>
      </c>
      <c r="AG19" s="284">
        <f>IF($AA$2="2018年",'Offer Statistics'!X19,IF($AA$2="2019年",'Offer Statistics'!X50,IF($AA$2="2020年",'Offer Statistics'!X81)))</f>
        <v>332</v>
      </c>
      <c r="AH19" s="175"/>
      <c r="AI19" s="338" t="str">
        <f t="shared" si="2"/>
        <v>JS2410</v>
      </c>
    </row>
    <row r="20" spans="1:35" ht="18" customHeight="1">
      <c r="A20" s="5" t="s">
        <v>909</v>
      </c>
      <c r="B20" s="5" t="s">
        <v>973</v>
      </c>
      <c r="C20" s="5" t="s">
        <v>972</v>
      </c>
      <c r="D20" s="5" t="s">
        <v>1535</v>
      </c>
      <c r="E20" s="437" t="s">
        <v>189</v>
      </c>
      <c r="F20" s="7">
        <f>3*1.5+4*1.5+4+5*1.5+4*1.25</f>
        <v>27</v>
      </c>
      <c r="G20" s="7">
        <f>4*1.5+4*1.5+4*1.25+4+4*1.5</f>
        <v>27</v>
      </c>
      <c r="H20" s="193">
        <f>計分版!D95</f>
        <v>3.9500000000000006E-9</v>
      </c>
      <c r="I20" s="39">
        <f>IF(I$1="差距(Median)",H20-F20,IF(I$1="差距(LQ)",H20-G20))</f>
        <v>-26.999999996050001</v>
      </c>
      <c r="J20" s="40">
        <f>IF(I$1="差距(Median)",(H20-F20)/H20,IF(I$1="差距(LQ)",(H20-G20)/H20))</f>
        <v>-6835443036.9746828</v>
      </c>
      <c r="K20" s="101">
        <v>15</v>
      </c>
      <c r="L20" s="381">
        <f>入學要求!S74</f>
        <v>0</v>
      </c>
      <c r="M20" s="355" t="s">
        <v>2190</v>
      </c>
      <c r="N20" s="403">
        <v>3</v>
      </c>
      <c r="O20" s="82">
        <v>3</v>
      </c>
      <c r="P20" s="82">
        <v>2</v>
      </c>
      <c r="Q20" s="82">
        <v>2</v>
      </c>
      <c r="R20" s="82">
        <v>3</v>
      </c>
      <c r="S20" s="82">
        <v>3</v>
      </c>
      <c r="T20" s="501"/>
      <c r="U20" s="276">
        <f>IF($T$2="2018年",'Offer Statistics'!AG20,IF($T$2="2019年",'Offer Statistics'!AG51,IF($T$2="2020年",'Offer Statistics'!AG82)))</f>
        <v>22</v>
      </c>
      <c r="V20" s="284">
        <f>IF($T$2="2018年",'Offer Statistics'!AB20,IF($T$2="2019年",'Offer Statistics'!AB51,IF($T$2="2020年",'Offer Statistics'!AB82)))</f>
        <v>20</v>
      </c>
      <c r="W20" s="284">
        <f>IF($T$2="2018年",'Offer Statistics'!AC20,IF($T$2="2019年",'Offer Statistics'!AC51,IF($T$2="2020年",'Offer Statistics'!AC82)))</f>
        <v>1</v>
      </c>
      <c r="X20" s="284">
        <f>IF($T$2="2018年",'Offer Statistics'!AD20,IF($T$2="2019年",'Offer Statistics'!AD51,IF($T$2="2020年",'Offer Statistics'!AD82)))</f>
        <v>1</v>
      </c>
      <c r="Y20" s="284">
        <f>IF($T$2="2018年",'Offer Statistics'!AE20,IF($T$2="2019年",'Offer Statistics'!AE51,IF($T$2="2020年",'Offer Statistics'!AE82)))</f>
        <v>0</v>
      </c>
      <c r="Z20" s="284">
        <f>IF($T$2="2018年",'Offer Statistics'!AF20,IF($T$2="2019年",'Offer Statistics'!AF51,IF($T$2="2020年",'Offer Statistics'!AF82)))</f>
        <v>0</v>
      </c>
      <c r="AA20" s="501"/>
      <c r="AB20" s="276">
        <f>IF($AA$2="2018年",'Offer Statistics'!Y20,IF($AA$2="2019年",'Offer Statistics'!Y51,IF($AA$2="2020年",'Offer Statistics'!Y82)))</f>
        <v>1887</v>
      </c>
      <c r="AC20" s="284">
        <f>IF($AA$2="2018年",'Offer Statistics'!T20,IF($AA$2="2019年",'Offer Statistics'!T51,IF($AA$2="2020年",'Offer Statistics'!T82)))</f>
        <v>197</v>
      </c>
      <c r="AD20" s="284">
        <f>IF($AA$2="2018年",'Offer Statistics'!U20,IF($AA$2="2019年",'Offer Statistics'!U51,IF($AA$2="2020年",'Offer Statistics'!U82)))</f>
        <v>257</v>
      </c>
      <c r="AE20" s="284">
        <f>IF($AA$2="2018年",'Offer Statistics'!V20,IF($AA$2="2019年",'Offer Statistics'!V51,IF($AA$2="2020年",'Offer Statistics'!V82)))</f>
        <v>430</v>
      </c>
      <c r="AF20" s="284">
        <f>IF($AA$2="2018年",'Offer Statistics'!W20,IF($AA$2="2019年",'Offer Statistics'!W51,IF($AA$2="2020年",'Offer Statistics'!W82)))</f>
        <v>531</v>
      </c>
      <c r="AG20" s="284">
        <f>IF($AA$2="2018年",'Offer Statistics'!X20,IF($AA$2="2019年",'Offer Statistics'!X51,IF($AA$2="2020年",'Offer Statistics'!X82)))</f>
        <v>472</v>
      </c>
      <c r="AI20" s="338" t="str">
        <f t="shared" si="2"/>
        <v>JS2420</v>
      </c>
    </row>
    <row r="21" spans="1:35" s="64" customFormat="1" ht="18" customHeight="1">
      <c r="A21" s="5" t="s">
        <v>910</v>
      </c>
      <c r="B21" s="5" t="s">
        <v>383</v>
      </c>
      <c r="C21" s="5" t="s">
        <v>276</v>
      </c>
      <c r="D21" s="5" t="s">
        <v>1536</v>
      </c>
      <c r="E21" s="377" t="s">
        <v>548</v>
      </c>
      <c r="F21" s="7">
        <f>5+4+4+3+3+3</f>
        <v>22</v>
      </c>
      <c r="G21" s="7">
        <f>4+4+4+4+3+3</f>
        <v>22</v>
      </c>
      <c r="H21" s="193">
        <f>計分版!D96</f>
        <v>3.9000000000000002E-9</v>
      </c>
      <c r="I21" s="39">
        <f t="shared" si="3"/>
        <v>-21.999999996100001</v>
      </c>
      <c r="J21" s="40">
        <f t="shared" si="4"/>
        <v>-5641025640.0256414</v>
      </c>
      <c r="K21" s="101">
        <v>206</v>
      </c>
      <c r="L21" s="381">
        <f>入學要求!S75</f>
        <v>0</v>
      </c>
      <c r="M21" s="361" t="s">
        <v>360</v>
      </c>
      <c r="N21" s="82">
        <v>3</v>
      </c>
      <c r="O21" s="82">
        <v>3</v>
      </c>
      <c r="P21" s="82">
        <v>2</v>
      </c>
      <c r="Q21" s="82">
        <v>2</v>
      </c>
      <c r="R21" s="82">
        <v>3</v>
      </c>
      <c r="S21" s="82">
        <v>3</v>
      </c>
      <c r="T21" s="501"/>
      <c r="U21" s="276">
        <f>IF($T$2="2018年",'Offer Statistics'!AG21,IF($T$2="2019年",'Offer Statistics'!AG52,IF($T$2="2020年",'Offer Statistics'!AG83)))</f>
        <v>218</v>
      </c>
      <c r="V21" s="284">
        <f>IF($T$2="2018年",'Offer Statistics'!AB21,IF($T$2="2019年",'Offer Statistics'!AB52,IF($T$2="2020年",'Offer Statistics'!AB83)))</f>
        <v>184</v>
      </c>
      <c r="W21" s="284">
        <f>IF($T$2="2018年",'Offer Statistics'!AC21,IF($T$2="2019年",'Offer Statistics'!AC52,IF($T$2="2020年",'Offer Statistics'!AC83)))</f>
        <v>21</v>
      </c>
      <c r="X21" s="284">
        <f>IF($T$2="2018年",'Offer Statistics'!AD21,IF($T$2="2019年",'Offer Statistics'!AD52,IF($T$2="2020年",'Offer Statistics'!AD83)))</f>
        <v>8</v>
      </c>
      <c r="Y21" s="284">
        <f>IF($T$2="2018年",'Offer Statistics'!AE21,IF($T$2="2019年",'Offer Statistics'!AE52,IF($T$2="2020年",'Offer Statistics'!AE83)))</f>
        <v>3</v>
      </c>
      <c r="Z21" s="284">
        <f>IF($T$2="2018年",'Offer Statistics'!AF21,IF($T$2="2019年",'Offer Statistics'!AF52,IF($T$2="2020年",'Offer Statistics'!AF83)))</f>
        <v>2</v>
      </c>
      <c r="AA21" s="501"/>
      <c r="AB21" s="276">
        <f>IF($AA$2="2018年",'Offer Statistics'!Y21,IF($AA$2="2019年",'Offer Statistics'!Y52,IF($AA$2="2020年",'Offer Statistics'!Y83)))</f>
        <v>5575</v>
      </c>
      <c r="AC21" s="284">
        <f>IF($AA$2="2018年",'Offer Statistics'!T21,IF($AA$2="2019年",'Offer Statistics'!T52,IF($AA$2="2020年",'Offer Statistics'!T83)))</f>
        <v>1075</v>
      </c>
      <c r="AD21" s="284">
        <f>IF($AA$2="2018年",'Offer Statistics'!U21,IF($AA$2="2019年",'Offer Statistics'!U52,IF($AA$2="2020年",'Offer Statistics'!U83)))</f>
        <v>1200</v>
      </c>
      <c r="AE21" s="284">
        <f>IF($AA$2="2018年",'Offer Statistics'!V21,IF($AA$2="2019年",'Offer Statistics'!V52,IF($AA$2="2020年",'Offer Statistics'!V83)))</f>
        <v>1206</v>
      </c>
      <c r="AF21" s="284">
        <f>IF($AA$2="2018年",'Offer Statistics'!W21,IF($AA$2="2019年",'Offer Statistics'!W52,IF($AA$2="2020年",'Offer Statistics'!W83)))</f>
        <v>1156</v>
      </c>
      <c r="AG21" s="284">
        <f>IF($AA$2="2018年",'Offer Statistics'!X21,IF($AA$2="2019年",'Offer Statistics'!X52,IF($AA$2="2020年",'Offer Statistics'!X83)))</f>
        <v>938</v>
      </c>
      <c r="AH21" s="175"/>
      <c r="AI21" s="338" t="str">
        <f t="shared" si="2"/>
        <v>JS2510</v>
      </c>
    </row>
    <row r="22" spans="1:35" ht="18" customHeight="1">
      <c r="A22" s="5" t="s">
        <v>911</v>
      </c>
      <c r="B22" s="5" t="s">
        <v>384</v>
      </c>
      <c r="C22" s="5" t="s">
        <v>971</v>
      </c>
      <c r="D22" s="5" t="s">
        <v>1537</v>
      </c>
      <c r="E22" s="437" t="s">
        <v>190</v>
      </c>
      <c r="F22" s="7">
        <f>4+4*2+4+4+4+4</f>
        <v>28</v>
      </c>
      <c r="G22" s="7">
        <f>3+3*2+3+5+6+4</f>
        <v>27</v>
      </c>
      <c r="H22" s="193">
        <f>計分版!D97</f>
        <v>3.05E-9</v>
      </c>
      <c r="I22" s="39">
        <f t="shared" si="3"/>
        <v>-27.999999996949999</v>
      </c>
      <c r="J22" s="40">
        <f t="shared" si="4"/>
        <v>-9180327867.852459</v>
      </c>
      <c r="K22" s="101">
        <v>105</v>
      </c>
      <c r="L22" s="381">
        <f>入學要求!S76</f>
        <v>0</v>
      </c>
      <c r="M22" s="361" t="s">
        <v>360</v>
      </c>
      <c r="N22" s="82">
        <v>3</v>
      </c>
      <c r="O22" s="82">
        <v>3</v>
      </c>
      <c r="P22" s="82">
        <v>2</v>
      </c>
      <c r="Q22" s="82">
        <v>2</v>
      </c>
      <c r="R22" s="82">
        <v>3</v>
      </c>
      <c r="S22" s="82">
        <v>3</v>
      </c>
      <c r="T22" s="501"/>
      <c r="U22" s="276">
        <f>IF($T$2="2018年",'Offer Statistics'!AG22,IF($T$2="2019年",'Offer Statistics'!AG53,IF($T$2="2020年",'Offer Statistics'!AG84)))</f>
        <v>108</v>
      </c>
      <c r="V22" s="284">
        <f>IF($T$2="2018年",'Offer Statistics'!AB22,IF($T$2="2019年",'Offer Statistics'!AB53,IF($T$2="2020年",'Offer Statistics'!AB84)))</f>
        <v>104</v>
      </c>
      <c r="W22" s="284">
        <f>IF($T$2="2018年",'Offer Statistics'!AC22,IF($T$2="2019年",'Offer Statistics'!AC53,IF($T$2="2020年",'Offer Statistics'!AC84)))</f>
        <v>3</v>
      </c>
      <c r="X22" s="284">
        <f>IF($T$2="2018年",'Offer Statistics'!AD22,IF($T$2="2019年",'Offer Statistics'!AD53,IF($T$2="2020年",'Offer Statistics'!AD84)))</f>
        <v>0</v>
      </c>
      <c r="Y22" s="284">
        <f>IF($T$2="2018年",'Offer Statistics'!AE22,IF($T$2="2019年",'Offer Statistics'!AE53,IF($T$2="2020年",'Offer Statistics'!AE84)))</f>
        <v>1</v>
      </c>
      <c r="Z22" s="284">
        <f>IF($T$2="2018年",'Offer Statistics'!AF22,IF($T$2="2019年",'Offer Statistics'!AF53,IF($T$2="2020年",'Offer Statistics'!AF84)))</f>
        <v>0</v>
      </c>
      <c r="AA22" s="501"/>
      <c r="AB22" s="276">
        <f>IF($AA$2="2018年",'Offer Statistics'!Y22,IF($AA$2="2019年",'Offer Statistics'!Y53,IF($AA$2="2020年",'Offer Statistics'!Y84)))</f>
        <v>5496</v>
      </c>
      <c r="AC22" s="284">
        <f>IF($AA$2="2018年",'Offer Statistics'!T22,IF($AA$2="2019年",'Offer Statistics'!T53,IF($AA$2="2020年",'Offer Statistics'!T84)))</f>
        <v>1346</v>
      </c>
      <c r="AD22" s="284">
        <f>IF($AA$2="2018年",'Offer Statistics'!U22,IF($AA$2="2019年",'Offer Statistics'!U53,IF($AA$2="2020年",'Offer Statistics'!U84)))</f>
        <v>980</v>
      </c>
      <c r="AE22" s="284">
        <f>IF($AA$2="2018年",'Offer Statistics'!V22,IF($AA$2="2019年",'Offer Statistics'!V53,IF($AA$2="2020年",'Offer Statistics'!V84)))</f>
        <v>1117</v>
      </c>
      <c r="AF22" s="284">
        <f>IF($AA$2="2018年",'Offer Statistics'!W22,IF($AA$2="2019年",'Offer Statistics'!W53,IF($AA$2="2020年",'Offer Statistics'!W84)))</f>
        <v>1214</v>
      </c>
      <c r="AG22" s="284">
        <f>IF($AA$2="2018年",'Offer Statistics'!X22,IF($AA$2="2019年",'Offer Statistics'!X53,IF($AA$2="2020年",'Offer Statistics'!X84)))</f>
        <v>839</v>
      </c>
      <c r="AI22" s="338" t="str">
        <f t="shared" si="2"/>
        <v>JS2610</v>
      </c>
    </row>
    <row r="23" spans="1:35" s="64" customFormat="1" ht="18" customHeight="1">
      <c r="A23" s="5" t="s">
        <v>912</v>
      </c>
      <c r="B23" s="5" t="s">
        <v>384</v>
      </c>
      <c r="C23" s="5" t="s">
        <v>970</v>
      </c>
      <c r="D23" s="5" t="s">
        <v>1538</v>
      </c>
      <c r="E23" s="307" t="s">
        <v>190</v>
      </c>
      <c r="F23" s="7">
        <f>3+4+6+4+5+5</f>
        <v>27</v>
      </c>
      <c r="G23" s="7">
        <f>4+5+4+5+4+4</f>
        <v>26</v>
      </c>
      <c r="H23" s="193">
        <f>計分版!D98</f>
        <v>2.8499999999999999E-9</v>
      </c>
      <c r="I23" s="39">
        <f t="shared" si="3"/>
        <v>-26.999999997149999</v>
      </c>
      <c r="J23" s="40">
        <f t="shared" si="4"/>
        <v>-9473684209.5263157</v>
      </c>
      <c r="K23" s="101">
        <v>26</v>
      </c>
      <c r="L23" s="381">
        <f>入學要求!S77</f>
        <v>0</v>
      </c>
      <c r="M23" s="361" t="s">
        <v>360</v>
      </c>
      <c r="N23" s="82">
        <v>3</v>
      </c>
      <c r="O23" s="82">
        <v>3</v>
      </c>
      <c r="P23" s="82">
        <v>2</v>
      </c>
      <c r="Q23" s="82">
        <v>2</v>
      </c>
      <c r="R23" s="82">
        <v>3</v>
      </c>
      <c r="S23" s="82">
        <v>3</v>
      </c>
      <c r="T23" s="501"/>
      <c r="U23" s="276">
        <f>IF($T$2="2018年",'Offer Statistics'!AG23,IF($T$2="2019年",'Offer Statistics'!AG54,IF($T$2="2020年",'Offer Statistics'!AG85)))</f>
        <v>13</v>
      </c>
      <c r="V23" s="284">
        <f>IF($T$2="2018年",'Offer Statistics'!AB23,IF($T$2="2019年",'Offer Statistics'!AB54,IF($T$2="2020年",'Offer Statistics'!AB85)))</f>
        <v>13</v>
      </c>
      <c r="W23" s="284">
        <f>IF($T$2="2018年",'Offer Statistics'!AC23,IF($T$2="2019年",'Offer Statistics'!AC54,IF($T$2="2020年",'Offer Statistics'!AC85)))</f>
        <v>0</v>
      </c>
      <c r="X23" s="284">
        <f>IF($T$2="2018年",'Offer Statistics'!AD23,IF($T$2="2019年",'Offer Statistics'!AD54,IF($T$2="2020年",'Offer Statistics'!AD85)))</f>
        <v>0</v>
      </c>
      <c r="Y23" s="284">
        <f>IF($T$2="2018年",'Offer Statistics'!AE23,IF($T$2="2019年",'Offer Statistics'!AE54,IF($T$2="2020年",'Offer Statistics'!AE85)))</f>
        <v>0</v>
      </c>
      <c r="Z23" s="284">
        <f>IF($T$2="2018年",'Offer Statistics'!AF23,IF($T$2="2019年",'Offer Statistics'!AF54,IF($T$2="2020年",'Offer Statistics'!AF85)))</f>
        <v>0</v>
      </c>
      <c r="AA23" s="501"/>
      <c r="AB23" s="276">
        <f>IF($AA$2="2018年",'Offer Statistics'!Y23,IF($AA$2="2019年",'Offer Statistics'!Y54,IF($AA$2="2020年",'Offer Statistics'!Y85)))</f>
        <v>2489</v>
      </c>
      <c r="AC23" s="284">
        <f>IF($AA$2="2018年",'Offer Statistics'!T23,IF($AA$2="2019年",'Offer Statistics'!T54,IF($AA$2="2020年",'Offer Statistics'!T85)))</f>
        <v>716</v>
      </c>
      <c r="AD23" s="284">
        <f>IF($AA$2="2018年",'Offer Statistics'!U23,IF($AA$2="2019年",'Offer Statistics'!U54,IF($AA$2="2020年",'Offer Statistics'!U85)))</f>
        <v>415</v>
      </c>
      <c r="AE23" s="284">
        <f>IF($AA$2="2018年",'Offer Statistics'!V23,IF($AA$2="2019年",'Offer Statistics'!V54,IF($AA$2="2020年",'Offer Statistics'!V85)))</f>
        <v>463</v>
      </c>
      <c r="AF23" s="284">
        <f>IF($AA$2="2018年",'Offer Statistics'!W23,IF($AA$2="2019年",'Offer Statistics'!W54,IF($AA$2="2020年",'Offer Statistics'!W85)))</f>
        <v>500</v>
      </c>
      <c r="AG23" s="284">
        <f>IF($AA$2="2018年",'Offer Statistics'!X23,IF($AA$2="2019年",'Offer Statistics'!X54,IF($AA$2="2020年",'Offer Statistics'!X85)))</f>
        <v>395</v>
      </c>
      <c r="AH23" s="175"/>
      <c r="AI23" s="338" t="str">
        <f t="shared" si="2"/>
        <v>JS2620</v>
      </c>
    </row>
    <row r="24" spans="1:35" ht="18" customHeight="1">
      <c r="A24" s="5" t="s">
        <v>913</v>
      </c>
      <c r="B24" s="5" t="s">
        <v>296</v>
      </c>
      <c r="C24" s="5" t="s">
        <v>955</v>
      </c>
      <c r="D24" s="5" t="s">
        <v>1539</v>
      </c>
      <c r="E24" s="437" t="s">
        <v>189</v>
      </c>
      <c r="F24" s="7">
        <f>4*1.2+4+4+5+4</f>
        <v>21.8</v>
      </c>
      <c r="G24" s="7">
        <f>4*1.2+6+4+3+3</f>
        <v>20.8</v>
      </c>
      <c r="H24" s="193">
        <f>計分版!D99</f>
        <v>2.9900000000000002E-9</v>
      </c>
      <c r="I24" s="39">
        <f t="shared" si="3"/>
        <v>-21.799999997010001</v>
      </c>
      <c r="J24" s="40">
        <f t="shared" si="4"/>
        <v>-7290969898.6655521</v>
      </c>
      <c r="K24" s="101">
        <v>15</v>
      </c>
      <c r="L24" s="381">
        <f>入學要求!S78</f>
        <v>0</v>
      </c>
      <c r="M24" s="361" t="s">
        <v>360</v>
      </c>
      <c r="N24" s="82">
        <v>3</v>
      </c>
      <c r="O24" s="82">
        <v>3</v>
      </c>
      <c r="P24" s="82">
        <v>2</v>
      </c>
      <c r="Q24" s="82">
        <v>2</v>
      </c>
      <c r="R24" s="82">
        <v>3</v>
      </c>
      <c r="S24" s="82">
        <v>3</v>
      </c>
      <c r="T24" s="501"/>
      <c r="U24" s="276">
        <f>IF($T$2="2018年",'Offer Statistics'!AG24,IF($T$2="2019年",'Offer Statistics'!AG55,IF($T$2="2020年",'Offer Statistics'!AG86)))</f>
        <v>12</v>
      </c>
      <c r="V24" s="284">
        <f>IF($T$2="2018年",'Offer Statistics'!AB24,IF($T$2="2019年",'Offer Statistics'!AB55,IF($T$2="2020年",'Offer Statistics'!AB86)))</f>
        <v>11</v>
      </c>
      <c r="W24" s="284">
        <f>IF($T$2="2018年",'Offer Statistics'!AC24,IF($T$2="2019年",'Offer Statistics'!AC55,IF($T$2="2020年",'Offer Statistics'!AC86)))</f>
        <v>0</v>
      </c>
      <c r="X24" s="284">
        <f>IF($T$2="2018年",'Offer Statistics'!AD24,IF($T$2="2019年",'Offer Statistics'!AD55,IF($T$2="2020年",'Offer Statistics'!AD86)))</f>
        <v>1</v>
      </c>
      <c r="Y24" s="284">
        <f>IF($T$2="2018年",'Offer Statistics'!AE24,IF($T$2="2019年",'Offer Statistics'!AE55,IF($T$2="2020年",'Offer Statistics'!AE86)))</f>
        <v>0</v>
      </c>
      <c r="Z24" s="284">
        <f>IF($T$2="2018年",'Offer Statistics'!AF24,IF($T$2="2019年",'Offer Statistics'!AF55,IF($T$2="2020年",'Offer Statistics'!AF86)))</f>
        <v>0</v>
      </c>
      <c r="AA24" s="501"/>
      <c r="AB24" s="276">
        <f>IF($AA$2="2018年",'Offer Statistics'!Y24,IF($AA$2="2019年",'Offer Statistics'!Y55,IF($AA$2="2020年",'Offer Statistics'!Y86)))</f>
        <v>1296</v>
      </c>
      <c r="AC24" s="284">
        <f>IF($AA$2="2018年",'Offer Statistics'!T24,IF($AA$2="2019年",'Offer Statistics'!T55,IF($AA$2="2020年",'Offer Statistics'!T86)))</f>
        <v>139</v>
      </c>
      <c r="AD24" s="284">
        <f>IF($AA$2="2018年",'Offer Statistics'!U24,IF($AA$2="2019年",'Offer Statistics'!U55,IF($AA$2="2020年",'Offer Statistics'!U86)))</f>
        <v>207</v>
      </c>
      <c r="AE24" s="284">
        <f>IF($AA$2="2018年",'Offer Statistics'!V24,IF($AA$2="2019年",'Offer Statistics'!V55,IF($AA$2="2020年",'Offer Statistics'!V86)))</f>
        <v>327</v>
      </c>
      <c r="AF24" s="284">
        <f>IF($AA$2="2018年",'Offer Statistics'!W24,IF($AA$2="2019年",'Offer Statistics'!W55,IF($AA$2="2020年",'Offer Statistics'!W86)))</f>
        <v>343</v>
      </c>
      <c r="AG24" s="284">
        <f>IF($AA$2="2018年",'Offer Statistics'!X24,IF($AA$2="2019年",'Offer Statistics'!X55,IF($AA$2="2020年",'Offer Statistics'!X86)))</f>
        <v>280</v>
      </c>
      <c r="AI24" s="338" t="str">
        <f t="shared" si="2"/>
        <v>JS2630</v>
      </c>
    </row>
    <row r="25" spans="1:35" s="64" customFormat="1" ht="18" customHeight="1">
      <c r="A25" s="5" t="s">
        <v>914</v>
      </c>
      <c r="B25" s="5" t="s">
        <v>296</v>
      </c>
      <c r="C25" s="5" t="s">
        <v>957</v>
      </c>
      <c r="D25" s="5" t="s">
        <v>1540</v>
      </c>
      <c r="E25" s="437" t="s">
        <v>189</v>
      </c>
      <c r="F25" s="7">
        <f>3*1.2+6+5+4+3</f>
        <v>21.6</v>
      </c>
      <c r="G25" s="7">
        <f>4*1.2+4+4+4+4</f>
        <v>20.8</v>
      </c>
      <c r="H25" s="193">
        <f>計分版!D100</f>
        <v>2.9900000000000002E-9</v>
      </c>
      <c r="I25" s="39">
        <f t="shared" si="3"/>
        <v>-21.599999997010002</v>
      </c>
      <c r="J25" s="40">
        <f t="shared" si="4"/>
        <v>-7224080266.5585289</v>
      </c>
      <c r="K25" s="101">
        <v>15</v>
      </c>
      <c r="L25" s="381">
        <f>入學要求!S79</f>
        <v>0</v>
      </c>
      <c r="M25" s="361" t="s">
        <v>360</v>
      </c>
      <c r="N25" s="82">
        <v>3</v>
      </c>
      <c r="O25" s="82">
        <v>3</v>
      </c>
      <c r="P25" s="82">
        <v>2</v>
      </c>
      <c r="Q25" s="82">
        <v>2</v>
      </c>
      <c r="R25" s="82">
        <v>3</v>
      </c>
      <c r="S25" s="82">
        <v>3</v>
      </c>
      <c r="T25" s="501"/>
      <c r="U25" s="276">
        <f>IF($T$2="2018年",'Offer Statistics'!AG25,IF($T$2="2019年",'Offer Statistics'!AG56,IF($T$2="2020年",'Offer Statistics'!AG87)))</f>
        <v>16</v>
      </c>
      <c r="V25" s="284">
        <f>IF($T$2="2018年",'Offer Statistics'!AB25,IF($T$2="2019年",'Offer Statistics'!AB56,IF($T$2="2020年",'Offer Statistics'!AB87)))</f>
        <v>13</v>
      </c>
      <c r="W25" s="284">
        <f>IF($T$2="2018年",'Offer Statistics'!AC25,IF($T$2="2019年",'Offer Statistics'!AC56,IF($T$2="2020年",'Offer Statistics'!AC87)))</f>
        <v>3</v>
      </c>
      <c r="X25" s="284">
        <f>IF($T$2="2018年",'Offer Statistics'!AD25,IF($T$2="2019年",'Offer Statistics'!AD56,IF($T$2="2020年",'Offer Statistics'!AD87)))</f>
        <v>0</v>
      </c>
      <c r="Y25" s="284">
        <f>IF($T$2="2018年",'Offer Statistics'!AE25,IF($T$2="2019年",'Offer Statistics'!AE56,IF($T$2="2020年",'Offer Statistics'!AE87)))</f>
        <v>0</v>
      </c>
      <c r="Z25" s="284">
        <f>IF($T$2="2018年",'Offer Statistics'!AF25,IF($T$2="2019年",'Offer Statistics'!AF56,IF($T$2="2020年",'Offer Statistics'!AF87)))</f>
        <v>0</v>
      </c>
      <c r="AA25" s="501"/>
      <c r="AB25" s="276">
        <f>IF($AA$2="2018年",'Offer Statistics'!Y25,IF($AA$2="2019年",'Offer Statistics'!Y56,IF($AA$2="2020年",'Offer Statistics'!Y87)))</f>
        <v>1229</v>
      </c>
      <c r="AC25" s="284">
        <f>IF($AA$2="2018年",'Offer Statistics'!T25,IF($AA$2="2019年",'Offer Statistics'!T56,IF($AA$2="2020年",'Offer Statistics'!T87)))</f>
        <v>122</v>
      </c>
      <c r="AD25" s="284">
        <f>IF($AA$2="2018年",'Offer Statistics'!U25,IF($AA$2="2019年",'Offer Statistics'!U56,IF($AA$2="2020年",'Offer Statistics'!U87)))</f>
        <v>210</v>
      </c>
      <c r="AE25" s="284">
        <f>IF($AA$2="2018年",'Offer Statistics'!V25,IF($AA$2="2019年",'Offer Statistics'!V56,IF($AA$2="2020年",'Offer Statistics'!V87)))</f>
        <v>279</v>
      </c>
      <c r="AF25" s="284">
        <f>IF($AA$2="2018年",'Offer Statistics'!W25,IF($AA$2="2019年",'Offer Statistics'!W56,IF($AA$2="2020年",'Offer Statistics'!W87)))</f>
        <v>360</v>
      </c>
      <c r="AG25" s="284">
        <f>IF($AA$2="2018年",'Offer Statistics'!X25,IF($AA$2="2019年",'Offer Statistics'!X56,IF($AA$2="2020年",'Offer Statistics'!X87)))</f>
        <v>258</v>
      </c>
      <c r="AH25" s="175"/>
      <c r="AI25" s="338" t="str">
        <f t="shared" si="2"/>
        <v>JS2640</v>
      </c>
    </row>
    <row r="26" spans="1:35" ht="18" customHeight="1">
      <c r="A26" s="5" t="s">
        <v>915</v>
      </c>
      <c r="B26" s="5" t="s">
        <v>296</v>
      </c>
      <c r="C26" s="5" t="s">
        <v>959</v>
      </c>
      <c r="D26" s="5" t="s">
        <v>1541</v>
      </c>
      <c r="E26" s="437" t="s">
        <v>190</v>
      </c>
      <c r="F26" s="7">
        <f>4+3*2+4+5*1.5+6+4</f>
        <v>31.5</v>
      </c>
      <c r="G26" s="7">
        <f>4+4*2+4+6*1.5+4+3</f>
        <v>32</v>
      </c>
      <c r="H26" s="193">
        <f>計分版!D101</f>
        <v>3.2500000000000002E-9</v>
      </c>
      <c r="I26" s="39">
        <f t="shared" si="3"/>
        <v>-31.499999996749999</v>
      </c>
      <c r="J26" s="40">
        <f t="shared" si="4"/>
        <v>-9692307691.3076916</v>
      </c>
      <c r="K26" s="101">
        <v>43</v>
      </c>
      <c r="L26" s="381">
        <f>入學要求!S80</f>
        <v>0</v>
      </c>
      <c r="M26" s="361" t="s">
        <v>360</v>
      </c>
      <c r="N26" s="82">
        <v>3</v>
      </c>
      <c r="O26" s="82">
        <v>3</v>
      </c>
      <c r="P26" s="82">
        <v>2</v>
      </c>
      <c r="Q26" s="82">
        <v>2</v>
      </c>
      <c r="R26" s="82">
        <v>3</v>
      </c>
      <c r="S26" s="82">
        <v>3</v>
      </c>
      <c r="T26" s="501"/>
      <c r="U26" s="276">
        <f>IF($T$2="2018年",'Offer Statistics'!AG26,IF($T$2="2019年",'Offer Statistics'!AG57,IF($T$2="2020年",'Offer Statistics'!AG88)))</f>
        <v>33</v>
      </c>
      <c r="V26" s="284">
        <f>IF($T$2="2018年",'Offer Statistics'!AB26,IF($T$2="2019年",'Offer Statistics'!AB57,IF($T$2="2020年",'Offer Statistics'!AB88)))</f>
        <v>32</v>
      </c>
      <c r="W26" s="284">
        <f>IF($T$2="2018年",'Offer Statistics'!AC26,IF($T$2="2019年",'Offer Statistics'!AC57,IF($T$2="2020年",'Offer Statistics'!AC88)))</f>
        <v>1</v>
      </c>
      <c r="X26" s="284">
        <f>IF($T$2="2018年",'Offer Statistics'!AD26,IF($T$2="2019年",'Offer Statistics'!AD57,IF($T$2="2020年",'Offer Statistics'!AD88)))</f>
        <v>0</v>
      </c>
      <c r="Y26" s="284">
        <f>IF($T$2="2018年",'Offer Statistics'!AE26,IF($T$2="2019年",'Offer Statistics'!AE57,IF($T$2="2020年",'Offer Statistics'!AE88)))</f>
        <v>0</v>
      </c>
      <c r="Z26" s="284">
        <f>IF($T$2="2018年",'Offer Statistics'!AF26,IF($T$2="2019年",'Offer Statistics'!AF57,IF($T$2="2020年",'Offer Statistics'!AF88)))</f>
        <v>0</v>
      </c>
      <c r="AA26" s="501"/>
      <c r="AB26" s="276">
        <f>IF($AA$2="2018年",'Offer Statistics'!Y26,IF($AA$2="2019年",'Offer Statistics'!Y57,IF($AA$2="2020年",'Offer Statistics'!Y88)))</f>
        <v>6388</v>
      </c>
      <c r="AC26" s="284">
        <f>IF($AA$2="2018年",'Offer Statistics'!T26,IF($AA$2="2019年",'Offer Statistics'!T57,IF($AA$2="2020年",'Offer Statistics'!T88)))</f>
        <v>1101</v>
      </c>
      <c r="AD26" s="284">
        <f>IF($AA$2="2018年",'Offer Statistics'!U26,IF($AA$2="2019年",'Offer Statistics'!U57,IF($AA$2="2020年",'Offer Statistics'!U88)))</f>
        <v>966</v>
      </c>
      <c r="AE26" s="284">
        <f>IF($AA$2="2018年",'Offer Statistics'!V26,IF($AA$2="2019年",'Offer Statistics'!V57,IF($AA$2="2020年",'Offer Statistics'!V88)))</f>
        <v>1374</v>
      </c>
      <c r="AF26" s="284">
        <f>IF($AA$2="2018年",'Offer Statistics'!W26,IF($AA$2="2019年",'Offer Statistics'!W57,IF($AA$2="2020年",'Offer Statistics'!W88)))</f>
        <v>1713</v>
      </c>
      <c r="AG26" s="284">
        <f>IF($AA$2="2018年",'Offer Statistics'!X26,IF($AA$2="2019年",'Offer Statistics'!X57,IF($AA$2="2020年",'Offer Statistics'!X88)))</f>
        <v>1234</v>
      </c>
      <c r="AI26" s="338" t="str">
        <f t="shared" si="2"/>
        <v>JS2660</v>
      </c>
    </row>
    <row r="27" spans="1:35" s="64" customFormat="1" ht="18" customHeight="1">
      <c r="A27" s="5" t="s">
        <v>916</v>
      </c>
      <c r="B27" s="5" t="s">
        <v>296</v>
      </c>
      <c r="C27" s="5" t="s">
        <v>961</v>
      </c>
      <c r="D27" s="5" t="s">
        <v>1542</v>
      </c>
      <c r="E27" s="437" t="s">
        <v>195</v>
      </c>
      <c r="F27" s="7">
        <f>4*1.5+3*1.5+4+5+4+4</f>
        <v>27.5</v>
      </c>
      <c r="G27" s="7">
        <f>4*1.5+3*1.5+4+4+5+3</f>
        <v>26.5</v>
      </c>
      <c r="H27" s="193">
        <f>計分版!D102</f>
        <v>2.9999999999999996E-9</v>
      </c>
      <c r="I27" s="39">
        <f t="shared" ref="I27" si="7">IF(I$1="差距(Median)",H27-F27,IF(I$1="差距(LQ)",H27-G27))</f>
        <v>-27.499999997</v>
      </c>
      <c r="J27" s="40">
        <f t="shared" ref="J27" si="8">IF(I$1="差距(Median)",(H27-F27)/H27,IF(I$1="差距(LQ)",(H27-G27)/H27))</f>
        <v>-9166666665.6666679</v>
      </c>
      <c r="K27" s="101">
        <v>20</v>
      </c>
      <c r="L27" s="381">
        <f>入學要求!S81</f>
        <v>0</v>
      </c>
      <c r="M27" s="377" t="s">
        <v>2191</v>
      </c>
      <c r="N27" s="403">
        <v>3</v>
      </c>
      <c r="O27" s="403">
        <v>3</v>
      </c>
      <c r="P27" s="82">
        <v>2</v>
      </c>
      <c r="Q27" s="82">
        <v>2</v>
      </c>
      <c r="R27" s="82">
        <v>3</v>
      </c>
      <c r="S27" s="82">
        <v>3</v>
      </c>
      <c r="T27" s="501"/>
      <c r="U27" s="276">
        <f>IF($T$2="2018年",'Offer Statistics'!AG27,IF($T$2="2019年",'Offer Statistics'!AG58,IF($T$2="2020年",'Offer Statistics'!AG89)))</f>
        <v>25</v>
      </c>
      <c r="V27" s="284">
        <f>IF($T$2="2018年",'Offer Statistics'!AB27,IF($T$2="2019年",'Offer Statistics'!AB58,IF($T$2="2020年",'Offer Statistics'!AB89)))</f>
        <v>21</v>
      </c>
      <c r="W27" s="284">
        <f>IF($T$2="2018年",'Offer Statistics'!AC27,IF($T$2="2019年",'Offer Statistics'!AC58,IF($T$2="2020年",'Offer Statistics'!AC89)))</f>
        <v>3</v>
      </c>
      <c r="X27" s="284">
        <f>IF($T$2="2018年",'Offer Statistics'!AD27,IF($T$2="2019年",'Offer Statistics'!AD58,IF($T$2="2020年",'Offer Statistics'!AD89)))</f>
        <v>1</v>
      </c>
      <c r="Y27" s="284">
        <f>IF($T$2="2018年",'Offer Statistics'!AE27,IF($T$2="2019年",'Offer Statistics'!AE58,IF($T$2="2020年",'Offer Statistics'!AE89)))</f>
        <v>0</v>
      </c>
      <c r="Z27" s="284">
        <f>IF($T$2="2018年",'Offer Statistics'!AF27,IF($T$2="2019年",'Offer Statistics'!AF58,IF($T$2="2020年",'Offer Statistics'!AF89)))</f>
        <v>0</v>
      </c>
      <c r="AA27" s="501"/>
      <c r="AB27" s="276">
        <f>IF($AA$2="2018年",'Offer Statistics'!Y27,IF($AA$2="2019年",'Offer Statistics'!Y58,IF($AA$2="2020年",'Offer Statistics'!Y89)))</f>
        <v>1650</v>
      </c>
      <c r="AC27" s="284">
        <f>IF($AA$2="2018年",'Offer Statistics'!T27,IF($AA$2="2019年",'Offer Statistics'!T58,IF($AA$2="2020年",'Offer Statistics'!T89)))</f>
        <v>201</v>
      </c>
      <c r="AD27" s="284">
        <f>IF($AA$2="2018年",'Offer Statistics'!U27,IF($AA$2="2019年",'Offer Statistics'!U58,IF($AA$2="2020年",'Offer Statistics'!U89)))</f>
        <v>250</v>
      </c>
      <c r="AE27" s="284">
        <f>IF($AA$2="2018年",'Offer Statistics'!V27,IF($AA$2="2019年",'Offer Statistics'!V58,IF($AA$2="2020年",'Offer Statistics'!V89)))</f>
        <v>374</v>
      </c>
      <c r="AF27" s="284">
        <f>IF($AA$2="2018年",'Offer Statistics'!W27,IF($AA$2="2019年",'Offer Statistics'!W58,IF($AA$2="2020年",'Offer Statistics'!W89)))</f>
        <v>451</v>
      </c>
      <c r="AG27" s="284">
        <f>IF($AA$2="2018年",'Offer Statistics'!X27,IF($AA$2="2019年",'Offer Statistics'!X58,IF($AA$2="2020年",'Offer Statistics'!X89)))</f>
        <v>374</v>
      </c>
      <c r="AH27" s="175"/>
      <c r="AI27" s="338" t="str">
        <f t="shared" si="2"/>
        <v>JS2670</v>
      </c>
    </row>
    <row r="28" spans="1:35" s="64" customFormat="1" ht="18" customHeight="1">
      <c r="A28" s="5" t="s">
        <v>918</v>
      </c>
      <c r="B28" s="5" t="s">
        <v>983</v>
      </c>
      <c r="C28" s="5" t="s">
        <v>962</v>
      </c>
      <c r="D28" s="5" t="s">
        <v>1544</v>
      </c>
      <c r="E28" s="249" t="s">
        <v>190</v>
      </c>
      <c r="F28" s="7">
        <f>4+4*2+4+5+5*1.2+4*1.2</f>
        <v>31.8</v>
      </c>
      <c r="G28" s="7">
        <f>5+3*2+3+6+5*1.2+3*1.2</f>
        <v>29.6</v>
      </c>
      <c r="H28" s="193">
        <f>計分版!D103</f>
        <v>2.8499999999999999E-9</v>
      </c>
      <c r="I28" s="39">
        <f t="shared" si="3"/>
        <v>-31.79999999715</v>
      </c>
      <c r="J28" s="40">
        <f t="shared" si="4"/>
        <v>-11157894735.842106</v>
      </c>
      <c r="K28" s="101">
        <v>18</v>
      </c>
      <c r="L28" s="381">
        <f>入學要求!S82</f>
        <v>0</v>
      </c>
      <c r="M28" s="361" t="s">
        <v>360</v>
      </c>
      <c r="N28" s="82">
        <v>3</v>
      </c>
      <c r="O28" s="82">
        <v>3</v>
      </c>
      <c r="P28" s="82">
        <v>2</v>
      </c>
      <c r="Q28" s="82">
        <v>2</v>
      </c>
      <c r="R28" s="82">
        <v>3</v>
      </c>
      <c r="S28" s="82">
        <v>3</v>
      </c>
      <c r="T28" s="501"/>
      <c r="U28" s="276">
        <f>IF($T$2="2018年",'Offer Statistics'!AG29,IF($T$2="2019年",'Offer Statistics'!AG60,IF($T$2="2020年",'Offer Statistics'!AG91)))</f>
        <v>10</v>
      </c>
      <c r="V28" s="284">
        <f>IF($T$2="2018年",'Offer Statistics'!AB29,IF($T$2="2019年",'Offer Statistics'!AB60,IF($T$2="2020年",'Offer Statistics'!AB91)))</f>
        <v>9</v>
      </c>
      <c r="W28" s="284">
        <f>IF($T$2="2018年",'Offer Statistics'!AC29,IF($T$2="2019年",'Offer Statistics'!AC60,IF($T$2="2020年",'Offer Statistics'!AC91)))</f>
        <v>1</v>
      </c>
      <c r="X28" s="284">
        <f>IF($T$2="2018年",'Offer Statistics'!AD29,IF($T$2="2019年",'Offer Statistics'!AD60,IF($T$2="2020年",'Offer Statistics'!AD91)))</f>
        <v>0</v>
      </c>
      <c r="Y28" s="284">
        <f>IF($T$2="2018年",'Offer Statistics'!AE29,IF($T$2="2019年",'Offer Statistics'!AE60,IF($T$2="2020年",'Offer Statistics'!AE91)))</f>
        <v>0</v>
      </c>
      <c r="Z28" s="284">
        <f>IF($T$2="2018年",'Offer Statistics'!AF29,IF($T$2="2019年",'Offer Statistics'!AF60,IF($T$2="2020年",'Offer Statistics'!AF91)))</f>
        <v>0</v>
      </c>
      <c r="AA28" s="501"/>
      <c r="AB28" s="276">
        <f>IF($AA$2="2018年",'Offer Statistics'!Y29,IF($AA$2="2019年",'Offer Statistics'!Y60,IF($AA$2="2020年",'Offer Statistics'!Y91)))</f>
        <v>2262</v>
      </c>
      <c r="AC28" s="284">
        <f>IF($AA$2="2018年",'Offer Statistics'!T29,IF($AA$2="2019年",'Offer Statistics'!T60,IF($AA$2="2020年",'Offer Statistics'!T91)))</f>
        <v>203</v>
      </c>
      <c r="AD28" s="284">
        <f>IF($AA$2="2018年",'Offer Statistics'!U29,IF($AA$2="2019年",'Offer Statistics'!U60,IF($AA$2="2020年",'Offer Statistics'!U91)))</f>
        <v>379</v>
      </c>
      <c r="AE28" s="284">
        <f>IF($AA$2="2018年",'Offer Statistics'!V29,IF($AA$2="2019年",'Offer Statistics'!V60,IF($AA$2="2020年",'Offer Statistics'!V91)))</f>
        <v>557</v>
      </c>
      <c r="AF28" s="284">
        <f>IF($AA$2="2018年",'Offer Statistics'!W29,IF($AA$2="2019年",'Offer Statistics'!W60,IF($AA$2="2020年",'Offer Statistics'!W91)))</f>
        <v>669</v>
      </c>
      <c r="AG28" s="284">
        <f>IF($AA$2="2018年",'Offer Statistics'!X29,IF($AA$2="2019年",'Offer Statistics'!X60,IF($AA$2="2020年",'Offer Statistics'!X91)))</f>
        <v>454</v>
      </c>
      <c r="AH28" s="175"/>
      <c r="AI28" s="338" t="str">
        <f t="shared" si="2"/>
        <v>JS2690</v>
      </c>
    </row>
    <row r="29" spans="1:35" ht="18" customHeight="1">
      <c r="A29" s="5" t="s">
        <v>919</v>
      </c>
      <c r="B29" s="5" t="s">
        <v>1253</v>
      </c>
      <c r="C29" s="5" t="s">
        <v>964</v>
      </c>
      <c r="D29" s="5" t="s">
        <v>1545</v>
      </c>
      <c r="E29" s="437" t="s">
        <v>189</v>
      </c>
      <c r="F29" s="7">
        <f>4+4+4+4+3</f>
        <v>19</v>
      </c>
      <c r="G29" s="7">
        <f>3+5+4+4+4</f>
        <v>20</v>
      </c>
      <c r="H29" s="193">
        <f>計分版!D104</f>
        <v>3.5500000000000004E-9</v>
      </c>
      <c r="I29" s="39">
        <f t="shared" si="3"/>
        <v>-18.999999996450001</v>
      </c>
      <c r="J29" s="40">
        <f t="shared" si="4"/>
        <v>-5352112675.0563374</v>
      </c>
      <c r="K29" s="101">
        <v>52</v>
      </c>
      <c r="L29" s="381">
        <f>入學要求!S83</f>
        <v>0</v>
      </c>
      <c r="M29" s="355" t="s">
        <v>2190</v>
      </c>
      <c r="N29" s="82">
        <v>3</v>
      </c>
      <c r="O29" s="82">
        <v>3</v>
      </c>
      <c r="P29" s="82">
        <v>2</v>
      </c>
      <c r="Q29" s="82">
        <v>2</v>
      </c>
      <c r="R29" s="82">
        <v>3</v>
      </c>
      <c r="S29" s="82">
        <v>3</v>
      </c>
      <c r="T29" s="501"/>
      <c r="U29" s="276">
        <f>IF($T$2="2018年",'Offer Statistics'!AG30,IF($T$2="2019年",'Offer Statistics'!AG61,IF($T$2="2020年",'Offer Statistics'!AG92)))</f>
        <v>49</v>
      </c>
      <c r="V29" s="284">
        <f>IF($T$2="2018年",'Offer Statistics'!AB30,IF($T$2="2019年",'Offer Statistics'!AB61,IF($T$2="2020年",'Offer Statistics'!AB92)))</f>
        <v>49</v>
      </c>
      <c r="W29" s="284">
        <f>IF($T$2="2018年",'Offer Statistics'!AC30,IF($T$2="2019年",'Offer Statistics'!AC61,IF($T$2="2020年",'Offer Statistics'!AC92)))</f>
        <v>0</v>
      </c>
      <c r="X29" s="284">
        <f>IF($T$2="2018年",'Offer Statistics'!AD30,IF($T$2="2019年",'Offer Statistics'!AD61,IF($T$2="2020年",'Offer Statistics'!AD92)))</f>
        <v>0</v>
      </c>
      <c r="Y29" s="284">
        <f>IF($T$2="2018年",'Offer Statistics'!AE30,IF($T$2="2019年",'Offer Statistics'!AE61,IF($T$2="2020年",'Offer Statistics'!AE92)))</f>
        <v>0</v>
      </c>
      <c r="Z29" s="284">
        <f>IF($T$2="2018年",'Offer Statistics'!AF30,IF($T$2="2019年",'Offer Statistics'!AF61,IF($T$2="2020年",'Offer Statistics'!AF92)))</f>
        <v>0</v>
      </c>
      <c r="AA29" s="501"/>
      <c r="AB29" s="276">
        <f>IF($AA$2="2018年",'Offer Statistics'!Y30,IF($AA$2="2019年",'Offer Statistics'!Y61,IF($AA$2="2020年",'Offer Statistics'!Y92)))</f>
        <v>2182</v>
      </c>
      <c r="AC29" s="284">
        <f>IF($AA$2="2018年",'Offer Statistics'!T30,IF($AA$2="2019年",'Offer Statistics'!T61,IF($AA$2="2020年",'Offer Statistics'!T92)))</f>
        <v>725</v>
      </c>
      <c r="AD29" s="284">
        <f>IF($AA$2="2018年",'Offer Statistics'!U30,IF($AA$2="2019年",'Offer Statistics'!U61,IF($AA$2="2020年",'Offer Statistics'!U92)))</f>
        <v>409</v>
      </c>
      <c r="AE29" s="284">
        <f>IF($AA$2="2018年",'Offer Statistics'!V30,IF($AA$2="2019年",'Offer Statistics'!V61,IF($AA$2="2020年",'Offer Statistics'!V92)))</f>
        <v>418</v>
      </c>
      <c r="AF29" s="284">
        <f>IF($AA$2="2018年",'Offer Statistics'!W30,IF($AA$2="2019年",'Offer Statistics'!W61,IF($AA$2="2020年",'Offer Statistics'!W92)))</f>
        <v>394</v>
      </c>
      <c r="AG29" s="284">
        <f>IF($AA$2="2018年",'Offer Statistics'!X30,IF($AA$2="2019年",'Offer Statistics'!X61,IF($AA$2="2020年",'Offer Statistics'!X92)))</f>
        <v>236</v>
      </c>
      <c r="AI29" s="338" t="str">
        <f t="shared" si="2"/>
        <v>JS2810</v>
      </c>
    </row>
    <row r="30" spans="1:35" s="64" customFormat="1" ht="18" customHeight="1">
      <c r="A30" s="5" t="s">
        <v>920</v>
      </c>
      <c r="B30" s="5" t="s">
        <v>974</v>
      </c>
      <c r="C30" s="5" t="s">
        <v>969</v>
      </c>
      <c r="D30" s="5" t="s">
        <v>1546</v>
      </c>
      <c r="E30" s="307" t="s">
        <v>548</v>
      </c>
      <c r="F30" s="7">
        <f>3+3+5+4+4+4</f>
        <v>23</v>
      </c>
      <c r="G30" s="7">
        <f>3+5+4+3+4+4</f>
        <v>23</v>
      </c>
      <c r="H30" s="193">
        <f>計分版!D105</f>
        <v>3.9000000000000002E-9</v>
      </c>
      <c r="I30" s="39">
        <f t="shared" si="3"/>
        <v>-22.999999996100001</v>
      </c>
      <c r="J30" s="40">
        <f t="shared" si="4"/>
        <v>-5897435896.4358978</v>
      </c>
      <c r="K30" s="101">
        <v>15</v>
      </c>
      <c r="L30" s="382">
        <f>入學要求!S84</f>
        <v>0</v>
      </c>
      <c r="M30" s="355" t="s">
        <v>2190</v>
      </c>
      <c r="N30" s="82">
        <v>3</v>
      </c>
      <c r="O30" s="82">
        <v>3</v>
      </c>
      <c r="P30" s="82">
        <v>2</v>
      </c>
      <c r="Q30" s="82">
        <v>2</v>
      </c>
      <c r="R30" s="82">
        <v>3</v>
      </c>
      <c r="S30" s="82">
        <v>3</v>
      </c>
      <c r="T30" s="501"/>
      <c r="U30" s="276">
        <f>IF($T$2="2018年",'Offer Statistics'!AG31,IF($T$2="2019年",'Offer Statistics'!AG62,IF($T$2="2020年",'Offer Statistics'!AG93)))</f>
        <v>16</v>
      </c>
      <c r="V30" s="284">
        <f>IF($T$2="2018年",'Offer Statistics'!AB31,IF($T$2="2019年",'Offer Statistics'!AB62,IF($T$2="2020年",'Offer Statistics'!AB93)))</f>
        <v>13</v>
      </c>
      <c r="W30" s="284">
        <f>IF($T$2="2018年",'Offer Statistics'!AC31,IF($T$2="2019年",'Offer Statistics'!AC62,IF($T$2="2020年",'Offer Statistics'!AC93)))</f>
        <v>2</v>
      </c>
      <c r="X30" s="284">
        <f>IF($T$2="2018年",'Offer Statistics'!AD31,IF($T$2="2019年",'Offer Statistics'!AD62,IF($T$2="2020年",'Offer Statistics'!AD93)))</f>
        <v>1</v>
      </c>
      <c r="Y30" s="284">
        <f>IF($T$2="2018年",'Offer Statistics'!AE31,IF($T$2="2019年",'Offer Statistics'!AE62,IF($T$2="2020年",'Offer Statistics'!AE93)))</f>
        <v>0</v>
      </c>
      <c r="Z30" s="284">
        <f>IF($T$2="2018年",'Offer Statistics'!AF31,IF($T$2="2019年",'Offer Statistics'!AF62,IF($T$2="2020年",'Offer Statistics'!AF93)))</f>
        <v>0</v>
      </c>
      <c r="AA30" s="501"/>
      <c r="AB30" s="276">
        <f>IF($AA$2="2018年",'Offer Statistics'!Y31,IF($AA$2="2019年",'Offer Statistics'!Y62,IF($AA$2="2020年",'Offer Statistics'!Y93)))</f>
        <v>2926</v>
      </c>
      <c r="AC30" s="284">
        <f>IF($AA$2="2018年",'Offer Statistics'!T31,IF($AA$2="2019年",'Offer Statistics'!T62,IF($AA$2="2020年",'Offer Statistics'!T93)))</f>
        <v>611</v>
      </c>
      <c r="AD30" s="284">
        <f>IF($AA$2="2018年",'Offer Statistics'!U31,IF($AA$2="2019年",'Offer Statistics'!U62,IF($AA$2="2020年",'Offer Statistics'!U93)))</f>
        <v>601</v>
      </c>
      <c r="AE30" s="284">
        <f>IF($AA$2="2018年",'Offer Statistics'!V31,IF($AA$2="2019年",'Offer Statistics'!V62,IF($AA$2="2020年",'Offer Statistics'!V93)))</f>
        <v>536</v>
      </c>
      <c r="AF30" s="284">
        <f>IF($AA$2="2018年",'Offer Statistics'!W31,IF($AA$2="2019年",'Offer Statistics'!W62,IF($AA$2="2020年",'Offer Statistics'!W93)))</f>
        <v>650</v>
      </c>
      <c r="AG30" s="284">
        <f>IF($AA$2="2018年",'Offer Statistics'!X31,IF($AA$2="2019年",'Offer Statistics'!X62,IF($AA$2="2020年",'Offer Statistics'!X93)))</f>
        <v>528</v>
      </c>
      <c r="AH30" s="175"/>
      <c r="AI30" s="338" t="str">
        <f t="shared" si="2"/>
        <v>JS2910</v>
      </c>
    </row>
    <row r="31" spans="1:35" ht="18" customHeight="1">
      <c r="U31" s="5"/>
      <c r="V31" s="5"/>
      <c r="W31" s="5"/>
      <c r="X31" s="5"/>
      <c r="Y31" s="5"/>
      <c r="Z31" s="5"/>
      <c r="AA31" s="5"/>
      <c r="AB31" s="5"/>
      <c r="AC31" s="5"/>
      <c r="AD31" s="5"/>
      <c r="AE31" s="5"/>
      <c r="AF31" s="5"/>
      <c r="AG31" s="5"/>
      <c r="AH31" s="5"/>
      <c r="AI31" s="5"/>
    </row>
    <row r="32" spans="1:35" ht="18" customHeight="1">
      <c r="A32" s="5" t="s">
        <v>2199</v>
      </c>
      <c r="U32" s="5"/>
      <c r="V32" s="5"/>
      <c r="W32" s="5"/>
      <c r="X32" s="5"/>
      <c r="Y32" s="5"/>
      <c r="Z32" s="5"/>
      <c r="AA32" s="5"/>
      <c r="AB32" s="5"/>
      <c r="AC32" s="5"/>
      <c r="AD32" s="5"/>
      <c r="AE32" s="5"/>
      <c r="AF32" s="5"/>
      <c r="AG32" s="5"/>
      <c r="AH32" s="5"/>
      <c r="AI32" s="5"/>
    </row>
    <row r="33" spans="1:36" ht="18" customHeight="1">
      <c r="A33" s="5" t="s">
        <v>1264</v>
      </c>
      <c r="U33" s="5"/>
      <c r="V33" s="5"/>
      <c r="W33" s="5"/>
      <c r="X33" s="5"/>
      <c r="Y33" s="5"/>
      <c r="Z33" s="5"/>
      <c r="AA33" s="5"/>
      <c r="AB33" s="5"/>
      <c r="AC33" s="5"/>
      <c r="AD33" s="5"/>
      <c r="AE33" s="5"/>
      <c r="AF33" s="5"/>
      <c r="AG33" s="5"/>
      <c r="AH33" s="5"/>
      <c r="AI33" s="5"/>
    </row>
    <row r="34" spans="1:36" s="175" customFormat="1" ht="18" customHeight="1">
      <c r="C34" s="186"/>
      <c r="E34" s="438"/>
      <c r="H34" s="438"/>
      <c r="K34" s="437"/>
      <c r="L34" s="438"/>
    </row>
    <row r="35" spans="1:36" s="187" customFormat="1" ht="18" customHeight="1">
      <c r="A35" s="187" t="s">
        <v>2352</v>
      </c>
      <c r="E35" s="272"/>
      <c r="F35" s="35"/>
      <c r="G35" s="35"/>
      <c r="H35" s="35"/>
      <c r="I35" s="35"/>
      <c r="J35" s="36"/>
      <c r="K35" s="37"/>
      <c r="L35" s="35"/>
      <c r="N35" s="35"/>
      <c r="O35" s="35"/>
      <c r="P35" s="35"/>
      <c r="Q35" s="35"/>
      <c r="R35" s="35"/>
      <c r="S35" s="35"/>
      <c r="T35" s="35"/>
      <c r="U35" s="35"/>
      <c r="V35" s="35"/>
      <c r="W35" s="35"/>
      <c r="X35" s="35"/>
      <c r="Y35" s="35"/>
      <c r="Z35" s="35"/>
      <c r="AA35" s="35"/>
      <c r="AB35" s="35"/>
      <c r="AC35" s="35"/>
      <c r="AD35" s="35"/>
      <c r="AE35" s="35"/>
      <c r="AF35" s="35"/>
      <c r="AG35" s="35"/>
      <c r="AH35" s="35"/>
      <c r="AJ35" s="35"/>
    </row>
    <row r="36" spans="1:36" s="175" customFormat="1" ht="18" customHeight="1">
      <c r="E36" s="386"/>
      <c r="K36" s="385"/>
      <c r="L36" s="406"/>
      <c r="M36" s="386"/>
    </row>
    <row r="37" spans="1:36" ht="18" customHeight="1">
      <c r="A37" s="4" t="s">
        <v>2243</v>
      </c>
      <c r="K37" s="61"/>
      <c r="U37" s="5"/>
      <c r="V37" s="5"/>
      <c r="W37" s="5"/>
      <c r="X37" s="5"/>
      <c r="Y37" s="5"/>
      <c r="Z37" s="5"/>
      <c r="AA37" s="5"/>
      <c r="AB37" s="5"/>
      <c r="AC37" s="5"/>
      <c r="AD37" s="5"/>
      <c r="AE37" s="5"/>
      <c r="AF37" s="5"/>
      <c r="AG37" s="5"/>
      <c r="AH37" s="5"/>
      <c r="AI37" s="5"/>
    </row>
    <row r="38" spans="1:36" ht="18" customHeight="1">
      <c r="A38" s="175" t="s">
        <v>2245</v>
      </c>
      <c r="K38" s="61"/>
      <c r="U38" s="5"/>
      <c r="V38" s="5"/>
      <c r="W38" s="5"/>
      <c r="X38" s="5"/>
      <c r="Y38" s="5"/>
      <c r="Z38" s="5"/>
      <c r="AA38" s="5"/>
      <c r="AB38" s="5"/>
      <c r="AC38" s="5"/>
      <c r="AD38" s="5"/>
      <c r="AE38" s="5"/>
      <c r="AF38" s="5"/>
      <c r="AG38" s="5"/>
      <c r="AH38" s="5"/>
      <c r="AI38" s="5"/>
    </row>
    <row r="39" spans="1:36" s="175" customFormat="1" ht="18" customHeight="1">
      <c r="E39" s="394"/>
      <c r="K39" s="393"/>
      <c r="L39" s="406"/>
      <c r="M39" s="394"/>
    </row>
    <row r="40" spans="1:36" s="175" customFormat="1" ht="18" customHeight="1">
      <c r="A40" s="175" t="s">
        <v>2267</v>
      </c>
      <c r="E40" s="386"/>
      <c r="K40" s="385"/>
      <c r="L40" s="406"/>
      <c r="M40" s="386"/>
    </row>
    <row r="41" spans="1:36" s="175" customFormat="1" ht="18" customHeight="1">
      <c r="A41" s="175" t="s">
        <v>2268</v>
      </c>
      <c r="E41" s="386"/>
      <c r="K41" s="385"/>
      <c r="L41" s="406"/>
      <c r="M41" s="386"/>
    </row>
    <row r="42" spans="1:36" s="175" customFormat="1" ht="18" customHeight="1">
      <c r="E42" s="386"/>
      <c r="K42" s="385"/>
      <c r="L42" s="406"/>
      <c r="M42" s="386"/>
    </row>
    <row r="43" spans="1:36" s="175" customFormat="1" ht="18" customHeight="1">
      <c r="A43" s="175" t="s">
        <v>2269</v>
      </c>
      <c r="E43" s="386"/>
      <c r="K43" s="385"/>
      <c r="L43" s="406"/>
      <c r="M43" s="386"/>
    </row>
    <row r="44" spans="1:36" s="175" customFormat="1" ht="18" customHeight="1">
      <c r="B44" s="175" t="s">
        <v>2253</v>
      </c>
      <c r="E44" s="386"/>
      <c r="K44" s="385"/>
      <c r="L44" s="406"/>
      <c r="M44" s="386"/>
    </row>
    <row r="45" spans="1:36" s="175" customFormat="1" ht="18" customHeight="1">
      <c r="B45" s="175" t="s">
        <v>2254</v>
      </c>
      <c r="E45" s="386"/>
      <c r="K45" s="385"/>
      <c r="L45" s="406"/>
      <c r="M45" s="386"/>
    </row>
    <row r="46" spans="1:36" s="175" customFormat="1" ht="18" customHeight="1">
      <c r="B46" s="175" t="s">
        <v>2255</v>
      </c>
      <c r="E46" s="386"/>
      <c r="K46" s="385"/>
      <c r="L46" s="406"/>
      <c r="M46" s="386"/>
    </row>
    <row r="47" spans="1:36" s="175" customFormat="1" ht="18" customHeight="1">
      <c r="B47" s="175" t="s">
        <v>2256</v>
      </c>
      <c r="E47" s="386"/>
      <c r="K47" s="385"/>
      <c r="L47" s="406"/>
      <c r="M47" s="386"/>
    </row>
    <row r="48" spans="1:36" s="175" customFormat="1" ht="18" customHeight="1">
      <c r="E48" s="386"/>
      <c r="K48" s="385"/>
      <c r="L48" s="406"/>
      <c r="M48" s="386"/>
    </row>
    <row r="49" spans="1:35" s="175" customFormat="1" ht="18" customHeight="1">
      <c r="A49" s="175" t="s">
        <v>2270</v>
      </c>
      <c r="E49" s="386"/>
      <c r="K49" s="385"/>
      <c r="L49" s="406"/>
      <c r="M49" s="386"/>
    </row>
    <row r="50" spans="1:35" ht="18" customHeight="1">
      <c r="A50" s="4"/>
      <c r="K50" s="73"/>
      <c r="U50" s="5"/>
      <c r="V50" s="5"/>
      <c r="W50" s="5"/>
      <c r="X50" s="5"/>
      <c r="Y50" s="5"/>
      <c r="Z50" s="5"/>
      <c r="AA50" s="5"/>
      <c r="AB50" s="5"/>
      <c r="AC50" s="5"/>
      <c r="AD50" s="5"/>
      <c r="AE50" s="5"/>
      <c r="AF50" s="5"/>
      <c r="AG50" s="5"/>
      <c r="AH50" s="5"/>
      <c r="AI50" s="5"/>
    </row>
    <row r="51" spans="1:35" ht="18" customHeight="1">
      <c r="A51" s="4" t="s">
        <v>1147</v>
      </c>
      <c r="K51" s="73"/>
      <c r="U51" s="5"/>
      <c r="V51" s="5"/>
      <c r="W51" s="5"/>
      <c r="X51" s="5"/>
      <c r="Y51" s="5"/>
      <c r="Z51" s="5"/>
      <c r="AA51" s="5"/>
      <c r="AB51" s="5"/>
      <c r="AC51" s="5"/>
      <c r="AD51" s="5"/>
      <c r="AE51" s="5"/>
      <c r="AF51" s="5"/>
      <c r="AG51" s="5"/>
      <c r="AH51" s="5"/>
      <c r="AI51" s="5"/>
    </row>
    <row r="52" spans="1:35" ht="18" customHeight="1">
      <c r="A52" s="74" t="s">
        <v>1148</v>
      </c>
      <c r="K52" s="61"/>
      <c r="U52" s="5"/>
      <c r="V52" s="5"/>
      <c r="W52" s="5"/>
      <c r="X52" s="5"/>
      <c r="Y52" s="5"/>
      <c r="Z52" s="5"/>
      <c r="AA52" s="5"/>
      <c r="AB52" s="5"/>
      <c r="AC52" s="5"/>
      <c r="AD52" s="5"/>
      <c r="AE52" s="5"/>
      <c r="AF52" s="5"/>
      <c r="AG52" s="5"/>
      <c r="AH52" s="5"/>
      <c r="AI52" s="5"/>
    </row>
    <row r="53" spans="1:35" ht="18" customHeight="1">
      <c r="A53" s="75" t="s">
        <v>1149</v>
      </c>
      <c r="K53" s="61"/>
      <c r="U53" s="5"/>
      <c r="V53" s="5"/>
      <c r="W53" s="5"/>
      <c r="X53" s="5"/>
      <c r="Y53" s="5"/>
      <c r="Z53" s="5"/>
      <c r="AA53" s="5"/>
      <c r="AB53" s="5"/>
      <c r="AC53" s="5"/>
      <c r="AD53" s="5"/>
      <c r="AE53" s="5"/>
      <c r="AF53" s="5"/>
      <c r="AG53" s="5"/>
      <c r="AH53" s="5"/>
      <c r="AI53" s="5"/>
    </row>
    <row r="54" spans="1:35" s="175" customFormat="1" ht="18" customHeight="1">
      <c r="A54" s="194"/>
      <c r="E54" s="386"/>
      <c r="K54" s="385"/>
      <c r="L54" s="406"/>
      <c r="M54" s="386"/>
    </row>
    <row r="55" spans="1:35" s="175" customFormat="1" ht="18" customHeight="1">
      <c r="A55" s="194"/>
      <c r="E55" s="386"/>
      <c r="K55" s="385"/>
      <c r="L55" s="406"/>
      <c r="M55" s="386"/>
    </row>
    <row r="56" spans="1:35" ht="18" hidden="1" customHeight="1">
      <c r="A56" s="4"/>
      <c r="K56" s="61"/>
      <c r="U56" s="5"/>
      <c r="V56" s="5"/>
      <c r="W56" s="5"/>
      <c r="X56" s="5"/>
      <c r="Y56" s="5"/>
      <c r="Z56" s="5"/>
      <c r="AA56" s="5"/>
      <c r="AB56" s="5"/>
      <c r="AC56" s="5"/>
      <c r="AD56" s="5"/>
      <c r="AE56" s="5"/>
      <c r="AF56" s="5"/>
      <c r="AG56" s="5"/>
      <c r="AH56" s="5"/>
      <c r="AI56" s="5"/>
    </row>
    <row r="57" spans="1:35" ht="18" hidden="1" customHeight="1">
      <c r="A57" s="4"/>
      <c r="U57" s="5"/>
      <c r="V57" s="5"/>
      <c r="W57" s="5"/>
      <c r="X57" s="5"/>
      <c r="Y57" s="5"/>
      <c r="Z57" s="5"/>
      <c r="AA57" s="5"/>
      <c r="AB57" s="5"/>
      <c r="AC57" s="5"/>
      <c r="AD57" s="5"/>
      <c r="AE57" s="5"/>
      <c r="AF57" s="5"/>
      <c r="AG57" s="5"/>
      <c r="AH57" s="5"/>
      <c r="AI57" s="5"/>
    </row>
    <row r="58" spans="1:35" ht="18" hidden="1" customHeight="1">
      <c r="A58" s="4"/>
      <c r="K58" s="61"/>
      <c r="U58" s="5"/>
      <c r="V58" s="5"/>
      <c r="W58" s="5"/>
      <c r="X58" s="5"/>
      <c r="Y58" s="5"/>
      <c r="Z58" s="5"/>
      <c r="AA58" s="5"/>
      <c r="AB58" s="5"/>
      <c r="AC58" s="5"/>
      <c r="AD58" s="5"/>
      <c r="AE58" s="5"/>
      <c r="AF58" s="5"/>
      <c r="AG58" s="5"/>
      <c r="AH58" s="5"/>
      <c r="AI58" s="5"/>
    </row>
    <row r="59" spans="1:35" ht="18" hidden="1" customHeight="1">
      <c r="K59" s="61"/>
      <c r="U59" s="5"/>
      <c r="V59" s="5"/>
      <c r="W59" s="5"/>
      <c r="X59" s="5"/>
      <c r="Y59" s="5"/>
      <c r="Z59" s="5"/>
      <c r="AA59" s="5"/>
      <c r="AB59" s="5"/>
      <c r="AC59" s="5"/>
      <c r="AD59" s="5"/>
      <c r="AE59" s="5"/>
      <c r="AF59" s="5"/>
      <c r="AG59" s="5"/>
      <c r="AH59" s="5"/>
      <c r="AI59" s="5"/>
    </row>
    <row r="60" spans="1:35" ht="18" hidden="1" customHeight="1">
      <c r="K60" s="61"/>
      <c r="U60" s="5"/>
      <c r="V60" s="5"/>
      <c r="W60" s="5"/>
      <c r="X60" s="5"/>
      <c r="Y60" s="5"/>
      <c r="Z60" s="5"/>
      <c r="AA60" s="5"/>
      <c r="AB60" s="5"/>
      <c r="AC60" s="5"/>
      <c r="AD60" s="5"/>
      <c r="AE60" s="5"/>
      <c r="AF60" s="5"/>
      <c r="AG60" s="5"/>
      <c r="AH60" s="5"/>
      <c r="AI60" s="5"/>
    </row>
    <row r="61" spans="1:35" ht="18" hidden="1" customHeight="1">
      <c r="U61" s="5"/>
      <c r="V61" s="5"/>
      <c r="W61" s="5"/>
      <c r="X61" s="5"/>
      <c r="Y61" s="5"/>
      <c r="Z61" s="5"/>
      <c r="AA61" s="5"/>
      <c r="AB61" s="5"/>
      <c r="AC61" s="5"/>
      <c r="AD61" s="5"/>
      <c r="AE61" s="5"/>
      <c r="AF61" s="5"/>
      <c r="AG61" s="5"/>
      <c r="AH61" s="5"/>
      <c r="AI61" s="5"/>
    </row>
    <row r="62" spans="1:35" ht="18" hidden="1" customHeight="1">
      <c r="U62" s="5"/>
      <c r="V62" s="5"/>
      <c r="W62" s="5"/>
      <c r="X62" s="5"/>
      <c r="Y62" s="5"/>
      <c r="Z62" s="5"/>
      <c r="AA62" s="5"/>
      <c r="AB62" s="5"/>
      <c r="AC62" s="5"/>
      <c r="AD62" s="5"/>
      <c r="AE62" s="5"/>
      <c r="AF62" s="5"/>
      <c r="AG62" s="5"/>
      <c r="AH62" s="5"/>
      <c r="AI62" s="5"/>
    </row>
    <row r="63" spans="1:35" ht="18" hidden="1" customHeight="1">
      <c r="U63" s="5"/>
      <c r="V63" s="5"/>
      <c r="W63" s="5"/>
      <c r="X63" s="5"/>
      <c r="Y63" s="5"/>
      <c r="Z63" s="5"/>
      <c r="AA63" s="5"/>
      <c r="AB63" s="5"/>
      <c r="AC63" s="5"/>
      <c r="AD63" s="5"/>
      <c r="AE63" s="5"/>
      <c r="AF63" s="5"/>
      <c r="AG63" s="5"/>
      <c r="AH63" s="5"/>
      <c r="AI63" s="5"/>
    </row>
    <row r="64" spans="1:35" ht="18" hidden="1" customHeight="1">
      <c r="U64" s="5"/>
      <c r="V64" s="5"/>
      <c r="W64" s="5"/>
      <c r="X64" s="5"/>
      <c r="Y64" s="5"/>
      <c r="Z64" s="5"/>
      <c r="AA64" s="5"/>
      <c r="AB64" s="5"/>
      <c r="AC64" s="5"/>
      <c r="AD64" s="5"/>
      <c r="AE64" s="5"/>
      <c r="AF64" s="5"/>
      <c r="AG64" s="5"/>
      <c r="AH64" s="5"/>
      <c r="AI64" s="5"/>
    </row>
    <row r="65" spans="1:35" ht="0" hidden="1" customHeight="1">
      <c r="T65" s="273"/>
      <c r="U65" s="267" t="b">
        <f>IF($S$2="2018年",'Offer Statistics'!I51,IF($S$2="2019年",'Offer Statistics'!I102,IF($S$2="2020年",'Offer Statistics'!I153)))</f>
        <v>0</v>
      </c>
      <c r="V65" s="181" t="b">
        <f>IF($S$2="2018年",'Offer Statistics'!D51,IF($S$2="2019年",'Offer Statistics'!D102,IF($S$2="2020年",'Offer Statistics'!D153)))</f>
        <v>0</v>
      </c>
      <c r="W65" s="181" t="b">
        <f>IF($S$2="2018年",'Offer Statistics'!E51,IF($S$2="2019年",'Offer Statistics'!E102,IF($S$2="2020年",'Offer Statistics'!E153)))</f>
        <v>0</v>
      </c>
      <c r="X65" s="181" t="b">
        <f>IF($S$2="2018年",'Offer Statistics'!F51,IF($S$2="2019年",'Offer Statistics'!F102,IF($S$2="2020年",'Offer Statistics'!F153)))</f>
        <v>0</v>
      </c>
      <c r="Y65" s="181" t="b">
        <f>IF($S$2="2018年",'Offer Statistics'!G51,IF($S$2="2019年",'Offer Statistics'!G102,IF($S$2="2020年",'Offer Statistics'!G153)))</f>
        <v>0</v>
      </c>
      <c r="Z65" s="268" t="b">
        <f>IF($S$2="2018年",'Offer Statistics'!H51,IF($S$2="2019年",'Offer Statistics'!H102,IF($S$2="2020年",'Offer Statistics'!H153)))</f>
        <v>0</v>
      </c>
      <c r="AA65" s="273"/>
      <c r="AB65" s="267" t="e">
        <f>IF(#REF!="2018年",'Offer Statistics'!Q50,IF(#REF!="2019年",'Offer Statistics'!Q100,IF(#REF!="2020年",'Offer Statistics'!Q150)))</f>
        <v>#REF!</v>
      </c>
      <c r="AC65" s="181" t="e">
        <f>IF(#REF!="2018年",'Offer Statistics'!L51,IF(#REF!="2019年",'Offer Statistics'!L102,IF(#REF!="2020年",'Offer Statistics'!L153)))</f>
        <v>#REF!</v>
      </c>
      <c r="AD65" s="181" t="e">
        <f>IF(#REF!="2018年",'Offer Statistics'!M51,IF(#REF!="2019年",'Offer Statistics'!M102,IF(#REF!="2020年",'Offer Statistics'!M153)))</f>
        <v>#REF!</v>
      </c>
      <c r="AE65" s="181" t="e">
        <f>IF(#REF!="2018年",'Offer Statistics'!N51,IF(#REF!="2019年",'Offer Statistics'!N102,IF(#REF!="2020年",'Offer Statistics'!N153)))</f>
        <v>#REF!</v>
      </c>
      <c r="AF65" s="181" t="e">
        <f>IF(#REF!="2018年",'Offer Statistics'!O51,IF(#REF!="2019年",'Offer Statistics'!O102,IF(#REF!="2020年",'Offer Statistics'!O153)))</f>
        <v>#REF!</v>
      </c>
      <c r="AG65" s="268" t="e">
        <f>IF(#REF!="2018年",'Offer Statistics'!P51,IF(#REF!="2019年",'Offer Statistics'!P102,IF(#REF!="2020年",'Offer Statistics'!P153)))</f>
        <v>#REF!</v>
      </c>
      <c r="AH65" s="181"/>
      <c r="AI65" s="181" t="s">
        <v>755</v>
      </c>
    </row>
    <row r="70" spans="1:35" ht="16.5" hidden="1" customHeight="1">
      <c r="E70" s="302"/>
      <c r="F70" s="18"/>
      <c r="G70" s="18"/>
      <c r="H70" s="18"/>
      <c r="I70" s="27"/>
      <c r="J70" s="28"/>
      <c r="N70" s="18"/>
      <c r="O70" s="18"/>
      <c r="P70" s="18"/>
      <c r="Q70" s="18"/>
      <c r="R70" s="18"/>
      <c r="S70" s="18"/>
    </row>
    <row r="71" spans="1:35" ht="16.5" hidden="1" customHeight="1">
      <c r="E71" s="302"/>
      <c r="F71" s="18"/>
      <c r="G71" s="18"/>
      <c r="H71" s="18"/>
      <c r="I71" s="27"/>
      <c r="J71" s="28"/>
      <c r="N71" s="18"/>
      <c r="O71" s="18"/>
      <c r="P71" s="18"/>
      <c r="Q71" s="18"/>
      <c r="R71" s="18"/>
      <c r="S71" s="18"/>
    </row>
    <row r="72" spans="1:35" ht="0" hidden="1" customHeight="1">
      <c r="A72" s="4"/>
    </row>
    <row r="73" spans="1:35" ht="0" hidden="1" customHeight="1">
      <c r="A73" s="4"/>
    </row>
  </sheetData>
  <mergeCells count="3">
    <mergeCell ref="I1:J1"/>
    <mergeCell ref="T2:T30"/>
    <mergeCell ref="AA2:AA30"/>
  </mergeCells>
  <phoneticPr fontId="2" type="noConversion"/>
  <conditionalFormatting sqref="I2:J16 I19:J30">
    <cfRule type="cellIs" dxfId="367" priority="118" operator="equal">
      <formula>"/"</formula>
    </cfRule>
    <cfRule type="cellIs" dxfId="366" priority="119" operator="lessThan">
      <formula>0</formula>
    </cfRule>
    <cfRule type="cellIs" dxfId="365" priority="120" operator="greaterThan">
      <formula>0</formula>
    </cfRule>
  </conditionalFormatting>
  <conditionalFormatting sqref="F2:F13 F17:F18 F21:F30">
    <cfRule type="expression" dxfId="364" priority="117">
      <formula>$I$1="差距(Median)"</formula>
    </cfRule>
  </conditionalFormatting>
  <conditionalFormatting sqref="G2:G13 G17:G18 G21:G30">
    <cfRule type="expression" dxfId="363" priority="116">
      <formula>$I$1="差距(LQ)"</formula>
    </cfRule>
  </conditionalFormatting>
  <conditionalFormatting sqref="L2:L16 L19:L30">
    <cfRule type="cellIs" dxfId="362" priority="113" operator="equal">
      <formula>2</formula>
    </cfRule>
    <cfRule type="cellIs" dxfId="361" priority="114" operator="equal">
      <formula>1</formula>
    </cfRule>
    <cfRule type="cellIs" dxfId="360" priority="115" operator="equal">
      <formula>0</formula>
    </cfRule>
  </conditionalFormatting>
  <conditionalFormatting sqref="G14">
    <cfRule type="expression" dxfId="359" priority="15">
      <formula>$I$1="差距(LQ)"</formula>
    </cfRule>
  </conditionalFormatting>
  <conditionalFormatting sqref="I17:J18">
    <cfRule type="cellIs" dxfId="358" priority="29" operator="equal">
      <formula>"/"</formula>
    </cfRule>
    <cfRule type="cellIs" dxfId="357" priority="32" operator="lessThan">
      <formula>0</formula>
    </cfRule>
    <cfRule type="cellIs" dxfId="356" priority="33" operator="greaterThan">
      <formula>0</formula>
    </cfRule>
  </conditionalFormatting>
  <conditionalFormatting sqref="F16">
    <cfRule type="expression" dxfId="355" priority="20">
      <formula>$I$1="差距(Median)"</formula>
    </cfRule>
  </conditionalFormatting>
  <conditionalFormatting sqref="G16">
    <cfRule type="expression" dxfId="354" priority="19">
      <formula>$I$1="差距(LQ)"</formula>
    </cfRule>
  </conditionalFormatting>
  <conditionalFormatting sqref="L17:L18">
    <cfRule type="cellIs" dxfId="353" priority="26" operator="equal">
      <formula>2</formula>
    </cfRule>
    <cfRule type="cellIs" dxfId="352" priority="27" operator="equal">
      <formula>1</formula>
    </cfRule>
    <cfRule type="cellIs" dxfId="351" priority="28" operator="equal">
      <formula>0</formula>
    </cfRule>
  </conditionalFormatting>
  <conditionalFormatting sqref="F20">
    <cfRule type="expression" dxfId="350" priority="24">
      <formula>$I$1="差距(Median)"</formula>
    </cfRule>
  </conditionalFormatting>
  <conditionalFormatting sqref="G20">
    <cfRule type="expression" dxfId="349" priority="23">
      <formula>$I$1="差距(LQ)"</formula>
    </cfRule>
  </conditionalFormatting>
  <conditionalFormatting sqref="F19">
    <cfRule type="expression" dxfId="348" priority="22">
      <formula>$I$1="差距(Median)"</formula>
    </cfRule>
  </conditionalFormatting>
  <conditionalFormatting sqref="G19">
    <cfRule type="expression" dxfId="347" priority="21">
      <formula>$I$1="差距(LQ)"</formula>
    </cfRule>
  </conditionalFormatting>
  <conditionalFormatting sqref="F15">
    <cfRule type="expression" dxfId="346" priority="18">
      <formula>$I$1="差距(Median)"</formula>
    </cfRule>
  </conditionalFormatting>
  <conditionalFormatting sqref="G15">
    <cfRule type="expression" dxfId="345" priority="17">
      <formula>$I$1="差距(LQ)"</formula>
    </cfRule>
  </conditionalFormatting>
  <conditionalFormatting sqref="F14">
    <cfRule type="expression" dxfId="344" priority="16">
      <formula>$I$1="差距(Median)"</formula>
    </cfRule>
  </conditionalFormatting>
  <conditionalFormatting sqref="U3:Z30 AB3:AG30 AH2:AI30 A2:M30 T2:AG2">
    <cfRule type="expression" dxfId="343" priority="1773">
      <formula>MOD(ROW(),2)=0</formula>
    </cfRule>
  </conditionalFormatting>
  <conditionalFormatting sqref="T65:U65 AH2:AH30">
    <cfRule type="expression" dxfId="342" priority="13">
      <formula>TRUE</formula>
    </cfRule>
  </conditionalFormatting>
  <conditionalFormatting sqref="AA65:AB65">
    <cfRule type="expression" dxfId="341" priority="11">
      <formula>TRUE</formula>
    </cfRule>
  </conditionalFormatting>
  <conditionalFormatting sqref="AH65">
    <cfRule type="expression" dxfId="340" priority="10">
      <formula>TRUE</formula>
    </cfRule>
  </conditionalFormatting>
  <conditionalFormatting sqref="T2 AA2">
    <cfRule type="expression" dxfId="339" priority="9">
      <formula>TRUE</formula>
    </cfRule>
  </conditionalFormatting>
  <hyperlinks>
    <hyperlink ref="A52" r:id="rId1" xr:uid="{00000000-0004-0000-0600-000000000000}"/>
    <hyperlink ref="A53" r:id="rId2" xr:uid="{00000000-0004-0000-0600-000001000000}"/>
  </hyperlinks>
  <pageMargins left="0.7" right="0.7" top="0.75" bottom="0.75" header="0.3" footer="0.3"/>
  <pageSetup paperSize="9" orientation="portrait" r:id="rId3"/>
  <ignoredErrors>
    <ignoredError sqref="F3:G3" formula="1"/>
  </ignoredErrors>
  <legacyDrawing r:id="rId4"/>
  <extLst>
    <ext xmlns:x14="http://schemas.microsoft.com/office/spreadsheetml/2009/9/main" uri="{78C0D931-6437-407d-A8EE-F0AAD7539E65}">
      <x14:conditionalFormattings>
        <x14:conditionalFormatting xmlns:xm="http://schemas.microsoft.com/office/excel/2006/main">
          <x14:cfRule type="expression" priority="1" id="{43C03454-55CE-44F6-93B7-997A1B62BC88}">
            <xm:f>入學要求!L56=0</xm:f>
            <x14:dxf>
              <font>
                <color rgb="FF9C0006"/>
              </font>
              <fill>
                <patternFill>
                  <bgColor rgb="FFFFC7CE"/>
                </patternFill>
              </fill>
            </x14:dxf>
          </x14:cfRule>
          <x14:cfRule type="expression" priority="2" id="{C9FA4709-2C14-422C-BAC9-DD3189FA12FE}">
            <xm:f>入學要求!L56=2</xm:f>
            <x14:dxf>
              <font>
                <color rgb="FF9C5700"/>
              </font>
              <fill>
                <patternFill>
                  <bgColor rgb="FFFFEB9C"/>
                </patternFill>
              </fill>
            </x14:dxf>
          </x14:cfRule>
          <x14:cfRule type="expression" priority="3" id="{A0CB6FD3-EF2F-4F37-BA00-E886B35461E2}">
            <xm:f>入學要求!L56=1</xm:f>
            <x14:dxf>
              <font>
                <color rgb="FF006100"/>
              </font>
              <fill>
                <patternFill>
                  <bgColor rgb="FFC6EFCE"/>
                </patternFill>
              </fill>
            </x14:dxf>
          </x14:cfRule>
          <xm:sqref>N2:S30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選單!$J$2:$J$3</xm:f>
          </x14:formula1>
          <xm:sqref>I1:J1</xm:sqref>
        </x14:dataValidation>
        <x14:dataValidation type="list" allowBlank="1" showInputMessage="1" showErrorMessage="1" xr:uid="{00000000-0002-0000-0600-000001000000}">
          <x14:formula1>
            <xm:f>選單!$I$1:$I$3</xm:f>
          </x14:formula1>
          <xm:sqref>T65:U65 T2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工作表15"/>
  <dimension ref="A1:J52"/>
  <sheetViews>
    <sheetView workbookViewId="0">
      <selection activeCell="E26" sqref="E26"/>
    </sheetView>
  </sheetViews>
  <sheetFormatPr defaultColWidth="9" defaultRowHeight="12"/>
  <cols>
    <col min="1" max="1" width="12" style="390" customWidth="1"/>
    <col min="2" max="4" width="18.109375" style="390" customWidth="1"/>
    <col min="5" max="5" width="15.109375" style="390" customWidth="1"/>
    <col min="6" max="6" width="14.109375" style="390" customWidth="1"/>
    <col min="7" max="7" width="12.88671875" style="390" customWidth="1"/>
    <col min="8" max="8" width="9" style="390"/>
    <col min="9" max="9" width="15.88671875" style="390" customWidth="1"/>
    <col min="10" max="10" width="12.109375" style="390" customWidth="1"/>
    <col min="11" max="16384" width="9" style="390"/>
  </cols>
  <sheetData>
    <row r="1" spans="1:10">
      <c r="A1" s="1" t="s">
        <v>29</v>
      </c>
      <c r="B1" s="391" t="s">
        <v>2239</v>
      </c>
      <c r="C1" s="1" t="s">
        <v>51</v>
      </c>
      <c r="D1" s="1" t="s">
        <v>52</v>
      </c>
      <c r="E1" s="1" t="s">
        <v>53</v>
      </c>
      <c r="F1" s="1" t="s">
        <v>27</v>
      </c>
      <c r="G1" s="1" t="s">
        <v>28</v>
      </c>
      <c r="H1" s="1" t="s">
        <v>54</v>
      </c>
      <c r="I1" s="1" t="s">
        <v>2031</v>
      </c>
      <c r="J1" s="1" t="s">
        <v>365</v>
      </c>
    </row>
    <row r="2" spans="1:10">
      <c r="A2" s="1" t="s">
        <v>45</v>
      </c>
      <c r="C2" s="1" t="s">
        <v>47</v>
      </c>
      <c r="D2" s="1" t="s">
        <v>48</v>
      </c>
      <c r="E2" s="1" t="s">
        <v>49</v>
      </c>
      <c r="F2" s="1" t="s">
        <v>50</v>
      </c>
      <c r="G2" s="1" t="s">
        <v>46</v>
      </c>
      <c r="H2" s="1" t="s">
        <v>45</v>
      </c>
      <c r="I2" s="1" t="s">
        <v>2032</v>
      </c>
      <c r="J2" s="1" t="s">
        <v>364</v>
      </c>
    </row>
    <row r="3" spans="1:10">
      <c r="A3" s="1" t="s">
        <v>31</v>
      </c>
      <c r="B3" s="391" t="s">
        <v>14</v>
      </c>
      <c r="C3" s="1" t="str">
        <f>IF(OR($B$30=B3,$B$31=B3,$B$32=B3),"",B3)</f>
        <v>物理</v>
      </c>
      <c r="D3" s="1" t="str">
        <f>IF(OR($B$29=B3,$B$31=B3,$B$32=B3),"",B3)</f>
        <v>物理</v>
      </c>
      <c r="E3" s="1" t="str">
        <f>IF(OR($B$29=B3,$B$30=B3,$B$32=B3),"",B3)</f>
        <v>物理</v>
      </c>
      <c r="F3" s="1" t="str">
        <f>IF(OR($B$29=B8,$B$30=B8,$B$31=B8),"",B8)</f>
        <v>音樂</v>
      </c>
      <c r="G3" s="1" t="s">
        <v>30</v>
      </c>
      <c r="H3" s="1" t="s">
        <v>32</v>
      </c>
      <c r="I3" s="1" t="s">
        <v>2033</v>
      </c>
      <c r="J3" s="1" t="s">
        <v>366</v>
      </c>
    </row>
    <row r="4" spans="1:10">
      <c r="A4" s="1" t="s">
        <v>34</v>
      </c>
      <c r="B4" s="391" t="s">
        <v>11</v>
      </c>
      <c r="C4" s="1" t="str">
        <f t="shared" ref="C4:C25" si="0">IF(OR($B$30=B4,$B$31=B4,$B$32=B4),"",B4)</f>
        <v>化學</v>
      </c>
      <c r="D4" s="1" t="str">
        <f t="shared" ref="D4:D25" si="1">IF(OR($B$29=B4,$B$31=B4,$B$32=B4),"",B4)</f>
        <v>化學</v>
      </c>
      <c r="E4" s="1" t="str">
        <f t="shared" ref="E4:E25" si="2">IF(OR($B$29=B4,$B$30=B4,$B$32=B4),"",B4)</f>
        <v>化學</v>
      </c>
      <c r="F4" s="1" t="str">
        <f>IF(OR($B$29=B9,$B$30=B9,$B$31=B9),"",B9)</f>
        <v>體育</v>
      </c>
      <c r="G4" s="1" t="s">
        <v>33</v>
      </c>
      <c r="H4" s="1" t="s">
        <v>35</v>
      </c>
      <c r="I4" s="1"/>
    </row>
    <row r="5" spans="1:10">
      <c r="A5" s="1">
        <v>5</v>
      </c>
      <c r="B5" s="391" t="s">
        <v>8</v>
      </c>
      <c r="C5" s="1" t="str">
        <f t="shared" si="0"/>
        <v>生物</v>
      </c>
      <c r="D5" s="1" t="str">
        <f t="shared" si="1"/>
        <v>生物</v>
      </c>
      <c r="E5" s="1" t="str">
        <f t="shared" si="2"/>
        <v>生物</v>
      </c>
      <c r="F5" s="1" t="str">
        <f>IF(OR($B$29=B12,$B$30=B12,$B$31=B12),"",B12)</f>
        <v>視覺藝術</v>
      </c>
      <c r="G5" s="1" t="s">
        <v>36</v>
      </c>
      <c r="H5" s="1" t="s">
        <v>37</v>
      </c>
      <c r="I5" s="1"/>
    </row>
    <row r="6" spans="1:10">
      <c r="A6" s="1">
        <v>4</v>
      </c>
      <c r="B6" s="391" t="s">
        <v>16</v>
      </c>
      <c r="C6" s="1" t="str">
        <f t="shared" si="0"/>
        <v>經濟</v>
      </c>
      <c r="D6" s="1" t="str">
        <f t="shared" si="1"/>
        <v>經濟</v>
      </c>
      <c r="E6" s="1" t="str">
        <f t="shared" si="2"/>
        <v>經濟</v>
      </c>
      <c r="F6" s="1" t="str">
        <f>IF(OR($B$29=B20,$B$30=B20,$B$31=B20),"",B20)</f>
        <v>倫理與宗教</v>
      </c>
      <c r="G6" s="1" t="s">
        <v>38</v>
      </c>
      <c r="H6" s="1" t="s">
        <v>39</v>
      </c>
      <c r="I6" s="1"/>
    </row>
    <row r="7" spans="1:10">
      <c r="A7" s="1">
        <v>3</v>
      </c>
      <c r="B7" s="391" t="s">
        <v>20</v>
      </c>
      <c r="C7" s="1" t="str">
        <f t="shared" si="0"/>
        <v>地理</v>
      </c>
      <c r="D7" s="1" t="str">
        <f t="shared" si="1"/>
        <v>地理</v>
      </c>
      <c r="E7" s="1" t="str">
        <f t="shared" si="2"/>
        <v>地理</v>
      </c>
      <c r="F7" s="1"/>
      <c r="G7" s="1" t="s">
        <v>40</v>
      </c>
      <c r="H7" s="1" t="s">
        <v>41</v>
      </c>
      <c r="I7" s="1"/>
    </row>
    <row r="8" spans="1:10">
      <c r="A8" s="1">
        <v>2</v>
      </c>
      <c r="B8" s="391" t="s">
        <v>21</v>
      </c>
      <c r="C8" s="1" t="str">
        <f t="shared" si="0"/>
        <v>音樂</v>
      </c>
      <c r="D8" s="1" t="str">
        <f t="shared" si="1"/>
        <v>音樂</v>
      </c>
      <c r="E8" s="1" t="str">
        <f t="shared" si="2"/>
        <v>音樂</v>
      </c>
      <c r="F8" s="1"/>
      <c r="G8" s="1" t="s">
        <v>42</v>
      </c>
      <c r="H8" s="1" t="s">
        <v>43</v>
      </c>
      <c r="I8" s="1"/>
    </row>
    <row r="9" spans="1:10">
      <c r="A9" s="1">
        <v>1</v>
      </c>
      <c r="B9" s="391" t="s">
        <v>25</v>
      </c>
      <c r="C9" s="1" t="str">
        <f t="shared" si="0"/>
        <v>體育</v>
      </c>
      <c r="D9" s="1" t="str">
        <f t="shared" si="1"/>
        <v>體育</v>
      </c>
      <c r="E9" s="1" t="str">
        <f t="shared" si="2"/>
        <v>體育</v>
      </c>
      <c r="F9" s="1"/>
      <c r="G9" s="1"/>
      <c r="H9" s="1"/>
      <c r="I9" s="1"/>
    </row>
    <row r="10" spans="1:10">
      <c r="A10" s="1" t="s">
        <v>43</v>
      </c>
      <c r="B10" s="391" t="s">
        <v>22</v>
      </c>
      <c r="C10" s="1" t="str">
        <f t="shared" si="0"/>
        <v>歷史</v>
      </c>
      <c r="D10" s="1" t="str">
        <f t="shared" si="1"/>
        <v>歷史</v>
      </c>
      <c r="E10" s="1" t="str">
        <f t="shared" si="2"/>
        <v>歷史</v>
      </c>
      <c r="F10" s="1"/>
      <c r="G10" s="1"/>
      <c r="H10" s="1"/>
      <c r="I10" s="1"/>
    </row>
    <row r="11" spans="1:10">
      <c r="A11" s="1"/>
      <c r="B11" s="391" t="s">
        <v>13</v>
      </c>
      <c r="C11" s="1" t="str">
        <f t="shared" si="0"/>
        <v>中國歷史</v>
      </c>
      <c r="D11" s="1" t="str">
        <f t="shared" si="1"/>
        <v>中國歷史</v>
      </c>
      <c r="E11" s="1" t="str">
        <f t="shared" si="2"/>
        <v>中國歷史</v>
      </c>
      <c r="F11" s="1"/>
      <c r="G11" s="1"/>
      <c r="H11" s="1"/>
      <c r="I11" s="1"/>
    </row>
    <row r="12" spans="1:10">
      <c r="A12" s="1"/>
      <c r="B12" s="391" t="s">
        <v>23</v>
      </c>
      <c r="C12" s="1" t="str">
        <f t="shared" si="0"/>
        <v>視覺藝術</v>
      </c>
      <c r="D12" s="1" t="str">
        <f t="shared" si="1"/>
        <v>視覺藝術</v>
      </c>
      <c r="E12" s="1" t="str">
        <f t="shared" si="2"/>
        <v>視覺藝術</v>
      </c>
      <c r="F12" s="1"/>
      <c r="G12" s="1"/>
      <c r="H12" s="1"/>
      <c r="I12" s="1"/>
    </row>
    <row r="13" spans="1:10">
      <c r="A13" s="1"/>
      <c r="B13" s="391" t="s">
        <v>26</v>
      </c>
      <c r="C13" s="1" t="str">
        <f t="shared" si="0"/>
        <v>綜合科學</v>
      </c>
      <c r="D13" s="1" t="str">
        <f t="shared" si="1"/>
        <v>綜合科學</v>
      </c>
      <c r="E13" s="1" t="str">
        <f t="shared" si="2"/>
        <v>綜合科學</v>
      </c>
      <c r="F13" s="1"/>
      <c r="G13" s="1"/>
      <c r="H13" s="1"/>
      <c r="I13" s="1"/>
    </row>
    <row r="14" spans="1:10">
      <c r="A14" s="1"/>
      <c r="B14" s="391" t="s">
        <v>2312</v>
      </c>
      <c r="C14" s="1" t="str">
        <f t="shared" si="0"/>
        <v>組合科學(物理、化學)</v>
      </c>
      <c r="D14" s="1" t="str">
        <f t="shared" si="1"/>
        <v>組合科學(物理、化學)</v>
      </c>
      <c r="E14" s="1" t="str">
        <f t="shared" si="2"/>
        <v>組合科學(物理、化學)</v>
      </c>
      <c r="F14" s="1"/>
      <c r="G14" s="1"/>
      <c r="H14" s="1"/>
      <c r="I14" s="1"/>
    </row>
    <row r="15" spans="1:10">
      <c r="A15" s="1"/>
      <c r="B15" s="391" t="s">
        <v>2313</v>
      </c>
      <c r="C15" s="1" t="str">
        <f t="shared" si="0"/>
        <v>組合科學(生物、化學)</v>
      </c>
      <c r="D15" s="1" t="str">
        <f t="shared" si="1"/>
        <v>組合科學(生物、化學)</v>
      </c>
      <c r="E15" s="1" t="str">
        <f t="shared" si="2"/>
        <v>組合科學(生物、化學)</v>
      </c>
      <c r="F15" s="1"/>
      <c r="G15" s="1"/>
      <c r="H15" s="1"/>
      <c r="I15" s="1"/>
    </row>
    <row r="16" spans="1:10">
      <c r="A16" s="1"/>
      <c r="B16" s="391" t="s">
        <v>2314</v>
      </c>
      <c r="C16" s="1" t="str">
        <f t="shared" si="0"/>
        <v>組合科學(物理、生物)</v>
      </c>
      <c r="D16" s="1" t="str">
        <f t="shared" si="1"/>
        <v>組合科學(物理、生物)</v>
      </c>
      <c r="E16" s="1" t="str">
        <f t="shared" si="2"/>
        <v>組合科學(物理、生物)</v>
      </c>
      <c r="F16" s="1"/>
      <c r="G16" s="1"/>
      <c r="H16" s="1"/>
      <c r="I16" s="1"/>
    </row>
    <row r="17" spans="1:9">
      <c r="A17" s="1"/>
      <c r="B17" s="391" t="s">
        <v>7</v>
      </c>
      <c r="C17" s="1" t="str">
        <f t="shared" si="0"/>
        <v>中國文學</v>
      </c>
      <c r="D17" s="1" t="str">
        <f t="shared" si="1"/>
        <v>中國文學</v>
      </c>
      <c r="E17" s="1" t="str">
        <f t="shared" si="2"/>
        <v>中國文學</v>
      </c>
      <c r="F17" s="1"/>
      <c r="G17" s="1"/>
      <c r="H17" s="1"/>
      <c r="I17" s="1"/>
    </row>
    <row r="18" spans="1:9">
      <c r="A18" s="1"/>
      <c r="B18" s="391" t="s">
        <v>10</v>
      </c>
      <c r="C18" s="1" t="str">
        <f t="shared" si="0"/>
        <v>英語文學</v>
      </c>
      <c r="D18" s="1" t="str">
        <f t="shared" si="1"/>
        <v>英語文學</v>
      </c>
      <c r="E18" s="1" t="str">
        <f t="shared" si="2"/>
        <v>英語文學</v>
      </c>
      <c r="F18" s="1"/>
      <c r="G18" s="1"/>
      <c r="H18" s="1"/>
      <c r="I18" s="1"/>
    </row>
    <row r="19" spans="1:9">
      <c r="A19" s="1"/>
      <c r="B19" s="391" t="s">
        <v>24</v>
      </c>
      <c r="C19" s="1" t="str">
        <f t="shared" si="0"/>
        <v>旅遊與款待</v>
      </c>
      <c r="D19" s="1" t="str">
        <f t="shared" si="1"/>
        <v>旅遊與款待</v>
      </c>
      <c r="E19" s="1" t="str">
        <f t="shared" si="2"/>
        <v>旅遊與款待</v>
      </c>
      <c r="F19" s="1"/>
      <c r="G19" s="1"/>
      <c r="H19" s="1"/>
      <c r="I19" s="1"/>
    </row>
    <row r="20" spans="1:9">
      <c r="A20" s="1"/>
      <c r="B20" s="391" t="s">
        <v>18</v>
      </c>
      <c r="C20" s="1" t="str">
        <f t="shared" si="0"/>
        <v>倫理與宗教</v>
      </c>
      <c r="D20" s="1" t="str">
        <f t="shared" si="1"/>
        <v>倫理與宗教</v>
      </c>
      <c r="E20" s="1" t="str">
        <f t="shared" si="2"/>
        <v>倫理與宗教</v>
      </c>
      <c r="F20" s="1"/>
      <c r="G20" s="1"/>
      <c r="H20" s="1"/>
      <c r="I20" s="1"/>
    </row>
    <row r="21" spans="1:9">
      <c r="A21" s="1"/>
      <c r="B21" s="391" t="s">
        <v>19</v>
      </c>
      <c r="C21" s="1" t="str">
        <f t="shared" si="0"/>
        <v>科技與生活</v>
      </c>
      <c r="D21" s="1" t="str">
        <f t="shared" si="1"/>
        <v>科技與生活</v>
      </c>
      <c r="E21" s="1" t="str">
        <f t="shared" si="2"/>
        <v>科技與生活</v>
      </c>
      <c r="F21" s="1"/>
      <c r="G21" s="1"/>
      <c r="H21" s="1"/>
      <c r="I21" s="1"/>
    </row>
    <row r="22" spans="1:9">
      <c r="A22" s="1"/>
      <c r="B22" s="391" t="s">
        <v>17</v>
      </c>
      <c r="C22" s="1" t="str">
        <f t="shared" si="0"/>
        <v>資訊及通訊科技</v>
      </c>
      <c r="D22" s="1" t="str">
        <f t="shared" si="1"/>
        <v>資訊及通訊科技</v>
      </c>
      <c r="E22" s="1" t="str">
        <f t="shared" si="2"/>
        <v>資訊及通訊科技</v>
      </c>
      <c r="F22" s="1"/>
      <c r="G22" s="1"/>
      <c r="H22" s="1"/>
      <c r="I22" s="1"/>
    </row>
    <row r="23" spans="1:9">
      <c r="A23" s="1"/>
      <c r="B23" s="391" t="s">
        <v>12</v>
      </c>
      <c r="C23" s="1" t="str">
        <f t="shared" si="0"/>
        <v>設計與應用科技</v>
      </c>
      <c r="D23" s="1" t="str">
        <f t="shared" si="1"/>
        <v>設計與應用科技</v>
      </c>
      <c r="E23" s="1" t="str">
        <f t="shared" si="2"/>
        <v>設計與應用科技</v>
      </c>
      <c r="F23" s="1"/>
      <c r="G23" s="1"/>
      <c r="H23" s="1"/>
    </row>
    <row r="24" spans="1:9">
      <c r="B24" s="391" t="s">
        <v>15</v>
      </c>
      <c r="C24" s="1" t="str">
        <f t="shared" si="0"/>
        <v>健康管理與社會關懷</v>
      </c>
      <c r="D24" s="1" t="str">
        <f t="shared" si="1"/>
        <v>健康管理與社會關懷</v>
      </c>
      <c r="E24" s="1" t="str">
        <f t="shared" si="2"/>
        <v>健康管理與社會關懷</v>
      </c>
    </row>
    <row r="25" spans="1:9">
      <c r="B25" s="391" t="s">
        <v>9</v>
      </c>
      <c r="C25" s="1" t="str">
        <f t="shared" si="0"/>
        <v>企業、會計與財務概論</v>
      </c>
      <c r="D25" s="1" t="str">
        <f t="shared" si="1"/>
        <v>企業、會計與財務概論</v>
      </c>
      <c r="E25" s="1" t="str">
        <f t="shared" si="2"/>
        <v>企業、會計與財務概論</v>
      </c>
    </row>
    <row r="26" spans="1:9">
      <c r="B26" s="1"/>
      <c r="C26" s="1"/>
      <c r="D26" s="1"/>
    </row>
    <row r="28" spans="1:9">
      <c r="B28" s="390" t="s">
        <v>2240</v>
      </c>
      <c r="C28" s="1" t="s">
        <v>51</v>
      </c>
    </row>
    <row r="29" spans="1:9">
      <c r="A29" s="390">
        <v>1</v>
      </c>
      <c r="B29" s="390" t="str">
        <f>主頁!B15</f>
        <v>請選擇第一選修科</v>
      </c>
      <c r="C29" s="1" t="s">
        <v>47</v>
      </c>
    </row>
    <row r="30" spans="1:9">
      <c r="A30" s="390">
        <v>2</v>
      </c>
      <c r="B30" s="390" t="str">
        <f>主頁!B16</f>
        <v>請選擇第二選修科</v>
      </c>
      <c r="C30" s="1" t="str">
        <f>IF(OR(B30="物理",B31="物理",B32="物理"),"","物理")</f>
        <v>物理</v>
      </c>
      <c r="D30" s="1" t="str">
        <f t="shared" ref="D30:D52" si="3">IF(OR($B$30=B3,$B$31=B3,$B$32=B3),"",B3)</f>
        <v>物理</v>
      </c>
    </row>
    <row r="31" spans="1:9">
      <c r="A31" s="390">
        <v>3</v>
      </c>
      <c r="B31" s="390" t="str">
        <f>主頁!B17</f>
        <v>請選擇第三選修科</v>
      </c>
      <c r="C31" s="1" t="str">
        <f>IF(OR(B30="化學",B31="化學",B32="化學"),"","化學")</f>
        <v>化學</v>
      </c>
      <c r="D31" s="1" t="str">
        <f t="shared" si="3"/>
        <v>化學</v>
      </c>
    </row>
    <row r="32" spans="1:9">
      <c r="A32" s="390">
        <v>4</v>
      </c>
      <c r="B32" s="390" t="str">
        <f>主頁!B18</f>
        <v>請選擇第四選修科</v>
      </c>
      <c r="C32" s="1" t="str">
        <f>IF(OR(B30="生物",B31="生物",B32="生物"),"","生物")</f>
        <v>生物</v>
      </c>
      <c r="D32" s="1" t="str">
        <f t="shared" si="3"/>
        <v>生物</v>
      </c>
    </row>
    <row r="33" spans="3:8">
      <c r="C33" s="1" t="s">
        <v>16</v>
      </c>
      <c r="D33" s="1" t="str">
        <f t="shared" si="3"/>
        <v>經濟</v>
      </c>
    </row>
    <row r="34" spans="3:8">
      <c r="C34" s="1" t="s">
        <v>20</v>
      </c>
      <c r="D34" s="1" t="str">
        <f t="shared" si="3"/>
        <v>地理</v>
      </c>
    </row>
    <row r="35" spans="3:8">
      <c r="C35" s="1" t="s">
        <v>21</v>
      </c>
      <c r="D35" s="1" t="str">
        <f t="shared" si="3"/>
        <v>音樂</v>
      </c>
    </row>
    <row r="36" spans="3:8">
      <c r="C36" s="1" t="s">
        <v>25</v>
      </c>
      <c r="D36" s="1" t="str">
        <f t="shared" si="3"/>
        <v>體育</v>
      </c>
    </row>
    <row r="37" spans="3:8">
      <c r="C37" s="1" t="s">
        <v>22</v>
      </c>
      <c r="D37" s="1" t="str">
        <f t="shared" si="3"/>
        <v>歷史</v>
      </c>
    </row>
    <row r="38" spans="3:8">
      <c r="C38" s="1" t="s">
        <v>13</v>
      </c>
      <c r="D38" s="1" t="str">
        <f t="shared" si="3"/>
        <v>中國歷史</v>
      </c>
    </row>
    <row r="39" spans="3:8">
      <c r="C39" s="1" t="s">
        <v>23</v>
      </c>
      <c r="D39" s="1" t="str">
        <f t="shared" si="3"/>
        <v>視覺藝術</v>
      </c>
    </row>
    <row r="40" spans="3:8">
      <c r="C40" s="1" t="s">
        <v>26</v>
      </c>
      <c r="D40" s="1" t="str">
        <f t="shared" si="3"/>
        <v>綜合科學</v>
      </c>
    </row>
    <row r="41" spans="3:8">
      <c r="C41" s="1" t="s">
        <v>55</v>
      </c>
      <c r="D41" s="1" t="str">
        <f t="shared" si="3"/>
        <v>組合科學(物理、化學)</v>
      </c>
    </row>
    <row r="42" spans="3:8">
      <c r="C42" s="1" t="s">
        <v>56</v>
      </c>
      <c r="D42" s="1" t="str">
        <f t="shared" si="3"/>
        <v>組合科學(生物、化學)</v>
      </c>
    </row>
    <row r="43" spans="3:8">
      <c r="C43" s="1" t="s">
        <v>57</v>
      </c>
      <c r="D43" s="1" t="str">
        <f t="shared" si="3"/>
        <v>組合科學(物理、生物)</v>
      </c>
    </row>
    <row r="44" spans="3:8">
      <c r="C44" s="1" t="s">
        <v>7</v>
      </c>
      <c r="D44" s="1" t="str">
        <f t="shared" si="3"/>
        <v>中國文學</v>
      </c>
    </row>
    <row r="45" spans="3:8">
      <c r="C45" s="1" t="s">
        <v>10</v>
      </c>
      <c r="D45" s="1" t="str">
        <f t="shared" si="3"/>
        <v>英語文學</v>
      </c>
      <c r="H45" s="1"/>
    </row>
    <row r="46" spans="3:8">
      <c r="C46" s="1" t="s">
        <v>24</v>
      </c>
      <c r="D46" s="1" t="str">
        <f t="shared" si="3"/>
        <v>旅遊與款待</v>
      </c>
    </row>
    <row r="47" spans="3:8">
      <c r="C47" s="1" t="s">
        <v>18</v>
      </c>
      <c r="D47" s="1" t="str">
        <f t="shared" si="3"/>
        <v>倫理與宗教</v>
      </c>
    </row>
    <row r="48" spans="3:8">
      <c r="C48" s="1" t="s">
        <v>19</v>
      </c>
      <c r="D48" s="1" t="str">
        <f t="shared" si="3"/>
        <v>科技與生活</v>
      </c>
    </row>
    <row r="49" spans="3:4">
      <c r="C49" s="1" t="s">
        <v>17</v>
      </c>
      <c r="D49" s="1" t="str">
        <f t="shared" si="3"/>
        <v>資訊及通訊科技</v>
      </c>
    </row>
    <row r="50" spans="3:4">
      <c r="C50" s="1" t="s">
        <v>375</v>
      </c>
      <c r="D50" s="1" t="str">
        <f t="shared" si="3"/>
        <v>設計與應用科技</v>
      </c>
    </row>
    <row r="51" spans="3:4">
      <c r="C51" s="1" t="s">
        <v>15</v>
      </c>
      <c r="D51" s="1" t="str">
        <f t="shared" si="3"/>
        <v>健康管理與社會關懷</v>
      </c>
    </row>
    <row r="52" spans="3:4">
      <c r="C52" s="1" t="s">
        <v>196</v>
      </c>
      <c r="D52" s="1" t="str">
        <f t="shared" si="3"/>
        <v>企業、會計與財務概論</v>
      </c>
    </row>
  </sheetData>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工作表17"/>
  <dimension ref="A1:FM186"/>
  <sheetViews>
    <sheetView topLeftCell="N61" zoomScaleNormal="100" workbookViewId="0">
      <selection activeCell="AG82" sqref="AG82"/>
    </sheetView>
  </sheetViews>
  <sheetFormatPr defaultColWidth="6.6640625" defaultRowHeight="13.8"/>
  <cols>
    <col min="1" max="16" width="6.6640625" style="288"/>
    <col min="17" max="17" width="6.6640625" style="181"/>
    <col min="18" max="127" width="6.6640625" style="278"/>
    <col min="128" max="128" width="6.6640625" style="278" customWidth="1"/>
    <col min="129" max="16384" width="6.6640625" style="278"/>
  </cols>
  <sheetData>
    <row r="1" spans="1:169">
      <c r="A1" s="286" t="s">
        <v>758</v>
      </c>
      <c r="B1" s="286" t="s">
        <v>2026</v>
      </c>
      <c r="C1" s="286" t="s">
        <v>2021</v>
      </c>
      <c r="D1" s="286" t="s">
        <v>2022</v>
      </c>
      <c r="E1" s="286" t="s">
        <v>2023</v>
      </c>
      <c r="F1" s="286" t="s">
        <v>2024</v>
      </c>
      <c r="G1" s="286" t="s">
        <v>2025</v>
      </c>
      <c r="H1" s="286" t="s">
        <v>2027</v>
      </c>
      <c r="I1" s="286"/>
      <c r="J1" s="286" t="s">
        <v>2026</v>
      </c>
      <c r="K1" s="286" t="s">
        <v>2021</v>
      </c>
      <c r="L1" s="286" t="s">
        <v>2022</v>
      </c>
      <c r="M1" s="286" t="s">
        <v>2023</v>
      </c>
      <c r="N1" s="286" t="s">
        <v>2024</v>
      </c>
      <c r="O1" s="286" t="s">
        <v>2025</v>
      </c>
      <c r="P1" s="286" t="s">
        <v>2027</v>
      </c>
      <c r="Q1" s="276"/>
      <c r="R1" s="287" t="s">
        <v>976</v>
      </c>
      <c r="S1" s="287" t="s">
        <v>2026</v>
      </c>
      <c r="T1" s="287" t="s">
        <v>2021</v>
      </c>
      <c r="U1" s="287" t="s">
        <v>2022</v>
      </c>
      <c r="V1" s="287" t="s">
        <v>2023</v>
      </c>
      <c r="W1" s="287" t="s">
        <v>2024</v>
      </c>
      <c r="X1" s="287" t="s">
        <v>2025</v>
      </c>
      <c r="Y1" s="287" t="s">
        <v>2027</v>
      </c>
      <c r="Z1" s="287"/>
      <c r="AA1" s="287" t="s">
        <v>2026</v>
      </c>
      <c r="AB1" s="287" t="s">
        <v>2021</v>
      </c>
      <c r="AC1" s="287" t="s">
        <v>2022</v>
      </c>
      <c r="AD1" s="287" t="s">
        <v>2023</v>
      </c>
      <c r="AE1" s="287" t="s">
        <v>2024</v>
      </c>
      <c r="AF1" s="287" t="s">
        <v>2025</v>
      </c>
      <c r="AG1" s="287" t="s">
        <v>2027</v>
      </c>
      <c r="AI1" s="290" t="s">
        <v>550</v>
      </c>
      <c r="AJ1" s="291" t="s">
        <v>2026</v>
      </c>
      <c r="AK1" s="291" t="s">
        <v>2021</v>
      </c>
      <c r="AL1" s="291" t="s">
        <v>2022</v>
      </c>
      <c r="AM1" s="291" t="s">
        <v>2023</v>
      </c>
      <c r="AN1" s="291" t="s">
        <v>2024</v>
      </c>
      <c r="AO1" s="291" t="s">
        <v>2025</v>
      </c>
      <c r="AP1" s="291" t="s">
        <v>2027</v>
      </c>
      <c r="AQ1" s="291"/>
      <c r="AR1" s="291" t="s">
        <v>2026</v>
      </c>
      <c r="AS1" s="291" t="s">
        <v>2021</v>
      </c>
      <c r="AT1" s="291" t="s">
        <v>2022</v>
      </c>
      <c r="AU1" s="291" t="s">
        <v>2023</v>
      </c>
      <c r="AV1" s="291" t="s">
        <v>2024</v>
      </c>
      <c r="AW1" s="291" t="s">
        <v>2025</v>
      </c>
      <c r="AX1" s="291" t="s">
        <v>2027</v>
      </c>
      <c r="AZ1" s="299" t="s">
        <v>193</v>
      </c>
      <c r="BA1" s="299" t="s">
        <v>2026</v>
      </c>
      <c r="BB1" s="299" t="s">
        <v>2021</v>
      </c>
      <c r="BC1" s="299" t="s">
        <v>2022</v>
      </c>
      <c r="BD1" s="299" t="s">
        <v>2023</v>
      </c>
      <c r="BE1" s="299" t="s">
        <v>2024</v>
      </c>
      <c r="BF1" s="299" t="s">
        <v>2025</v>
      </c>
      <c r="BG1" s="299" t="s">
        <v>2027</v>
      </c>
      <c r="BH1" s="299"/>
      <c r="BI1" s="299" t="s">
        <v>2026</v>
      </c>
      <c r="BJ1" s="299" t="s">
        <v>2021</v>
      </c>
      <c r="BK1" s="299" t="s">
        <v>2022</v>
      </c>
      <c r="BL1" s="299" t="s">
        <v>2023</v>
      </c>
      <c r="BM1" s="299" t="s">
        <v>2024</v>
      </c>
      <c r="BN1" s="299" t="s">
        <v>2025</v>
      </c>
      <c r="BO1" s="299" t="s">
        <v>2027</v>
      </c>
      <c r="BQ1" s="308" t="s">
        <v>624</v>
      </c>
      <c r="BR1" s="308" t="s">
        <v>2026</v>
      </c>
      <c r="BS1" s="308" t="s">
        <v>2021</v>
      </c>
      <c r="BT1" s="308" t="s">
        <v>2022</v>
      </c>
      <c r="BU1" s="308" t="s">
        <v>2023</v>
      </c>
      <c r="BV1" s="308" t="s">
        <v>2024</v>
      </c>
      <c r="BW1" s="308" t="s">
        <v>2025</v>
      </c>
      <c r="BX1" s="308" t="s">
        <v>2027</v>
      </c>
      <c r="BY1" s="308"/>
      <c r="BZ1" s="308" t="s">
        <v>2026</v>
      </c>
      <c r="CA1" s="308" t="s">
        <v>2021</v>
      </c>
      <c r="CB1" s="308" t="s">
        <v>2022</v>
      </c>
      <c r="CC1" s="308" t="s">
        <v>2023</v>
      </c>
      <c r="CD1" s="308" t="s">
        <v>2024</v>
      </c>
      <c r="CE1" s="308" t="s">
        <v>2025</v>
      </c>
      <c r="CF1" s="308" t="s">
        <v>2027</v>
      </c>
      <c r="CH1" s="343" t="s">
        <v>389</v>
      </c>
      <c r="CI1" s="343" t="s">
        <v>2026</v>
      </c>
      <c r="CJ1" s="343" t="s">
        <v>2021</v>
      </c>
      <c r="CK1" s="343" t="s">
        <v>2022</v>
      </c>
      <c r="CL1" s="343" t="s">
        <v>2023</v>
      </c>
      <c r="CM1" s="343" t="s">
        <v>2024</v>
      </c>
      <c r="CN1" s="343" t="s">
        <v>2025</v>
      </c>
      <c r="CO1" s="343" t="s">
        <v>2027</v>
      </c>
      <c r="CP1" s="343"/>
      <c r="CQ1" s="343" t="s">
        <v>2026</v>
      </c>
      <c r="CR1" s="343" t="s">
        <v>2021</v>
      </c>
      <c r="CS1" s="343" t="s">
        <v>2022</v>
      </c>
      <c r="CT1" s="343" t="s">
        <v>2023</v>
      </c>
      <c r="CU1" s="343" t="s">
        <v>2024</v>
      </c>
      <c r="CV1" s="343" t="s">
        <v>2025</v>
      </c>
      <c r="CW1" s="343" t="s">
        <v>2027</v>
      </c>
      <c r="CY1" s="345" t="s">
        <v>891</v>
      </c>
      <c r="CZ1" s="345" t="s">
        <v>2026</v>
      </c>
      <c r="DA1" s="345" t="s">
        <v>2021</v>
      </c>
      <c r="DB1" s="345" t="s">
        <v>2022</v>
      </c>
      <c r="DC1" s="345" t="s">
        <v>2023</v>
      </c>
      <c r="DD1" s="345" t="s">
        <v>2024</v>
      </c>
      <c r="DE1" s="345" t="s">
        <v>2025</v>
      </c>
      <c r="DF1" s="345" t="s">
        <v>2027</v>
      </c>
      <c r="DG1" s="345"/>
      <c r="DH1" s="345" t="s">
        <v>2026</v>
      </c>
      <c r="DI1" s="345" t="s">
        <v>2021</v>
      </c>
      <c r="DJ1" s="345" t="s">
        <v>2022</v>
      </c>
      <c r="DK1" s="345" t="s">
        <v>2023</v>
      </c>
      <c r="DL1" s="345" t="s">
        <v>2024</v>
      </c>
      <c r="DM1" s="345" t="s">
        <v>2025</v>
      </c>
      <c r="DN1" s="345" t="s">
        <v>2027</v>
      </c>
      <c r="DP1" s="348" t="s">
        <v>997</v>
      </c>
      <c r="DQ1" s="348" t="s">
        <v>2026</v>
      </c>
      <c r="DR1" s="348" t="s">
        <v>2021</v>
      </c>
      <c r="DS1" s="348" t="s">
        <v>2022</v>
      </c>
      <c r="DT1" s="348" t="s">
        <v>2023</v>
      </c>
      <c r="DU1" s="348" t="s">
        <v>2024</v>
      </c>
      <c r="DV1" s="348" t="s">
        <v>2025</v>
      </c>
      <c r="DW1" s="348" t="s">
        <v>2027</v>
      </c>
      <c r="DX1" s="348"/>
      <c r="DY1" s="348" t="s">
        <v>2026</v>
      </c>
      <c r="DZ1" s="348" t="s">
        <v>2021</v>
      </c>
      <c r="EA1" s="348" t="s">
        <v>2022</v>
      </c>
      <c r="EB1" s="348" t="s">
        <v>2023</v>
      </c>
      <c r="EC1" s="348" t="s">
        <v>2024</v>
      </c>
      <c r="ED1" s="348" t="s">
        <v>2025</v>
      </c>
      <c r="EE1" s="348" t="s">
        <v>2027</v>
      </c>
      <c r="EG1" s="343" t="s">
        <v>1161</v>
      </c>
      <c r="EH1" s="343" t="s">
        <v>2026</v>
      </c>
      <c r="EI1" s="343" t="s">
        <v>2021</v>
      </c>
      <c r="EJ1" s="343" t="s">
        <v>2022</v>
      </c>
      <c r="EK1" s="343" t="s">
        <v>2023</v>
      </c>
      <c r="EL1" s="343" t="s">
        <v>2024</v>
      </c>
      <c r="EM1" s="343" t="s">
        <v>2025</v>
      </c>
      <c r="EN1" s="343" t="s">
        <v>2027</v>
      </c>
      <c r="EO1" s="343"/>
      <c r="EP1" s="343" t="s">
        <v>2026</v>
      </c>
      <c r="EQ1" s="343" t="s">
        <v>2021</v>
      </c>
      <c r="ER1" s="343" t="s">
        <v>2022</v>
      </c>
      <c r="ES1" s="343" t="s">
        <v>2023</v>
      </c>
      <c r="ET1" s="343" t="s">
        <v>2024</v>
      </c>
      <c r="EU1" s="343" t="s">
        <v>2025</v>
      </c>
      <c r="EV1" s="343" t="s">
        <v>2027</v>
      </c>
      <c r="EX1" s="308" t="s">
        <v>1833</v>
      </c>
      <c r="EY1" s="308" t="s">
        <v>2026</v>
      </c>
      <c r="EZ1" s="308" t="s">
        <v>2021</v>
      </c>
      <c r="FA1" s="308" t="s">
        <v>2022</v>
      </c>
      <c r="FB1" s="308" t="s">
        <v>2023</v>
      </c>
      <c r="FC1" s="308" t="s">
        <v>2024</v>
      </c>
      <c r="FD1" s="308" t="s">
        <v>2025</v>
      </c>
      <c r="FE1" s="308" t="s">
        <v>2027</v>
      </c>
      <c r="FF1" s="308"/>
      <c r="FG1" s="308" t="s">
        <v>2026</v>
      </c>
      <c r="FH1" s="308" t="s">
        <v>2021</v>
      </c>
      <c r="FI1" s="308" t="s">
        <v>2022</v>
      </c>
      <c r="FJ1" s="308" t="s">
        <v>2023</v>
      </c>
      <c r="FK1" s="308" t="s">
        <v>2024</v>
      </c>
      <c r="FL1" s="308" t="s">
        <v>2025</v>
      </c>
      <c r="FM1" s="308" t="s">
        <v>2027</v>
      </c>
    </row>
    <row r="2" spans="1:169">
      <c r="A2" s="288" t="s">
        <v>629</v>
      </c>
      <c r="B2" s="288">
        <v>2018</v>
      </c>
      <c r="C2" s="288">
        <v>6</v>
      </c>
      <c r="D2" s="288">
        <v>1</v>
      </c>
      <c r="E2" s="288">
        <v>0</v>
      </c>
      <c r="F2" s="288">
        <v>0</v>
      </c>
      <c r="G2" s="288">
        <v>0</v>
      </c>
      <c r="H2" s="288">
        <v>7</v>
      </c>
      <c r="J2" s="288">
        <v>2018</v>
      </c>
      <c r="K2" s="288">
        <v>85</v>
      </c>
      <c r="L2" s="288">
        <v>175</v>
      </c>
      <c r="M2" s="288">
        <v>260</v>
      </c>
      <c r="N2" s="288">
        <v>319</v>
      </c>
      <c r="O2" s="288">
        <v>301</v>
      </c>
      <c r="P2" s="288">
        <v>1140</v>
      </c>
      <c r="R2" s="289" t="s">
        <v>893</v>
      </c>
      <c r="S2" s="289">
        <v>2018</v>
      </c>
      <c r="T2" s="289">
        <v>1399</v>
      </c>
      <c r="U2" s="289">
        <v>1211</v>
      </c>
      <c r="V2" s="289">
        <v>1429</v>
      </c>
      <c r="W2" s="289">
        <v>1570</v>
      </c>
      <c r="X2" s="289">
        <v>945</v>
      </c>
      <c r="Y2" s="289">
        <v>6554</v>
      </c>
      <c r="Z2" s="289"/>
      <c r="AA2" s="289">
        <v>2018</v>
      </c>
      <c r="AB2" s="289">
        <v>146</v>
      </c>
      <c r="AC2" s="289">
        <v>13</v>
      </c>
      <c r="AD2" s="289">
        <v>1</v>
      </c>
      <c r="AE2" s="289">
        <v>0</v>
      </c>
      <c r="AF2" s="289">
        <v>0</v>
      </c>
      <c r="AG2" s="289">
        <v>160</v>
      </c>
      <c r="AI2" s="290" t="s">
        <v>395</v>
      </c>
      <c r="AJ2" s="290">
        <v>2018</v>
      </c>
      <c r="AK2" s="290">
        <v>395</v>
      </c>
      <c r="AL2" s="290">
        <v>642</v>
      </c>
      <c r="AM2" s="290">
        <v>945</v>
      </c>
      <c r="AN2" s="290">
        <v>993</v>
      </c>
      <c r="AO2" s="290">
        <v>740</v>
      </c>
      <c r="AP2" s="290">
        <v>3715</v>
      </c>
      <c r="AQ2" s="290"/>
      <c r="AR2" s="290">
        <v>2018</v>
      </c>
      <c r="AS2" s="290">
        <v>62</v>
      </c>
      <c r="AT2" s="290">
        <v>1</v>
      </c>
      <c r="AU2" s="290">
        <v>0</v>
      </c>
      <c r="AV2" s="290">
        <v>0</v>
      </c>
      <c r="AW2" s="290">
        <v>0</v>
      </c>
      <c r="AX2" s="290">
        <v>63</v>
      </c>
      <c r="AZ2" s="300" t="s">
        <v>71</v>
      </c>
      <c r="BA2" s="300">
        <v>2018</v>
      </c>
      <c r="BB2" s="300">
        <v>279</v>
      </c>
      <c r="BC2" s="300">
        <v>280</v>
      </c>
      <c r="BD2" s="300">
        <v>453</v>
      </c>
      <c r="BE2" s="300">
        <v>655</v>
      </c>
      <c r="BF2" s="300">
        <v>626</v>
      </c>
      <c r="BG2" s="300">
        <v>2293</v>
      </c>
      <c r="BH2" s="300"/>
      <c r="BI2" s="300">
        <v>2018</v>
      </c>
      <c r="BJ2" s="300">
        <v>20</v>
      </c>
      <c r="BK2" s="300">
        <v>0</v>
      </c>
      <c r="BL2" s="300">
        <v>0</v>
      </c>
      <c r="BM2" s="300">
        <v>0</v>
      </c>
      <c r="BN2" s="300">
        <v>0</v>
      </c>
      <c r="BO2" s="300">
        <v>20</v>
      </c>
      <c r="BQ2" s="309" t="s">
        <v>561</v>
      </c>
      <c r="BR2" s="309">
        <v>2018</v>
      </c>
      <c r="BS2" s="309">
        <v>74</v>
      </c>
      <c r="BT2" s="309">
        <v>52</v>
      </c>
      <c r="BU2" s="309">
        <v>78</v>
      </c>
      <c r="BV2" s="309">
        <v>97</v>
      </c>
      <c r="BW2" s="309">
        <v>114</v>
      </c>
      <c r="BX2" s="309">
        <v>415</v>
      </c>
      <c r="BY2" s="309"/>
      <c r="BZ2" s="309">
        <v>2018</v>
      </c>
      <c r="CA2" s="309">
        <v>20</v>
      </c>
      <c r="CB2" s="309">
        <v>0</v>
      </c>
      <c r="CC2" s="309">
        <v>0</v>
      </c>
      <c r="CD2" s="309">
        <v>0</v>
      </c>
      <c r="CE2" s="309">
        <v>0</v>
      </c>
      <c r="CF2" s="309">
        <v>20</v>
      </c>
      <c r="CH2" s="237" t="s">
        <v>206</v>
      </c>
      <c r="CI2" s="237">
        <v>2018</v>
      </c>
      <c r="CJ2" s="237">
        <v>166</v>
      </c>
      <c r="CK2" s="237">
        <v>84</v>
      </c>
      <c r="CL2" s="237">
        <v>162</v>
      </c>
      <c r="CM2" s="237">
        <v>261</v>
      </c>
      <c r="CN2" s="237">
        <v>247</v>
      </c>
      <c r="CO2" s="237">
        <v>920</v>
      </c>
      <c r="CP2" s="237"/>
      <c r="CQ2" s="237">
        <v>2018</v>
      </c>
      <c r="CR2" s="237">
        <v>34</v>
      </c>
      <c r="CS2" s="237">
        <v>0</v>
      </c>
      <c r="CT2" s="237">
        <v>0</v>
      </c>
      <c r="CU2" s="237">
        <v>0</v>
      </c>
      <c r="CV2" s="237">
        <v>0</v>
      </c>
      <c r="CW2" s="237">
        <v>34</v>
      </c>
      <c r="CY2" s="346" t="s">
        <v>866</v>
      </c>
      <c r="CZ2" s="346">
        <v>2018</v>
      </c>
      <c r="DA2" s="346">
        <v>660</v>
      </c>
      <c r="DB2" s="346">
        <v>738</v>
      </c>
      <c r="DC2" s="346">
        <v>836</v>
      </c>
      <c r="DD2" s="346">
        <v>770</v>
      </c>
      <c r="DE2" s="346">
        <v>589</v>
      </c>
      <c r="DF2" s="346">
        <v>3593</v>
      </c>
      <c r="DG2" s="346"/>
      <c r="DH2" s="346">
        <v>2018</v>
      </c>
      <c r="DI2" s="346">
        <v>38</v>
      </c>
      <c r="DJ2" s="346">
        <v>8</v>
      </c>
      <c r="DK2" s="346">
        <v>0</v>
      </c>
      <c r="DL2" s="346">
        <v>0</v>
      </c>
      <c r="DM2" s="346">
        <v>0</v>
      </c>
      <c r="DN2" s="346">
        <v>46</v>
      </c>
      <c r="DP2" s="349" t="s">
        <v>793</v>
      </c>
      <c r="DQ2" s="349">
        <v>2018</v>
      </c>
      <c r="DR2" s="349">
        <v>581</v>
      </c>
      <c r="DS2" s="349">
        <v>542</v>
      </c>
      <c r="DT2" s="349">
        <v>610</v>
      </c>
      <c r="DU2" s="349">
        <v>709</v>
      </c>
      <c r="DV2" s="349">
        <v>595</v>
      </c>
      <c r="DW2" s="349">
        <v>3037</v>
      </c>
      <c r="DX2" s="349"/>
      <c r="DY2" s="349">
        <v>2018</v>
      </c>
      <c r="DZ2" s="349">
        <v>42</v>
      </c>
      <c r="EA2" s="349">
        <v>5</v>
      </c>
      <c r="EB2" s="349">
        <v>0</v>
      </c>
      <c r="EC2" s="349">
        <v>0</v>
      </c>
      <c r="ED2" s="349">
        <v>0</v>
      </c>
      <c r="EE2" s="349">
        <v>47</v>
      </c>
      <c r="EG2" s="237" t="s">
        <v>1054</v>
      </c>
      <c r="EH2" s="237">
        <v>2018</v>
      </c>
      <c r="EI2" s="237">
        <v>780</v>
      </c>
      <c r="EJ2" s="237">
        <v>1016</v>
      </c>
      <c r="EK2" s="237">
        <v>1333</v>
      </c>
      <c r="EL2" s="237">
        <v>1541</v>
      </c>
      <c r="EM2" s="237">
        <v>1697</v>
      </c>
      <c r="EN2" s="237">
        <v>6367</v>
      </c>
      <c r="EO2" s="237"/>
      <c r="EP2" s="237">
        <v>2018</v>
      </c>
      <c r="EQ2" s="237">
        <v>217</v>
      </c>
      <c r="ER2" s="237">
        <v>108</v>
      </c>
      <c r="ES2" s="237">
        <v>0</v>
      </c>
      <c r="ET2" s="237">
        <v>0</v>
      </c>
      <c r="EU2" s="237">
        <v>0</v>
      </c>
      <c r="EV2" s="237">
        <v>325</v>
      </c>
      <c r="EX2" s="309" t="s">
        <v>1164</v>
      </c>
      <c r="EY2" s="309">
        <v>2018</v>
      </c>
      <c r="EZ2" s="309">
        <v>1829</v>
      </c>
      <c r="FA2" s="309">
        <v>1294</v>
      </c>
      <c r="FB2" s="309">
        <v>958</v>
      </c>
      <c r="FC2" s="309">
        <v>894</v>
      </c>
      <c r="FD2" s="309">
        <v>964</v>
      </c>
      <c r="FE2" s="309">
        <v>5939</v>
      </c>
      <c r="FF2" s="309"/>
      <c r="FG2" s="309">
        <v>2018</v>
      </c>
      <c r="FH2" s="309">
        <v>225</v>
      </c>
      <c r="FI2" s="309">
        <v>0</v>
      </c>
      <c r="FJ2" s="309">
        <v>0</v>
      </c>
      <c r="FK2" s="309">
        <v>0</v>
      </c>
      <c r="FL2" s="309">
        <v>0</v>
      </c>
      <c r="FM2" s="309">
        <v>225</v>
      </c>
    </row>
    <row r="3" spans="1:169">
      <c r="A3" s="288" t="s">
        <v>632</v>
      </c>
      <c r="B3" s="288">
        <v>2018</v>
      </c>
      <c r="C3" s="288">
        <v>12</v>
      </c>
      <c r="D3" s="288">
        <v>0</v>
      </c>
      <c r="E3" s="288">
        <v>0</v>
      </c>
      <c r="F3" s="288">
        <v>1</v>
      </c>
      <c r="G3" s="288">
        <v>0</v>
      </c>
      <c r="H3" s="288">
        <v>13</v>
      </c>
      <c r="J3" s="288">
        <v>2018</v>
      </c>
      <c r="K3" s="288">
        <v>177</v>
      </c>
      <c r="L3" s="288">
        <v>377</v>
      </c>
      <c r="M3" s="288">
        <v>531</v>
      </c>
      <c r="N3" s="288">
        <v>727</v>
      </c>
      <c r="O3" s="288">
        <v>589</v>
      </c>
      <c r="P3" s="288">
        <v>2401</v>
      </c>
      <c r="R3" s="289" t="s">
        <v>894</v>
      </c>
      <c r="S3" s="289">
        <v>2018</v>
      </c>
      <c r="T3" s="289" t="s">
        <v>792</v>
      </c>
      <c r="U3" s="289" t="s">
        <v>792</v>
      </c>
      <c r="V3" s="289" t="s">
        <v>792</v>
      </c>
      <c r="W3" s="289" t="s">
        <v>792</v>
      </c>
      <c r="X3" s="289" t="s">
        <v>792</v>
      </c>
      <c r="Y3" s="289" t="s">
        <v>792</v>
      </c>
      <c r="Z3" s="289"/>
      <c r="AA3" s="289">
        <v>2018</v>
      </c>
      <c r="AB3" s="289" t="s">
        <v>792</v>
      </c>
      <c r="AC3" s="289" t="s">
        <v>792</v>
      </c>
      <c r="AD3" s="289" t="s">
        <v>792</v>
      </c>
      <c r="AE3" s="289" t="s">
        <v>792</v>
      </c>
      <c r="AF3" s="289" t="s">
        <v>792</v>
      </c>
      <c r="AG3" s="289" t="s">
        <v>792</v>
      </c>
      <c r="AI3" s="290" t="s">
        <v>396</v>
      </c>
      <c r="AJ3" s="290">
        <v>2018</v>
      </c>
      <c r="AK3" s="290">
        <v>293</v>
      </c>
      <c r="AL3" s="290">
        <v>466</v>
      </c>
      <c r="AM3" s="290">
        <v>896</v>
      </c>
      <c r="AN3" s="290">
        <v>1261</v>
      </c>
      <c r="AO3" s="290">
        <v>965</v>
      </c>
      <c r="AP3" s="290">
        <v>3881</v>
      </c>
      <c r="AQ3" s="290"/>
      <c r="AR3" s="290">
        <v>2018</v>
      </c>
      <c r="AS3" s="290">
        <v>21</v>
      </c>
      <c r="AT3" s="290">
        <v>1</v>
      </c>
      <c r="AU3" s="290">
        <v>0</v>
      </c>
      <c r="AV3" s="290">
        <v>1</v>
      </c>
      <c r="AW3" s="290">
        <v>0</v>
      </c>
      <c r="AX3" s="290">
        <v>23</v>
      </c>
      <c r="AZ3" s="300" t="s">
        <v>73</v>
      </c>
      <c r="BA3" s="300">
        <v>2018</v>
      </c>
      <c r="BB3" s="300">
        <v>403</v>
      </c>
      <c r="BC3" s="300">
        <v>301</v>
      </c>
      <c r="BD3" s="300">
        <v>458</v>
      </c>
      <c r="BE3" s="300">
        <v>605</v>
      </c>
      <c r="BF3" s="300">
        <v>564</v>
      </c>
      <c r="BG3" s="300">
        <v>2331</v>
      </c>
      <c r="BH3" s="300"/>
      <c r="BI3" s="300">
        <v>2018</v>
      </c>
      <c r="BJ3" s="300">
        <v>93</v>
      </c>
      <c r="BK3" s="300">
        <v>0</v>
      </c>
      <c r="BL3" s="300">
        <v>0</v>
      </c>
      <c r="BM3" s="300">
        <v>0</v>
      </c>
      <c r="BN3" s="300">
        <v>0</v>
      </c>
      <c r="BO3" s="300">
        <v>93</v>
      </c>
      <c r="BQ3" s="309" t="s">
        <v>564</v>
      </c>
      <c r="BR3" s="309">
        <v>2018</v>
      </c>
      <c r="BS3" s="309" t="s">
        <v>792</v>
      </c>
      <c r="BT3" s="309" t="s">
        <v>792</v>
      </c>
      <c r="BU3" s="309" t="s">
        <v>792</v>
      </c>
      <c r="BV3" s="309" t="s">
        <v>792</v>
      </c>
      <c r="BW3" s="309" t="s">
        <v>792</v>
      </c>
      <c r="BX3" s="309" t="s">
        <v>792</v>
      </c>
      <c r="BY3" s="309"/>
      <c r="BZ3" s="309">
        <v>2018</v>
      </c>
      <c r="CA3" s="309" t="s">
        <v>792</v>
      </c>
      <c r="CB3" s="309" t="s">
        <v>792</v>
      </c>
      <c r="CC3" s="309" t="s">
        <v>792</v>
      </c>
      <c r="CD3" s="309" t="s">
        <v>792</v>
      </c>
      <c r="CE3" s="309" t="s">
        <v>792</v>
      </c>
      <c r="CF3" s="309" t="s">
        <v>792</v>
      </c>
      <c r="CH3" s="237" t="s">
        <v>208</v>
      </c>
      <c r="CI3" s="237">
        <v>2018</v>
      </c>
      <c r="CJ3" s="237">
        <v>134</v>
      </c>
      <c r="CK3" s="237">
        <v>89</v>
      </c>
      <c r="CL3" s="237">
        <v>192</v>
      </c>
      <c r="CM3" s="237">
        <v>315</v>
      </c>
      <c r="CN3" s="237">
        <v>300</v>
      </c>
      <c r="CO3" s="237">
        <v>1030</v>
      </c>
      <c r="CP3" s="237"/>
      <c r="CQ3" s="237">
        <v>2018</v>
      </c>
      <c r="CR3" s="237">
        <v>53</v>
      </c>
      <c r="CS3" s="237">
        <v>0</v>
      </c>
      <c r="CT3" s="237">
        <v>0</v>
      </c>
      <c r="CU3" s="237">
        <v>0</v>
      </c>
      <c r="CV3" s="237">
        <v>0</v>
      </c>
      <c r="CW3" s="237">
        <v>53</v>
      </c>
      <c r="CY3" s="346" t="s">
        <v>877</v>
      </c>
      <c r="CZ3" s="346">
        <v>2018</v>
      </c>
      <c r="DA3" s="346" t="s">
        <v>792</v>
      </c>
      <c r="DB3" s="346" t="s">
        <v>792</v>
      </c>
      <c r="DC3" s="346" t="s">
        <v>792</v>
      </c>
      <c r="DD3" s="346" t="s">
        <v>792</v>
      </c>
      <c r="DE3" s="346" t="s">
        <v>792</v>
      </c>
      <c r="DF3" s="346" t="s">
        <v>792</v>
      </c>
      <c r="DG3" s="346"/>
      <c r="DH3" s="346">
        <v>2018</v>
      </c>
      <c r="DI3" s="346" t="s">
        <v>792</v>
      </c>
      <c r="DJ3" s="346" t="s">
        <v>792</v>
      </c>
      <c r="DK3" s="346" t="s">
        <v>792</v>
      </c>
      <c r="DL3" s="346" t="s">
        <v>792</v>
      </c>
      <c r="DM3" s="346" t="s">
        <v>792</v>
      </c>
      <c r="DN3" s="346" t="s">
        <v>792</v>
      </c>
      <c r="DP3" s="349" t="s">
        <v>795</v>
      </c>
      <c r="DQ3" s="349">
        <v>2018</v>
      </c>
      <c r="DR3" s="349" t="s">
        <v>792</v>
      </c>
      <c r="DS3" s="349" t="s">
        <v>792</v>
      </c>
      <c r="DT3" s="349" t="s">
        <v>792</v>
      </c>
      <c r="DU3" s="349" t="s">
        <v>792</v>
      </c>
      <c r="DV3" s="349" t="s">
        <v>792</v>
      </c>
      <c r="DW3" s="349" t="s">
        <v>792</v>
      </c>
      <c r="DX3" s="349"/>
      <c r="DY3" s="349">
        <v>2018</v>
      </c>
      <c r="DZ3" s="349" t="s">
        <v>792</v>
      </c>
      <c r="EA3" s="349" t="s">
        <v>792</v>
      </c>
      <c r="EB3" s="349" t="s">
        <v>792</v>
      </c>
      <c r="EC3" s="349" t="s">
        <v>792</v>
      </c>
      <c r="ED3" s="349" t="s">
        <v>792</v>
      </c>
      <c r="EE3" s="349" t="s">
        <v>792</v>
      </c>
      <c r="EG3" s="237" t="s">
        <v>1056</v>
      </c>
      <c r="EH3" s="237">
        <v>2018</v>
      </c>
      <c r="EI3" s="237">
        <v>240</v>
      </c>
      <c r="EJ3" s="237">
        <v>367</v>
      </c>
      <c r="EK3" s="237">
        <v>366</v>
      </c>
      <c r="EL3" s="237">
        <v>510</v>
      </c>
      <c r="EM3" s="237">
        <v>603</v>
      </c>
      <c r="EN3" s="237">
        <v>2086</v>
      </c>
      <c r="EO3" s="237"/>
      <c r="EP3" s="237">
        <v>2018</v>
      </c>
      <c r="EQ3" s="237">
        <v>63</v>
      </c>
      <c r="ER3" s="237">
        <v>39</v>
      </c>
      <c r="ES3" s="237">
        <v>28</v>
      </c>
      <c r="ET3" s="237">
        <v>26</v>
      </c>
      <c r="EU3" s="237">
        <v>24</v>
      </c>
      <c r="EV3" s="237">
        <v>180</v>
      </c>
      <c r="EX3" s="309" t="s">
        <v>1165</v>
      </c>
      <c r="EY3" s="309">
        <v>2018</v>
      </c>
      <c r="EZ3" s="309">
        <v>159</v>
      </c>
      <c r="FA3" s="309">
        <v>225</v>
      </c>
      <c r="FB3" s="309">
        <v>338</v>
      </c>
      <c r="FC3" s="309">
        <v>442</v>
      </c>
      <c r="FD3" s="309">
        <v>458</v>
      </c>
      <c r="FE3" s="309">
        <v>1622</v>
      </c>
      <c r="FF3" s="309"/>
      <c r="FG3" s="309">
        <v>2018</v>
      </c>
      <c r="FH3" s="309">
        <v>19</v>
      </c>
      <c r="FI3" s="309">
        <v>10</v>
      </c>
      <c r="FJ3" s="309">
        <v>2</v>
      </c>
      <c r="FK3" s="309">
        <v>0</v>
      </c>
      <c r="FL3" s="309">
        <v>0</v>
      </c>
      <c r="FM3" s="309">
        <v>31</v>
      </c>
    </row>
    <row r="4" spans="1:169">
      <c r="A4" s="288" t="s">
        <v>635</v>
      </c>
      <c r="B4" s="288">
        <v>2018</v>
      </c>
      <c r="C4" s="288">
        <v>104</v>
      </c>
      <c r="D4" s="288">
        <v>8</v>
      </c>
      <c r="E4" s="288">
        <v>2</v>
      </c>
      <c r="F4" s="288">
        <v>1</v>
      </c>
      <c r="G4" s="288">
        <v>2</v>
      </c>
      <c r="H4" s="288">
        <v>117</v>
      </c>
      <c r="J4" s="288">
        <v>2018</v>
      </c>
      <c r="K4" s="288">
        <v>773</v>
      </c>
      <c r="L4" s="288">
        <v>697</v>
      </c>
      <c r="M4" s="288">
        <v>819</v>
      </c>
      <c r="N4" s="288">
        <v>862</v>
      </c>
      <c r="O4" s="288">
        <v>659</v>
      </c>
      <c r="P4" s="288">
        <v>3810</v>
      </c>
      <c r="R4" s="289" t="s">
        <v>895</v>
      </c>
      <c r="S4" s="289">
        <v>2018</v>
      </c>
      <c r="T4" s="289" t="s">
        <v>792</v>
      </c>
      <c r="U4" s="289" t="s">
        <v>792</v>
      </c>
      <c r="V4" s="289" t="s">
        <v>792</v>
      </c>
      <c r="W4" s="289" t="s">
        <v>792</v>
      </c>
      <c r="X4" s="289" t="s">
        <v>792</v>
      </c>
      <c r="Y4" s="289" t="s">
        <v>792</v>
      </c>
      <c r="Z4" s="289"/>
      <c r="AA4" s="289">
        <v>2018</v>
      </c>
      <c r="AB4" s="289" t="s">
        <v>792</v>
      </c>
      <c r="AC4" s="289" t="s">
        <v>792</v>
      </c>
      <c r="AD4" s="289" t="s">
        <v>792</v>
      </c>
      <c r="AE4" s="289" t="s">
        <v>792</v>
      </c>
      <c r="AF4" s="289" t="s">
        <v>792</v>
      </c>
      <c r="AG4" s="289" t="s">
        <v>792</v>
      </c>
      <c r="AI4" s="290" t="s">
        <v>397</v>
      </c>
      <c r="AJ4" s="290">
        <v>2018</v>
      </c>
      <c r="AK4" s="290">
        <v>117</v>
      </c>
      <c r="AL4" s="290">
        <v>206</v>
      </c>
      <c r="AM4" s="290">
        <v>337</v>
      </c>
      <c r="AN4" s="290">
        <v>539</v>
      </c>
      <c r="AO4" s="290">
        <v>410</v>
      </c>
      <c r="AP4" s="290">
        <v>1609</v>
      </c>
      <c r="AQ4" s="290"/>
      <c r="AR4" s="290">
        <v>2018</v>
      </c>
      <c r="AS4" s="290">
        <v>15</v>
      </c>
      <c r="AT4" s="290">
        <v>1</v>
      </c>
      <c r="AU4" s="290">
        <v>4</v>
      </c>
      <c r="AV4" s="290">
        <v>1</v>
      </c>
      <c r="AW4" s="290">
        <v>0</v>
      </c>
      <c r="AX4" s="290">
        <v>21</v>
      </c>
      <c r="AZ4" s="300" t="s">
        <v>75</v>
      </c>
      <c r="BA4" s="300">
        <v>2018</v>
      </c>
      <c r="BB4" s="300">
        <v>119</v>
      </c>
      <c r="BC4" s="300">
        <v>209</v>
      </c>
      <c r="BD4" s="300">
        <v>441</v>
      </c>
      <c r="BE4" s="300">
        <v>689</v>
      </c>
      <c r="BF4" s="300">
        <v>652</v>
      </c>
      <c r="BG4" s="300">
        <v>2110</v>
      </c>
      <c r="BH4" s="300"/>
      <c r="BI4" s="300">
        <v>2018</v>
      </c>
      <c r="BJ4" s="300">
        <v>17</v>
      </c>
      <c r="BK4" s="300">
        <v>0</v>
      </c>
      <c r="BL4" s="300">
        <v>0</v>
      </c>
      <c r="BM4" s="300">
        <v>0</v>
      </c>
      <c r="BN4" s="300">
        <v>0</v>
      </c>
      <c r="BO4" s="300">
        <v>17</v>
      </c>
      <c r="BQ4" s="309" t="s">
        <v>566</v>
      </c>
      <c r="BR4" s="309">
        <v>2018</v>
      </c>
      <c r="BS4" s="309" t="s">
        <v>792</v>
      </c>
      <c r="BT4" s="309" t="s">
        <v>792</v>
      </c>
      <c r="BU4" s="309" t="s">
        <v>792</v>
      </c>
      <c r="BV4" s="309" t="s">
        <v>792</v>
      </c>
      <c r="BW4" s="309" t="s">
        <v>792</v>
      </c>
      <c r="BX4" s="309" t="s">
        <v>792</v>
      </c>
      <c r="BY4" s="309"/>
      <c r="BZ4" s="309">
        <v>2018</v>
      </c>
      <c r="CA4" s="309" t="s">
        <v>792</v>
      </c>
      <c r="CB4" s="309" t="s">
        <v>792</v>
      </c>
      <c r="CC4" s="309" t="s">
        <v>792</v>
      </c>
      <c r="CD4" s="309" t="s">
        <v>792</v>
      </c>
      <c r="CE4" s="309" t="s">
        <v>792</v>
      </c>
      <c r="CF4" s="309" t="s">
        <v>792</v>
      </c>
      <c r="CH4" s="237" t="s">
        <v>210</v>
      </c>
      <c r="CI4" s="237">
        <v>2018</v>
      </c>
      <c r="CJ4" s="237">
        <v>53</v>
      </c>
      <c r="CK4" s="237">
        <v>61</v>
      </c>
      <c r="CL4" s="237">
        <v>117</v>
      </c>
      <c r="CM4" s="237">
        <v>198</v>
      </c>
      <c r="CN4" s="237">
        <v>209</v>
      </c>
      <c r="CO4" s="237">
        <v>638</v>
      </c>
      <c r="CP4" s="237"/>
      <c r="CQ4" s="237">
        <v>2018</v>
      </c>
      <c r="CR4" s="237">
        <v>8</v>
      </c>
      <c r="CS4" s="237">
        <v>0</v>
      </c>
      <c r="CT4" s="237">
        <v>0</v>
      </c>
      <c r="CU4" s="237">
        <v>0</v>
      </c>
      <c r="CV4" s="237">
        <v>0</v>
      </c>
      <c r="CW4" s="237">
        <v>8</v>
      </c>
      <c r="CY4" s="346" t="s">
        <v>873</v>
      </c>
      <c r="CZ4" s="346">
        <v>2018</v>
      </c>
      <c r="DA4" s="346">
        <v>1930</v>
      </c>
      <c r="DB4" s="346">
        <v>1734</v>
      </c>
      <c r="DC4" s="346">
        <v>1540</v>
      </c>
      <c r="DD4" s="346">
        <v>1716</v>
      </c>
      <c r="DE4" s="346">
        <v>1491</v>
      </c>
      <c r="DF4" s="346">
        <v>8411</v>
      </c>
      <c r="DG4" s="346"/>
      <c r="DH4" s="346">
        <v>2018</v>
      </c>
      <c r="DI4" s="346">
        <v>92</v>
      </c>
      <c r="DJ4" s="346">
        <v>44</v>
      </c>
      <c r="DK4" s="346">
        <v>19</v>
      </c>
      <c r="DL4" s="346">
        <v>8</v>
      </c>
      <c r="DM4" s="346">
        <v>6</v>
      </c>
      <c r="DN4" s="346">
        <v>169</v>
      </c>
      <c r="DP4" s="349" t="s">
        <v>797</v>
      </c>
      <c r="DQ4" s="349">
        <v>2018</v>
      </c>
      <c r="DR4" s="349">
        <v>572</v>
      </c>
      <c r="DS4" s="349">
        <v>799</v>
      </c>
      <c r="DT4" s="349">
        <v>1052</v>
      </c>
      <c r="DU4" s="349">
        <v>1108</v>
      </c>
      <c r="DV4" s="349">
        <v>855</v>
      </c>
      <c r="DW4" s="349">
        <v>4386</v>
      </c>
      <c r="DX4" s="349"/>
      <c r="DY4" s="349">
        <v>2018</v>
      </c>
      <c r="DZ4" s="349">
        <v>14</v>
      </c>
      <c r="EA4" s="349">
        <v>4</v>
      </c>
      <c r="EB4" s="349">
        <v>0</v>
      </c>
      <c r="EC4" s="349">
        <v>0</v>
      </c>
      <c r="ED4" s="349">
        <v>0</v>
      </c>
      <c r="EE4" s="349">
        <v>18</v>
      </c>
      <c r="EG4" s="237" t="s">
        <v>1059</v>
      </c>
      <c r="EH4" s="237">
        <v>2018</v>
      </c>
      <c r="EI4" s="237">
        <v>310</v>
      </c>
      <c r="EJ4" s="237">
        <v>565</v>
      </c>
      <c r="EK4" s="237">
        <v>650</v>
      </c>
      <c r="EL4" s="237">
        <v>857</v>
      </c>
      <c r="EM4" s="237">
        <v>989</v>
      </c>
      <c r="EN4" s="237">
        <v>3371</v>
      </c>
      <c r="EO4" s="237"/>
      <c r="EP4" s="237">
        <v>2018</v>
      </c>
      <c r="EQ4" s="237">
        <v>82</v>
      </c>
      <c r="ER4" s="237">
        <v>61</v>
      </c>
      <c r="ES4" s="237">
        <v>39</v>
      </c>
      <c r="ET4" s="237">
        <v>44</v>
      </c>
      <c r="EU4" s="237">
        <v>49</v>
      </c>
      <c r="EV4" s="237">
        <v>275</v>
      </c>
      <c r="EX4" s="309" t="s">
        <v>1313</v>
      </c>
      <c r="EY4" s="309">
        <v>2018</v>
      </c>
      <c r="EZ4" s="309" t="s">
        <v>792</v>
      </c>
      <c r="FA4" s="309" t="s">
        <v>792</v>
      </c>
      <c r="FB4" s="309" t="s">
        <v>792</v>
      </c>
      <c r="FC4" s="309" t="s">
        <v>792</v>
      </c>
      <c r="FD4" s="309" t="s">
        <v>792</v>
      </c>
      <c r="FE4" s="309" t="s">
        <v>792</v>
      </c>
      <c r="FF4" s="309"/>
      <c r="FG4" s="309">
        <v>2018</v>
      </c>
      <c r="FH4" s="309" t="s">
        <v>792</v>
      </c>
      <c r="FI4" s="309" t="s">
        <v>792</v>
      </c>
      <c r="FJ4" s="309" t="s">
        <v>792</v>
      </c>
      <c r="FK4" s="309" t="s">
        <v>792</v>
      </c>
      <c r="FL4" s="309" t="s">
        <v>792</v>
      </c>
      <c r="FM4" s="309" t="s">
        <v>792</v>
      </c>
    </row>
    <row r="5" spans="1:169">
      <c r="A5" s="288" t="s">
        <v>638</v>
      </c>
      <c r="B5" s="288">
        <v>2018</v>
      </c>
      <c r="C5" s="288">
        <v>55</v>
      </c>
      <c r="D5" s="288">
        <v>2</v>
      </c>
      <c r="E5" s="288">
        <v>1</v>
      </c>
      <c r="F5" s="288">
        <v>0</v>
      </c>
      <c r="G5" s="288">
        <v>1</v>
      </c>
      <c r="H5" s="288">
        <v>59</v>
      </c>
      <c r="J5" s="288">
        <v>2018</v>
      </c>
      <c r="K5" s="288">
        <v>587</v>
      </c>
      <c r="L5" s="288">
        <v>957</v>
      </c>
      <c r="M5" s="288">
        <v>1375</v>
      </c>
      <c r="N5" s="288">
        <v>1648</v>
      </c>
      <c r="O5" s="288">
        <v>1100</v>
      </c>
      <c r="P5" s="288">
        <v>5667</v>
      </c>
      <c r="R5" s="289" t="s">
        <v>896</v>
      </c>
      <c r="S5" s="289">
        <v>2018</v>
      </c>
      <c r="T5" s="289" t="s">
        <v>792</v>
      </c>
      <c r="U5" s="289" t="s">
        <v>792</v>
      </c>
      <c r="V5" s="289" t="s">
        <v>792</v>
      </c>
      <c r="W5" s="289" t="s">
        <v>792</v>
      </c>
      <c r="X5" s="289" t="s">
        <v>792</v>
      </c>
      <c r="Y5" s="289" t="s">
        <v>792</v>
      </c>
      <c r="Z5" s="289"/>
      <c r="AA5" s="289">
        <v>2018</v>
      </c>
      <c r="AB5" s="289" t="s">
        <v>792</v>
      </c>
      <c r="AC5" s="289" t="s">
        <v>792</v>
      </c>
      <c r="AD5" s="289" t="s">
        <v>792</v>
      </c>
      <c r="AE5" s="289" t="s">
        <v>792</v>
      </c>
      <c r="AF5" s="289" t="s">
        <v>792</v>
      </c>
      <c r="AG5" s="289" t="s">
        <v>792</v>
      </c>
      <c r="AI5" s="290" t="s">
        <v>398</v>
      </c>
      <c r="AJ5" s="290">
        <v>2018</v>
      </c>
      <c r="AK5" s="290">
        <v>366</v>
      </c>
      <c r="AL5" s="290">
        <v>523</v>
      </c>
      <c r="AM5" s="290">
        <v>751</v>
      </c>
      <c r="AN5" s="290">
        <v>921</v>
      </c>
      <c r="AO5" s="290">
        <v>706</v>
      </c>
      <c r="AP5" s="290">
        <v>3267</v>
      </c>
      <c r="AQ5" s="290"/>
      <c r="AR5" s="290">
        <v>2018</v>
      </c>
      <c r="AS5" s="290">
        <v>19</v>
      </c>
      <c r="AT5" s="290">
        <v>3</v>
      </c>
      <c r="AU5" s="290">
        <v>0</v>
      </c>
      <c r="AV5" s="290">
        <v>0</v>
      </c>
      <c r="AW5" s="290">
        <v>1</v>
      </c>
      <c r="AX5" s="290">
        <v>23</v>
      </c>
      <c r="AZ5" s="300" t="s">
        <v>77</v>
      </c>
      <c r="BA5" s="300">
        <v>2018</v>
      </c>
      <c r="BB5" s="300">
        <v>546</v>
      </c>
      <c r="BC5" s="300">
        <v>364</v>
      </c>
      <c r="BD5" s="300">
        <v>578</v>
      </c>
      <c r="BE5" s="300">
        <v>610</v>
      </c>
      <c r="BF5" s="300">
        <v>571</v>
      </c>
      <c r="BG5" s="300">
        <v>2669</v>
      </c>
      <c r="BH5" s="300"/>
      <c r="BI5" s="300">
        <v>2018</v>
      </c>
      <c r="BJ5" s="300">
        <v>23</v>
      </c>
      <c r="BK5" s="300">
        <v>0</v>
      </c>
      <c r="BL5" s="300">
        <v>0</v>
      </c>
      <c r="BM5" s="300">
        <v>0</v>
      </c>
      <c r="BN5" s="300">
        <v>0</v>
      </c>
      <c r="BO5" s="300">
        <v>23</v>
      </c>
      <c r="BQ5" s="309" t="s">
        <v>1370</v>
      </c>
      <c r="BR5" s="309">
        <v>2018</v>
      </c>
      <c r="BS5" s="309" t="s">
        <v>792</v>
      </c>
      <c r="BT5" s="309" t="s">
        <v>792</v>
      </c>
      <c r="BU5" s="309" t="s">
        <v>792</v>
      </c>
      <c r="BV5" s="309" t="s">
        <v>792</v>
      </c>
      <c r="BW5" s="309" t="s">
        <v>792</v>
      </c>
      <c r="BX5" s="309" t="s">
        <v>792</v>
      </c>
      <c r="BY5" s="309"/>
      <c r="BZ5" s="309">
        <v>2018</v>
      </c>
      <c r="CA5" s="309" t="s">
        <v>792</v>
      </c>
      <c r="CB5" s="309" t="s">
        <v>792</v>
      </c>
      <c r="CC5" s="309" t="s">
        <v>792</v>
      </c>
      <c r="CD5" s="309" t="s">
        <v>792</v>
      </c>
      <c r="CE5" s="309" t="s">
        <v>792</v>
      </c>
      <c r="CF5" s="309" t="s">
        <v>792</v>
      </c>
      <c r="CH5" s="237" t="s">
        <v>212</v>
      </c>
      <c r="CI5" s="237">
        <v>2018</v>
      </c>
      <c r="CJ5" s="237">
        <v>73</v>
      </c>
      <c r="CK5" s="237">
        <v>75</v>
      </c>
      <c r="CL5" s="237">
        <v>162</v>
      </c>
      <c r="CM5" s="237">
        <v>278</v>
      </c>
      <c r="CN5" s="237">
        <v>263</v>
      </c>
      <c r="CO5" s="237">
        <v>851</v>
      </c>
      <c r="CP5" s="237"/>
      <c r="CQ5" s="237">
        <v>2018</v>
      </c>
      <c r="CR5" s="237">
        <v>19</v>
      </c>
      <c r="CS5" s="237">
        <v>0</v>
      </c>
      <c r="CT5" s="237">
        <v>0</v>
      </c>
      <c r="CU5" s="237">
        <v>0</v>
      </c>
      <c r="CV5" s="237">
        <v>0</v>
      </c>
      <c r="CW5" s="237">
        <v>19</v>
      </c>
      <c r="CY5" s="346" t="s">
        <v>867</v>
      </c>
      <c r="CZ5" s="346">
        <v>2018</v>
      </c>
      <c r="DA5" s="346">
        <v>603</v>
      </c>
      <c r="DB5" s="346">
        <v>839</v>
      </c>
      <c r="DC5" s="346">
        <v>1037</v>
      </c>
      <c r="DD5" s="346">
        <v>1150</v>
      </c>
      <c r="DE5" s="346">
        <v>994</v>
      </c>
      <c r="DF5" s="346">
        <v>4623</v>
      </c>
      <c r="DG5" s="346"/>
      <c r="DH5" s="346">
        <v>2018</v>
      </c>
      <c r="DI5" s="346">
        <v>29</v>
      </c>
      <c r="DJ5" s="346">
        <v>14</v>
      </c>
      <c r="DK5" s="346">
        <v>2</v>
      </c>
      <c r="DL5" s="346">
        <v>1</v>
      </c>
      <c r="DM5" s="346">
        <v>0</v>
      </c>
      <c r="DN5" s="346">
        <v>46</v>
      </c>
      <c r="DP5" s="349" t="s">
        <v>799</v>
      </c>
      <c r="DQ5" s="349">
        <v>2018</v>
      </c>
      <c r="DR5" s="349">
        <v>241</v>
      </c>
      <c r="DS5" s="349">
        <v>334</v>
      </c>
      <c r="DT5" s="349">
        <v>459</v>
      </c>
      <c r="DU5" s="349">
        <v>620</v>
      </c>
      <c r="DV5" s="349">
        <v>538</v>
      </c>
      <c r="DW5" s="349">
        <v>2192</v>
      </c>
      <c r="DX5" s="349"/>
      <c r="DY5" s="349">
        <v>2018</v>
      </c>
      <c r="DZ5" s="349">
        <v>8</v>
      </c>
      <c r="EA5" s="349">
        <v>0</v>
      </c>
      <c r="EB5" s="349">
        <v>0</v>
      </c>
      <c r="EC5" s="349">
        <v>0</v>
      </c>
      <c r="ED5" s="349">
        <v>0</v>
      </c>
      <c r="EE5" s="349">
        <v>8</v>
      </c>
      <c r="EG5" s="237" t="s">
        <v>1062</v>
      </c>
      <c r="EH5" s="237">
        <v>2018</v>
      </c>
      <c r="EI5" s="237" t="s">
        <v>792</v>
      </c>
      <c r="EJ5" s="237" t="s">
        <v>792</v>
      </c>
      <c r="EK5" s="237" t="s">
        <v>792</v>
      </c>
      <c r="EL5" s="237" t="s">
        <v>792</v>
      </c>
      <c r="EM5" s="237" t="s">
        <v>792</v>
      </c>
      <c r="EN5" s="237" t="s">
        <v>792</v>
      </c>
      <c r="EO5" s="237"/>
      <c r="EP5" s="237">
        <v>2018</v>
      </c>
      <c r="EQ5" s="237" t="s">
        <v>792</v>
      </c>
      <c r="ER5" s="237" t="s">
        <v>792</v>
      </c>
      <c r="ES5" s="237" t="s">
        <v>792</v>
      </c>
      <c r="ET5" s="237" t="s">
        <v>792</v>
      </c>
      <c r="EU5" s="237" t="s">
        <v>792</v>
      </c>
      <c r="EV5" s="237" t="s">
        <v>792</v>
      </c>
      <c r="EX5" s="309" t="s">
        <v>1315</v>
      </c>
      <c r="EY5" s="309">
        <v>2018</v>
      </c>
      <c r="EZ5" s="309" t="s">
        <v>792</v>
      </c>
      <c r="FA5" s="309" t="s">
        <v>792</v>
      </c>
      <c r="FB5" s="309" t="s">
        <v>792</v>
      </c>
      <c r="FC5" s="309" t="s">
        <v>792</v>
      </c>
      <c r="FD5" s="309" t="s">
        <v>792</v>
      </c>
      <c r="FE5" s="309" t="s">
        <v>792</v>
      </c>
      <c r="FF5" s="309"/>
      <c r="FG5" s="309">
        <v>2018</v>
      </c>
      <c r="FH5" s="309" t="s">
        <v>792</v>
      </c>
      <c r="FI5" s="309" t="s">
        <v>792</v>
      </c>
      <c r="FJ5" s="309" t="s">
        <v>792</v>
      </c>
      <c r="FK5" s="309" t="s">
        <v>792</v>
      </c>
      <c r="FL5" s="309" t="s">
        <v>792</v>
      </c>
      <c r="FM5" s="309" t="s">
        <v>792</v>
      </c>
    </row>
    <row r="6" spans="1:169">
      <c r="A6" s="288" t="s">
        <v>641</v>
      </c>
      <c r="B6" s="288">
        <v>2018</v>
      </c>
      <c r="C6" s="288">
        <v>63</v>
      </c>
      <c r="D6" s="288">
        <v>4</v>
      </c>
      <c r="E6" s="288">
        <v>0</v>
      </c>
      <c r="F6" s="288">
        <v>0</v>
      </c>
      <c r="G6" s="288">
        <v>0</v>
      </c>
      <c r="H6" s="288">
        <v>67</v>
      </c>
      <c r="J6" s="288">
        <v>2018</v>
      </c>
      <c r="K6" s="288">
        <v>1403</v>
      </c>
      <c r="L6" s="288">
        <v>1352</v>
      </c>
      <c r="M6" s="288">
        <v>1696</v>
      </c>
      <c r="N6" s="288">
        <v>1749</v>
      </c>
      <c r="O6" s="288">
        <v>1106</v>
      </c>
      <c r="P6" s="288">
        <v>7306</v>
      </c>
      <c r="R6" s="289" t="s">
        <v>897</v>
      </c>
      <c r="S6" s="289">
        <v>2018</v>
      </c>
      <c r="T6" s="289" t="s">
        <v>792</v>
      </c>
      <c r="U6" s="289" t="s">
        <v>792</v>
      </c>
      <c r="V6" s="289" t="s">
        <v>792</v>
      </c>
      <c r="W6" s="289" t="s">
        <v>792</v>
      </c>
      <c r="X6" s="289" t="s">
        <v>792</v>
      </c>
      <c r="Y6" s="289" t="s">
        <v>792</v>
      </c>
      <c r="Z6" s="289"/>
      <c r="AA6" s="289">
        <v>2018</v>
      </c>
      <c r="AB6" s="289" t="s">
        <v>792</v>
      </c>
      <c r="AC6" s="289" t="s">
        <v>792</v>
      </c>
      <c r="AD6" s="289" t="s">
        <v>792</v>
      </c>
      <c r="AE6" s="289" t="s">
        <v>792</v>
      </c>
      <c r="AF6" s="289" t="s">
        <v>792</v>
      </c>
      <c r="AG6" s="289" t="s">
        <v>792</v>
      </c>
      <c r="AI6" s="290" t="s">
        <v>399</v>
      </c>
      <c r="AJ6" s="290">
        <v>2018</v>
      </c>
      <c r="AK6" s="290">
        <v>236</v>
      </c>
      <c r="AL6" s="290">
        <v>260</v>
      </c>
      <c r="AM6" s="290">
        <v>426</v>
      </c>
      <c r="AN6" s="290">
        <v>556</v>
      </c>
      <c r="AO6" s="290">
        <v>432</v>
      </c>
      <c r="AP6" s="290">
        <v>1910</v>
      </c>
      <c r="AQ6" s="290"/>
      <c r="AR6" s="290">
        <v>2018</v>
      </c>
      <c r="AS6" s="290">
        <v>30</v>
      </c>
      <c r="AT6" s="290">
        <v>1</v>
      </c>
      <c r="AU6" s="290">
        <v>0</v>
      </c>
      <c r="AV6" s="290">
        <v>1</v>
      </c>
      <c r="AW6" s="290">
        <v>0</v>
      </c>
      <c r="AX6" s="290">
        <v>32</v>
      </c>
      <c r="AZ6" s="300" t="s">
        <v>79</v>
      </c>
      <c r="BA6" s="300">
        <v>2018</v>
      </c>
      <c r="BB6" s="300">
        <v>335</v>
      </c>
      <c r="BC6" s="300">
        <v>296</v>
      </c>
      <c r="BD6" s="300">
        <v>423</v>
      </c>
      <c r="BE6" s="300">
        <v>474</v>
      </c>
      <c r="BF6" s="300">
        <v>372</v>
      </c>
      <c r="BG6" s="300">
        <v>1900</v>
      </c>
      <c r="BH6" s="300"/>
      <c r="BI6" s="300">
        <v>2018</v>
      </c>
      <c r="BJ6" s="300">
        <v>50</v>
      </c>
      <c r="BK6" s="300">
        <v>2</v>
      </c>
      <c r="BL6" s="300">
        <v>0</v>
      </c>
      <c r="BM6" s="300">
        <v>0</v>
      </c>
      <c r="BN6" s="300">
        <v>0</v>
      </c>
      <c r="BO6" s="300">
        <v>52</v>
      </c>
      <c r="BQ6" s="309" t="s">
        <v>568</v>
      </c>
      <c r="BR6" s="309">
        <v>2018</v>
      </c>
      <c r="BS6" s="309">
        <v>1967</v>
      </c>
      <c r="BT6" s="309">
        <v>1164</v>
      </c>
      <c r="BU6" s="309">
        <v>1129</v>
      </c>
      <c r="BV6" s="309">
        <v>1146</v>
      </c>
      <c r="BW6" s="309">
        <v>792</v>
      </c>
      <c r="BX6" s="309">
        <v>6198</v>
      </c>
      <c r="BY6" s="309"/>
      <c r="BZ6" s="309">
        <v>2018</v>
      </c>
      <c r="CA6" s="309">
        <v>524</v>
      </c>
      <c r="CB6" s="309">
        <v>4</v>
      </c>
      <c r="CC6" s="309">
        <v>0</v>
      </c>
      <c r="CD6" s="309">
        <v>0</v>
      </c>
      <c r="CE6" s="309">
        <v>0</v>
      </c>
      <c r="CF6" s="309">
        <v>528</v>
      </c>
      <c r="CH6" s="237" t="s">
        <v>214</v>
      </c>
      <c r="CI6" s="237">
        <v>2018</v>
      </c>
      <c r="CJ6" s="237">
        <v>1595</v>
      </c>
      <c r="CK6" s="237">
        <v>656</v>
      </c>
      <c r="CL6" s="237">
        <v>851</v>
      </c>
      <c r="CM6" s="237">
        <v>1022</v>
      </c>
      <c r="CN6" s="237">
        <v>879</v>
      </c>
      <c r="CO6" s="237">
        <v>5003</v>
      </c>
      <c r="CP6" s="237"/>
      <c r="CQ6" s="237">
        <v>2018</v>
      </c>
      <c r="CR6" s="237">
        <v>338</v>
      </c>
      <c r="CS6" s="237">
        <v>0</v>
      </c>
      <c r="CT6" s="237">
        <v>0</v>
      </c>
      <c r="CU6" s="237">
        <v>0</v>
      </c>
      <c r="CV6" s="237">
        <v>0</v>
      </c>
      <c r="CW6" s="237">
        <v>338</v>
      </c>
      <c r="CY6" s="346" t="s">
        <v>874</v>
      </c>
      <c r="CZ6" s="346">
        <v>2018</v>
      </c>
      <c r="DA6" s="346">
        <v>592</v>
      </c>
      <c r="DB6" s="346">
        <v>868</v>
      </c>
      <c r="DC6" s="346">
        <v>913</v>
      </c>
      <c r="DD6" s="346">
        <v>1047</v>
      </c>
      <c r="DE6" s="346">
        <v>976</v>
      </c>
      <c r="DF6" s="346">
        <v>4396</v>
      </c>
      <c r="DG6" s="346"/>
      <c r="DH6" s="346">
        <v>2018</v>
      </c>
      <c r="DI6" s="346">
        <v>12</v>
      </c>
      <c r="DJ6" s="346">
        <v>12</v>
      </c>
      <c r="DK6" s="346">
        <v>6</v>
      </c>
      <c r="DL6" s="346">
        <v>2</v>
      </c>
      <c r="DM6" s="346">
        <v>4</v>
      </c>
      <c r="DN6" s="346">
        <v>36</v>
      </c>
      <c r="DP6" s="349" t="s">
        <v>801</v>
      </c>
      <c r="DQ6" s="349">
        <v>2018</v>
      </c>
      <c r="DR6" s="349">
        <v>1078</v>
      </c>
      <c r="DS6" s="349">
        <v>550</v>
      </c>
      <c r="DT6" s="349">
        <v>540</v>
      </c>
      <c r="DU6" s="349">
        <v>540</v>
      </c>
      <c r="DV6" s="349">
        <v>399</v>
      </c>
      <c r="DW6" s="349">
        <v>3107</v>
      </c>
      <c r="DX6" s="349"/>
      <c r="DY6" s="349">
        <v>2018</v>
      </c>
      <c r="DZ6" s="349">
        <v>18</v>
      </c>
      <c r="EA6" s="349">
        <v>0</v>
      </c>
      <c r="EB6" s="349">
        <v>0</v>
      </c>
      <c r="EC6" s="349">
        <v>0</v>
      </c>
      <c r="ED6" s="349">
        <v>0</v>
      </c>
      <c r="EE6" s="349">
        <v>18</v>
      </c>
      <c r="EG6" s="237" t="s">
        <v>1065</v>
      </c>
      <c r="EH6" s="237">
        <v>2018</v>
      </c>
      <c r="EI6" s="237" t="s">
        <v>792</v>
      </c>
      <c r="EJ6" s="237" t="s">
        <v>792</v>
      </c>
      <c r="EK6" s="237" t="s">
        <v>792</v>
      </c>
      <c r="EL6" s="237" t="s">
        <v>792</v>
      </c>
      <c r="EM6" s="237" t="s">
        <v>792</v>
      </c>
      <c r="EN6" s="237" t="s">
        <v>792</v>
      </c>
      <c r="EO6" s="237"/>
      <c r="EP6" s="237">
        <v>2018</v>
      </c>
      <c r="EQ6" s="237" t="s">
        <v>792</v>
      </c>
      <c r="ER6" s="237" t="s">
        <v>792</v>
      </c>
      <c r="ES6" s="237" t="s">
        <v>792</v>
      </c>
      <c r="ET6" s="237" t="s">
        <v>792</v>
      </c>
      <c r="EU6" s="237" t="s">
        <v>792</v>
      </c>
      <c r="EV6" s="237" t="s">
        <v>792</v>
      </c>
      <c r="EX6" s="309" t="s">
        <v>1166</v>
      </c>
      <c r="EY6" s="309">
        <v>2018</v>
      </c>
      <c r="EZ6" s="309">
        <v>148</v>
      </c>
      <c r="FA6" s="309">
        <v>211</v>
      </c>
      <c r="FB6" s="309">
        <v>325</v>
      </c>
      <c r="FC6" s="309">
        <v>434</v>
      </c>
      <c r="FD6" s="309">
        <v>531</v>
      </c>
      <c r="FE6" s="309">
        <v>1649</v>
      </c>
      <c r="FF6" s="309"/>
      <c r="FG6" s="309">
        <v>2018</v>
      </c>
      <c r="FH6" s="309">
        <v>27</v>
      </c>
      <c r="FI6" s="309">
        <v>8</v>
      </c>
      <c r="FJ6" s="309">
        <v>9</v>
      </c>
      <c r="FK6" s="309">
        <v>13</v>
      </c>
      <c r="FL6" s="309">
        <v>10</v>
      </c>
      <c r="FM6" s="309">
        <v>67</v>
      </c>
    </row>
    <row r="7" spans="1:169">
      <c r="A7" s="288" t="s">
        <v>644</v>
      </c>
      <c r="B7" s="288">
        <v>2018</v>
      </c>
      <c r="C7" s="288" t="s">
        <v>792</v>
      </c>
      <c r="D7" s="288" t="s">
        <v>792</v>
      </c>
      <c r="E7" s="288" t="s">
        <v>792</v>
      </c>
      <c r="F7" s="288" t="s">
        <v>792</v>
      </c>
      <c r="G7" s="288" t="s">
        <v>792</v>
      </c>
      <c r="H7" s="288" t="s">
        <v>792</v>
      </c>
      <c r="J7" s="288">
        <v>2018</v>
      </c>
      <c r="K7" s="288" t="s">
        <v>792</v>
      </c>
      <c r="L7" s="288" t="s">
        <v>792</v>
      </c>
      <c r="M7" s="288" t="s">
        <v>792</v>
      </c>
      <c r="N7" s="288" t="s">
        <v>792</v>
      </c>
      <c r="O7" s="288" t="s">
        <v>792</v>
      </c>
      <c r="P7" s="288" t="s">
        <v>792</v>
      </c>
      <c r="R7" s="289" t="s">
        <v>898</v>
      </c>
      <c r="S7" s="289">
        <v>2018</v>
      </c>
      <c r="T7" s="289" t="s">
        <v>792</v>
      </c>
      <c r="U7" s="289" t="s">
        <v>792</v>
      </c>
      <c r="V7" s="289" t="s">
        <v>792</v>
      </c>
      <c r="W7" s="289" t="s">
        <v>792</v>
      </c>
      <c r="X7" s="289" t="s">
        <v>792</v>
      </c>
      <c r="Y7" s="289" t="s">
        <v>792</v>
      </c>
      <c r="Z7" s="289"/>
      <c r="AA7" s="289">
        <v>2018</v>
      </c>
      <c r="AB7" s="289" t="s">
        <v>792</v>
      </c>
      <c r="AC7" s="289" t="s">
        <v>792</v>
      </c>
      <c r="AD7" s="289" t="s">
        <v>792</v>
      </c>
      <c r="AE7" s="289" t="s">
        <v>792</v>
      </c>
      <c r="AF7" s="289" t="s">
        <v>792</v>
      </c>
      <c r="AG7" s="289" t="s">
        <v>792</v>
      </c>
      <c r="AI7" s="290" t="s">
        <v>400</v>
      </c>
      <c r="AJ7" s="290">
        <v>2018</v>
      </c>
      <c r="AK7" s="290">
        <v>137</v>
      </c>
      <c r="AL7" s="290">
        <v>197</v>
      </c>
      <c r="AM7" s="290">
        <v>456</v>
      </c>
      <c r="AN7" s="290">
        <v>720</v>
      </c>
      <c r="AO7" s="290">
        <v>603</v>
      </c>
      <c r="AP7" s="290">
        <v>2113</v>
      </c>
      <c r="AQ7" s="290"/>
      <c r="AR7" s="290">
        <v>2018</v>
      </c>
      <c r="AS7" s="290">
        <v>19</v>
      </c>
      <c r="AT7" s="290">
        <v>0</v>
      </c>
      <c r="AU7" s="290">
        <v>1</v>
      </c>
      <c r="AV7" s="290">
        <v>0</v>
      </c>
      <c r="AW7" s="290">
        <v>0</v>
      </c>
      <c r="AX7" s="290">
        <v>20</v>
      </c>
      <c r="AZ7" s="300" t="s">
        <v>80</v>
      </c>
      <c r="BA7" s="300">
        <v>2018</v>
      </c>
      <c r="BB7" s="300">
        <v>325</v>
      </c>
      <c r="BC7" s="300">
        <v>293</v>
      </c>
      <c r="BD7" s="300">
        <v>376</v>
      </c>
      <c r="BE7" s="300">
        <v>360</v>
      </c>
      <c r="BF7" s="300">
        <v>321</v>
      </c>
      <c r="BG7" s="300">
        <v>1675</v>
      </c>
      <c r="BH7" s="300"/>
      <c r="BI7" s="300">
        <v>2018</v>
      </c>
      <c r="BJ7" s="300">
        <v>19</v>
      </c>
      <c r="BK7" s="300">
        <v>0</v>
      </c>
      <c r="BL7" s="300">
        <v>0</v>
      </c>
      <c r="BM7" s="300">
        <v>0</v>
      </c>
      <c r="BN7" s="300">
        <v>0</v>
      </c>
      <c r="BO7" s="300">
        <v>19</v>
      </c>
      <c r="BQ7" s="309" t="s">
        <v>570</v>
      </c>
      <c r="BR7" s="309">
        <v>2018</v>
      </c>
      <c r="BS7" s="309" t="s">
        <v>792</v>
      </c>
      <c r="BT7" s="309" t="s">
        <v>792</v>
      </c>
      <c r="BU7" s="309" t="s">
        <v>792</v>
      </c>
      <c r="BV7" s="309" t="s">
        <v>792</v>
      </c>
      <c r="BW7" s="309" t="s">
        <v>792</v>
      </c>
      <c r="BX7" s="309" t="s">
        <v>792</v>
      </c>
      <c r="BY7" s="309"/>
      <c r="BZ7" s="309">
        <v>2018</v>
      </c>
      <c r="CA7" s="309" t="s">
        <v>792</v>
      </c>
      <c r="CB7" s="309" t="s">
        <v>792</v>
      </c>
      <c r="CC7" s="309" t="s">
        <v>792</v>
      </c>
      <c r="CD7" s="309" t="s">
        <v>792</v>
      </c>
      <c r="CE7" s="309" t="s">
        <v>792</v>
      </c>
      <c r="CF7" s="309" t="s">
        <v>792</v>
      </c>
      <c r="CH7" s="237" t="s">
        <v>257</v>
      </c>
      <c r="CI7" s="237">
        <v>2018</v>
      </c>
      <c r="CJ7" s="237">
        <v>378</v>
      </c>
      <c r="CK7" s="237">
        <v>330</v>
      </c>
      <c r="CL7" s="237">
        <v>387</v>
      </c>
      <c r="CM7" s="237">
        <v>498</v>
      </c>
      <c r="CN7" s="237">
        <v>517</v>
      </c>
      <c r="CO7" s="237">
        <v>2110</v>
      </c>
      <c r="CP7" s="237"/>
      <c r="CQ7" s="237">
        <v>2018</v>
      </c>
      <c r="CR7" s="237">
        <v>103</v>
      </c>
      <c r="CS7" s="237">
        <v>2</v>
      </c>
      <c r="CT7" s="237">
        <v>0</v>
      </c>
      <c r="CU7" s="237">
        <v>0</v>
      </c>
      <c r="CV7" s="237">
        <v>0</v>
      </c>
      <c r="CW7" s="237">
        <v>105</v>
      </c>
      <c r="CY7" s="346" t="s">
        <v>875</v>
      </c>
      <c r="CZ7" s="346">
        <v>2018</v>
      </c>
      <c r="DA7" s="346" t="s">
        <v>792</v>
      </c>
      <c r="DB7" s="346" t="s">
        <v>792</v>
      </c>
      <c r="DC7" s="346" t="s">
        <v>792</v>
      </c>
      <c r="DD7" s="346" t="s">
        <v>792</v>
      </c>
      <c r="DE7" s="346" t="s">
        <v>792</v>
      </c>
      <c r="DF7" s="346" t="s">
        <v>792</v>
      </c>
      <c r="DG7" s="346"/>
      <c r="DH7" s="346">
        <v>2018</v>
      </c>
      <c r="DI7" s="346" t="s">
        <v>792</v>
      </c>
      <c r="DJ7" s="346" t="s">
        <v>792</v>
      </c>
      <c r="DK7" s="346" t="s">
        <v>792</v>
      </c>
      <c r="DL7" s="346" t="s">
        <v>792</v>
      </c>
      <c r="DM7" s="346" t="s">
        <v>792</v>
      </c>
      <c r="DN7" s="346" t="s">
        <v>792</v>
      </c>
      <c r="DP7" s="349" t="s">
        <v>803</v>
      </c>
      <c r="DQ7" s="349">
        <v>2018</v>
      </c>
      <c r="DR7" s="349">
        <v>142</v>
      </c>
      <c r="DS7" s="349">
        <v>177</v>
      </c>
      <c r="DT7" s="349">
        <v>241</v>
      </c>
      <c r="DU7" s="349">
        <v>273</v>
      </c>
      <c r="DV7" s="349">
        <v>249</v>
      </c>
      <c r="DW7" s="349">
        <v>1082</v>
      </c>
      <c r="DX7" s="349"/>
      <c r="DY7" s="349">
        <v>2018</v>
      </c>
      <c r="DZ7" s="349">
        <v>15</v>
      </c>
      <c r="EA7" s="349">
        <v>3</v>
      </c>
      <c r="EB7" s="349">
        <v>0</v>
      </c>
      <c r="EC7" s="349">
        <v>0</v>
      </c>
      <c r="ED7" s="349">
        <v>0</v>
      </c>
      <c r="EE7" s="349">
        <v>18</v>
      </c>
      <c r="EG7" s="237" t="s">
        <v>1068</v>
      </c>
      <c r="EH7" s="237">
        <v>2018</v>
      </c>
      <c r="EI7" s="237" t="s">
        <v>792</v>
      </c>
      <c r="EJ7" s="237" t="s">
        <v>792</v>
      </c>
      <c r="EK7" s="237" t="s">
        <v>792</v>
      </c>
      <c r="EL7" s="237" t="s">
        <v>792</v>
      </c>
      <c r="EM7" s="237" t="s">
        <v>792</v>
      </c>
      <c r="EN7" s="237" t="s">
        <v>792</v>
      </c>
      <c r="EO7" s="237"/>
      <c r="EP7" s="237">
        <v>2018</v>
      </c>
      <c r="EQ7" s="237" t="s">
        <v>792</v>
      </c>
      <c r="ER7" s="237" t="s">
        <v>792</v>
      </c>
      <c r="ES7" s="237" t="s">
        <v>792</v>
      </c>
      <c r="ET7" s="237" t="s">
        <v>792</v>
      </c>
      <c r="EU7" s="237" t="s">
        <v>792</v>
      </c>
      <c r="EV7" s="237" t="s">
        <v>792</v>
      </c>
      <c r="EX7" s="309" t="s">
        <v>1168</v>
      </c>
      <c r="EY7" s="309">
        <v>2018</v>
      </c>
      <c r="EZ7" s="309">
        <v>125</v>
      </c>
      <c r="FA7" s="309">
        <v>240</v>
      </c>
      <c r="FB7" s="309">
        <v>308</v>
      </c>
      <c r="FC7" s="309">
        <v>385</v>
      </c>
      <c r="FD7" s="309">
        <v>478</v>
      </c>
      <c r="FE7" s="309">
        <v>1536</v>
      </c>
      <c r="FF7" s="309"/>
      <c r="FG7" s="309">
        <v>2018</v>
      </c>
      <c r="FH7" s="309">
        <v>15</v>
      </c>
      <c r="FI7" s="309">
        <v>8</v>
      </c>
      <c r="FJ7" s="309">
        <v>8</v>
      </c>
      <c r="FK7" s="309">
        <v>7</v>
      </c>
      <c r="FL7" s="309">
        <v>8</v>
      </c>
      <c r="FM7" s="309">
        <v>46</v>
      </c>
    </row>
    <row r="8" spans="1:169">
      <c r="A8" s="288" t="s">
        <v>646</v>
      </c>
      <c r="B8" s="288">
        <v>2018</v>
      </c>
      <c r="C8" s="288" t="s">
        <v>792</v>
      </c>
      <c r="D8" s="288" t="s">
        <v>792</v>
      </c>
      <c r="E8" s="288" t="s">
        <v>792</v>
      </c>
      <c r="F8" s="288" t="s">
        <v>792</v>
      </c>
      <c r="G8" s="288" t="s">
        <v>792</v>
      </c>
      <c r="H8" s="288" t="s">
        <v>792</v>
      </c>
      <c r="J8" s="288">
        <v>2018</v>
      </c>
      <c r="K8" s="288" t="s">
        <v>792</v>
      </c>
      <c r="L8" s="288" t="s">
        <v>792</v>
      </c>
      <c r="M8" s="288" t="s">
        <v>792</v>
      </c>
      <c r="N8" s="288" t="s">
        <v>792</v>
      </c>
      <c r="O8" s="288" t="s">
        <v>792</v>
      </c>
      <c r="P8" s="288" t="s">
        <v>792</v>
      </c>
      <c r="R8" s="289" t="s">
        <v>899</v>
      </c>
      <c r="S8" s="289">
        <v>2018</v>
      </c>
      <c r="T8" s="289" t="s">
        <v>792</v>
      </c>
      <c r="U8" s="289" t="s">
        <v>792</v>
      </c>
      <c r="V8" s="289" t="s">
        <v>792</v>
      </c>
      <c r="W8" s="289" t="s">
        <v>792</v>
      </c>
      <c r="X8" s="289" t="s">
        <v>792</v>
      </c>
      <c r="Y8" s="289" t="s">
        <v>792</v>
      </c>
      <c r="Z8" s="289"/>
      <c r="AA8" s="289">
        <v>2018</v>
      </c>
      <c r="AB8" s="289" t="s">
        <v>792</v>
      </c>
      <c r="AC8" s="289" t="s">
        <v>792</v>
      </c>
      <c r="AD8" s="289" t="s">
        <v>792</v>
      </c>
      <c r="AE8" s="289" t="s">
        <v>792</v>
      </c>
      <c r="AF8" s="289" t="s">
        <v>792</v>
      </c>
      <c r="AG8" s="289" t="s">
        <v>792</v>
      </c>
      <c r="AI8" s="290" t="s">
        <v>401</v>
      </c>
      <c r="AJ8" s="290">
        <v>2018</v>
      </c>
      <c r="AK8" s="290">
        <v>368</v>
      </c>
      <c r="AL8" s="290">
        <v>633</v>
      </c>
      <c r="AM8" s="290">
        <v>995</v>
      </c>
      <c r="AN8" s="290">
        <v>1079</v>
      </c>
      <c r="AO8" s="290">
        <v>739</v>
      </c>
      <c r="AP8" s="290">
        <v>3814</v>
      </c>
      <c r="AQ8" s="290"/>
      <c r="AR8" s="290">
        <v>2018</v>
      </c>
      <c r="AS8" s="290">
        <v>31</v>
      </c>
      <c r="AT8" s="290">
        <v>0</v>
      </c>
      <c r="AU8" s="290">
        <v>0</v>
      </c>
      <c r="AV8" s="290">
        <v>0</v>
      </c>
      <c r="AW8" s="290">
        <v>0</v>
      </c>
      <c r="AX8" s="290">
        <v>31</v>
      </c>
      <c r="AZ8" s="300" t="s">
        <v>82</v>
      </c>
      <c r="BA8" s="300">
        <v>2018</v>
      </c>
      <c r="BB8" s="300">
        <v>369</v>
      </c>
      <c r="BC8" s="300">
        <v>293</v>
      </c>
      <c r="BD8" s="300">
        <v>437</v>
      </c>
      <c r="BE8" s="300">
        <v>550</v>
      </c>
      <c r="BF8" s="300">
        <v>498</v>
      </c>
      <c r="BG8" s="300">
        <v>2147</v>
      </c>
      <c r="BH8" s="300"/>
      <c r="BI8" s="300">
        <v>2018</v>
      </c>
      <c r="BJ8" s="300">
        <v>52</v>
      </c>
      <c r="BK8" s="300">
        <v>0</v>
      </c>
      <c r="BL8" s="300">
        <v>0</v>
      </c>
      <c r="BM8" s="300">
        <v>0</v>
      </c>
      <c r="BN8" s="300">
        <v>0</v>
      </c>
      <c r="BO8" s="300">
        <v>52</v>
      </c>
      <c r="BQ8" s="309" t="s">
        <v>1374</v>
      </c>
      <c r="BR8" s="309">
        <v>2018</v>
      </c>
      <c r="BS8" s="309" t="s">
        <v>792</v>
      </c>
      <c r="BT8" s="309" t="s">
        <v>792</v>
      </c>
      <c r="BU8" s="309" t="s">
        <v>792</v>
      </c>
      <c r="BV8" s="309" t="s">
        <v>792</v>
      </c>
      <c r="BW8" s="309" t="s">
        <v>792</v>
      </c>
      <c r="BX8" s="309" t="s">
        <v>792</v>
      </c>
      <c r="BY8" s="309"/>
      <c r="BZ8" s="309">
        <v>2018</v>
      </c>
      <c r="CA8" s="309" t="s">
        <v>792</v>
      </c>
      <c r="CB8" s="309" t="s">
        <v>792</v>
      </c>
      <c r="CC8" s="309" t="s">
        <v>792</v>
      </c>
      <c r="CD8" s="309" t="s">
        <v>792</v>
      </c>
      <c r="CE8" s="309" t="s">
        <v>792</v>
      </c>
      <c r="CF8" s="309" t="s">
        <v>792</v>
      </c>
      <c r="CH8" s="237" t="s">
        <v>259</v>
      </c>
      <c r="CI8" s="237">
        <v>2018</v>
      </c>
      <c r="CJ8" s="237">
        <v>437</v>
      </c>
      <c r="CK8" s="237">
        <v>236</v>
      </c>
      <c r="CL8" s="237">
        <v>396</v>
      </c>
      <c r="CM8" s="237">
        <v>621</v>
      </c>
      <c r="CN8" s="237">
        <v>548</v>
      </c>
      <c r="CO8" s="237">
        <v>2238</v>
      </c>
      <c r="CP8" s="237"/>
      <c r="CQ8" s="237">
        <v>2018</v>
      </c>
      <c r="CR8" s="237">
        <v>160</v>
      </c>
      <c r="CS8" s="237">
        <v>0</v>
      </c>
      <c r="CT8" s="237">
        <v>0</v>
      </c>
      <c r="CU8" s="237">
        <v>0</v>
      </c>
      <c r="CV8" s="237">
        <v>0</v>
      </c>
      <c r="CW8" s="237">
        <v>160</v>
      </c>
      <c r="CY8" s="346" t="s">
        <v>876</v>
      </c>
      <c r="CZ8" s="346">
        <v>2018</v>
      </c>
      <c r="DA8" s="346">
        <v>1418</v>
      </c>
      <c r="DB8" s="346">
        <v>1677</v>
      </c>
      <c r="DC8" s="346">
        <v>2014</v>
      </c>
      <c r="DD8" s="346">
        <v>2106</v>
      </c>
      <c r="DE8" s="346">
        <v>1696</v>
      </c>
      <c r="DF8" s="346">
        <v>8911</v>
      </c>
      <c r="DG8" s="346"/>
      <c r="DH8" s="346">
        <v>2018</v>
      </c>
      <c r="DI8" s="346">
        <v>84</v>
      </c>
      <c r="DJ8" s="346">
        <v>40</v>
      </c>
      <c r="DK8" s="346">
        <v>12</v>
      </c>
      <c r="DL8" s="346">
        <v>5</v>
      </c>
      <c r="DM8" s="346">
        <v>3</v>
      </c>
      <c r="DN8" s="346">
        <v>144</v>
      </c>
      <c r="DP8" s="349" t="s">
        <v>805</v>
      </c>
      <c r="DQ8" s="349">
        <v>2018</v>
      </c>
      <c r="DR8" s="349">
        <v>277</v>
      </c>
      <c r="DS8" s="349">
        <v>403</v>
      </c>
      <c r="DT8" s="349">
        <v>407</v>
      </c>
      <c r="DU8" s="349">
        <v>503</v>
      </c>
      <c r="DV8" s="349">
        <v>496</v>
      </c>
      <c r="DW8" s="349">
        <v>2086</v>
      </c>
      <c r="DX8" s="349"/>
      <c r="DY8" s="349">
        <v>2018</v>
      </c>
      <c r="DZ8" s="349">
        <v>25</v>
      </c>
      <c r="EA8" s="349">
        <v>0</v>
      </c>
      <c r="EB8" s="349">
        <v>0</v>
      </c>
      <c r="EC8" s="349">
        <v>0</v>
      </c>
      <c r="ED8" s="349">
        <v>0</v>
      </c>
      <c r="EE8" s="349">
        <v>25</v>
      </c>
      <c r="EG8" s="237" t="s">
        <v>1071</v>
      </c>
      <c r="EH8" s="237">
        <v>2018</v>
      </c>
      <c r="EI8" s="237" t="s">
        <v>792</v>
      </c>
      <c r="EJ8" s="237" t="s">
        <v>792</v>
      </c>
      <c r="EK8" s="237" t="s">
        <v>792</v>
      </c>
      <c r="EL8" s="237" t="s">
        <v>792</v>
      </c>
      <c r="EM8" s="237" t="s">
        <v>792</v>
      </c>
      <c r="EN8" s="237" t="s">
        <v>792</v>
      </c>
      <c r="EO8" s="237"/>
      <c r="EP8" s="237">
        <v>2018</v>
      </c>
      <c r="EQ8" s="237" t="s">
        <v>792</v>
      </c>
      <c r="ER8" s="237" t="s">
        <v>792</v>
      </c>
      <c r="ES8" s="237" t="s">
        <v>792</v>
      </c>
      <c r="ET8" s="237" t="s">
        <v>792</v>
      </c>
      <c r="EU8" s="237" t="s">
        <v>792</v>
      </c>
      <c r="EV8" s="237" t="s">
        <v>792</v>
      </c>
      <c r="EX8" s="309" t="s">
        <v>1169</v>
      </c>
      <c r="EY8" s="309">
        <v>2018</v>
      </c>
      <c r="EZ8" s="309" t="s">
        <v>792</v>
      </c>
      <c r="FA8" s="309" t="s">
        <v>792</v>
      </c>
      <c r="FB8" s="309" t="s">
        <v>792</v>
      </c>
      <c r="FC8" s="309" t="s">
        <v>792</v>
      </c>
      <c r="FD8" s="309" t="s">
        <v>792</v>
      </c>
      <c r="FE8" s="309" t="s">
        <v>792</v>
      </c>
      <c r="FF8" s="309"/>
      <c r="FG8" s="309">
        <v>2018</v>
      </c>
      <c r="FH8" s="309" t="s">
        <v>792</v>
      </c>
      <c r="FI8" s="309" t="s">
        <v>792</v>
      </c>
      <c r="FJ8" s="309" t="s">
        <v>792</v>
      </c>
      <c r="FK8" s="309" t="s">
        <v>792</v>
      </c>
      <c r="FL8" s="309" t="s">
        <v>792</v>
      </c>
      <c r="FM8" s="309" t="s">
        <v>792</v>
      </c>
    </row>
    <row r="9" spans="1:169">
      <c r="A9" s="288" t="s">
        <v>648</v>
      </c>
      <c r="B9" s="288">
        <v>2018</v>
      </c>
      <c r="C9" s="288" t="s">
        <v>792</v>
      </c>
      <c r="D9" s="288" t="s">
        <v>792</v>
      </c>
      <c r="E9" s="288" t="s">
        <v>792</v>
      </c>
      <c r="F9" s="288" t="s">
        <v>792</v>
      </c>
      <c r="G9" s="288" t="s">
        <v>792</v>
      </c>
      <c r="H9" s="288" t="s">
        <v>792</v>
      </c>
      <c r="J9" s="288">
        <v>2018</v>
      </c>
      <c r="K9" s="288" t="s">
        <v>792</v>
      </c>
      <c r="L9" s="288" t="s">
        <v>792</v>
      </c>
      <c r="M9" s="288" t="s">
        <v>792</v>
      </c>
      <c r="N9" s="288" t="s">
        <v>792</v>
      </c>
      <c r="O9" s="288" t="s">
        <v>792</v>
      </c>
      <c r="P9" s="288" t="s">
        <v>792</v>
      </c>
      <c r="R9" s="289" t="s">
        <v>900</v>
      </c>
      <c r="S9" s="289">
        <v>2018</v>
      </c>
      <c r="T9" s="289">
        <v>292</v>
      </c>
      <c r="U9" s="289">
        <v>147</v>
      </c>
      <c r="V9" s="289">
        <v>221</v>
      </c>
      <c r="W9" s="289">
        <v>264</v>
      </c>
      <c r="X9" s="289">
        <v>249</v>
      </c>
      <c r="Y9" s="289">
        <v>1173</v>
      </c>
      <c r="Z9" s="289"/>
      <c r="AA9" s="289">
        <v>2018</v>
      </c>
      <c r="AB9" s="289">
        <v>14</v>
      </c>
      <c r="AC9" s="289">
        <v>0</v>
      </c>
      <c r="AD9" s="289">
        <v>0</v>
      </c>
      <c r="AE9" s="289">
        <v>0</v>
      </c>
      <c r="AF9" s="289">
        <v>0</v>
      </c>
      <c r="AG9" s="289">
        <v>14</v>
      </c>
      <c r="AI9" s="290" t="s">
        <v>402</v>
      </c>
      <c r="AJ9" s="290">
        <v>2018</v>
      </c>
      <c r="AK9" s="290">
        <v>203</v>
      </c>
      <c r="AL9" s="290">
        <v>223</v>
      </c>
      <c r="AM9" s="290">
        <v>422</v>
      </c>
      <c r="AN9" s="290">
        <v>599</v>
      </c>
      <c r="AO9" s="290">
        <v>552</v>
      </c>
      <c r="AP9" s="290">
        <v>1999</v>
      </c>
      <c r="AQ9" s="290"/>
      <c r="AR9" s="290">
        <v>2018</v>
      </c>
      <c r="AS9" s="290">
        <v>52</v>
      </c>
      <c r="AT9" s="290">
        <v>0</v>
      </c>
      <c r="AU9" s="290">
        <v>0</v>
      </c>
      <c r="AV9" s="290">
        <v>0</v>
      </c>
      <c r="AW9" s="290">
        <v>0</v>
      </c>
      <c r="AX9" s="290">
        <v>52</v>
      </c>
      <c r="AZ9" s="300" t="s">
        <v>83</v>
      </c>
      <c r="BA9" s="300">
        <v>2018</v>
      </c>
      <c r="BB9" s="300">
        <v>456</v>
      </c>
      <c r="BC9" s="300">
        <v>345</v>
      </c>
      <c r="BD9" s="300">
        <v>451</v>
      </c>
      <c r="BE9" s="300">
        <v>583</v>
      </c>
      <c r="BF9" s="300">
        <v>585</v>
      </c>
      <c r="BG9" s="300">
        <v>2420</v>
      </c>
      <c r="BH9" s="300"/>
      <c r="BI9" s="300">
        <v>2018</v>
      </c>
      <c r="BJ9" s="300">
        <v>25</v>
      </c>
      <c r="BK9" s="300">
        <v>0</v>
      </c>
      <c r="BL9" s="300">
        <v>0</v>
      </c>
      <c r="BM9" s="300">
        <v>0</v>
      </c>
      <c r="BN9" s="300">
        <v>0</v>
      </c>
      <c r="BO9" s="300">
        <v>25</v>
      </c>
      <c r="BQ9" s="309" t="s">
        <v>572</v>
      </c>
      <c r="BR9" s="309">
        <v>2018</v>
      </c>
      <c r="BS9" s="309">
        <v>1492</v>
      </c>
      <c r="BT9" s="309">
        <v>552</v>
      </c>
      <c r="BU9" s="309">
        <v>695</v>
      </c>
      <c r="BV9" s="309">
        <v>951</v>
      </c>
      <c r="BW9" s="309">
        <v>841</v>
      </c>
      <c r="BX9" s="309">
        <v>4531</v>
      </c>
      <c r="BY9" s="309"/>
      <c r="BZ9" s="309">
        <v>2018</v>
      </c>
      <c r="CA9" s="309">
        <v>350</v>
      </c>
      <c r="CB9" s="309">
        <v>0</v>
      </c>
      <c r="CC9" s="309">
        <v>0</v>
      </c>
      <c r="CD9" s="309">
        <v>0</v>
      </c>
      <c r="CE9" s="309">
        <v>0</v>
      </c>
      <c r="CF9" s="309">
        <v>350</v>
      </c>
      <c r="CH9" s="237" t="s">
        <v>269</v>
      </c>
      <c r="CI9" s="237">
        <v>2018</v>
      </c>
      <c r="CJ9" s="237">
        <v>60</v>
      </c>
      <c r="CK9" s="237">
        <v>50</v>
      </c>
      <c r="CL9" s="237">
        <v>115</v>
      </c>
      <c r="CM9" s="237">
        <v>171</v>
      </c>
      <c r="CN9" s="237">
        <v>188</v>
      </c>
      <c r="CO9" s="237">
        <v>584</v>
      </c>
      <c r="CP9" s="237"/>
      <c r="CQ9" s="237">
        <v>2018</v>
      </c>
      <c r="CR9" s="237">
        <v>19</v>
      </c>
      <c r="CS9" s="237">
        <v>0</v>
      </c>
      <c r="CT9" s="237">
        <v>0</v>
      </c>
      <c r="CU9" s="237">
        <v>0</v>
      </c>
      <c r="CV9" s="237">
        <v>0</v>
      </c>
      <c r="CW9" s="237">
        <v>19</v>
      </c>
      <c r="CY9" s="346" t="s">
        <v>868</v>
      </c>
      <c r="CZ9" s="346">
        <v>2018</v>
      </c>
      <c r="DA9" s="346">
        <v>342</v>
      </c>
      <c r="DB9" s="346">
        <v>361</v>
      </c>
      <c r="DC9" s="346">
        <v>435</v>
      </c>
      <c r="DD9" s="346">
        <v>434</v>
      </c>
      <c r="DE9" s="346">
        <v>381</v>
      </c>
      <c r="DF9" s="346">
        <v>1953</v>
      </c>
      <c r="DG9" s="346"/>
      <c r="DH9" s="346">
        <v>2018</v>
      </c>
      <c r="DI9" s="346">
        <v>18</v>
      </c>
      <c r="DJ9" s="346">
        <v>9</v>
      </c>
      <c r="DK9" s="346">
        <v>1</v>
      </c>
      <c r="DL9" s="346">
        <v>0</v>
      </c>
      <c r="DM9" s="346">
        <v>0</v>
      </c>
      <c r="DN9" s="346">
        <v>28</v>
      </c>
      <c r="DP9" s="349" t="s">
        <v>807</v>
      </c>
      <c r="DQ9" s="349">
        <v>2018</v>
      </c>
      <c r="DR9" s="349">
        <v>256</v>
      </c>
      <c r="DS9" s="349">
        <v>303</v>
      </c>
      <c r="DT9" s="349">
        <v>432</v>
      </c>
      <c r="DU9" s="349">
        <v>544</v>
      </c>
      <c r="DV9" s="349">
        <v>500</v>
      </c>
      <c r="DW9" s="349">
        <v>2035</v>
      </c>
      <c r="DX9" s="349"/>
      <c r="DY9" s="349">
        <v>2018</v>
      </c>
      <c r="DZ9" s="349">
        <v>27</v>
      </c>
      <c r="EA9" s="349">
        <v>0</v>
      </c>
      <c r="EB9" s="349">
        <v>0</v>
      </c>
      <c r="EC9" s="349">
        <v>0</v>
      </c>
      <c r="ED9" s="349">
        <v>0</v>
      </c>
      <c r="EE9" s="349">
        <v>27</v>
      </c>
      <c r="EG9" s="237" t="s">
        <v>1074</v>
      </c>
      <c r="EH9" s="237">
        <v>2018</v>
      </c>
      <c r="EI9" s="237">
        <v>275</v>
      </c>
      <c r="EJ9" s="237">
        <v>358</v>
      </c>
      <c r="EK9" s="237">
        <v>396</v>
      </c>
      <c r="EL9" s="237">
        <v>502</v>
      </c>
      <c r="EM9" s="237">
        <v>603</v>
      </c>
      <c r="EN9" s="237">
        <v>2134</v>
      </c>
      <c r="EO9" s="237"/>
      <c r="EP9" s="237">
        <v>2018</v>
      </c>
      <c r="EQ9" s="237">
        <v>92</v>
      </c>
      <c r="ER9" s="237">
        <v>73</v>
      </c>
      <c r="ES9" s="237">
        <v>35</v>
      </c>
      <c r="ET9" s="237">
        <v>25</v>
      </c>
      <c r="EU9" s="237">
        <v>0</v>
      </c>
      <c r="EV9" s="237">
        <v>225</v>
      </c>
      <c r="EX9" s="309" t="s">
        <v>1170</v>
      </c>
      <c r="EY9" s="309">
        <v>2018</v>
      </c>
      <c r="EZ9" s="309">
        <v>757</v>
      </c>
      <c r="FA9" s="309">
        <v>804</v>
      </c>
      <c r="FB9" s="309">
        <v>847</v>
      </c>
      <c r="FC9" s="309">
        <v>815</v>
      </c>
      <c r="FD9" s="309">
        <v>1091</v>
      </c>
      <c r="FE9" s="309">
        <v>4314</v>
      </c>
      <c r="FF9" s="309"/>
      <c r="FG9" s="309">
        <v>2018</v>
      </c>
      <c r="FH9" s="309">
        <v>147</v>
      </c>
      <c r="FI9" s="309">
        <v>0</v>
      </c>
      <c r="FJ9" s="309">
        <v>0</v>
      </c>
      <c r="FK9" s="309">
        <v>0</v>
      </c>
      <c r="FL9" s="309">
        <v>0</v>
      </c>
      <c r="FM9" s="309">
        <v>147</v>
      </c>
    </row>
    <row r="10" spans="1:169">
      <c r="A10" s="288" t="s">
        <v>650</v>
      </c>
      <c r="B10" s="288">
        <v>2018</v>
      </c>
      <c r="C10" s="288" t="s">
        <v>792</v>
      </c>
      <c r="D10" s="288" t="s">
        <v>792</v>
      </c>
      <c r="E10" s="288" t="s">
        <v>792</v>
      </c>
      <c r="F10" s="288" t="s">
        <v>792</v>
      </c>
      <c r="G10" s="288" t="s">
        <v>792</v>
      </c>
      <c r="H10" s="288" t="s">
        <v>792</v>
      </c>
      <c r="J10" s="288">
        <v>2018</v>
      </c>
      <c r="K10" s="288" t="s">
        <v>792</v>
      </c>
      <c r="L10" s="288" t="s">
        <v>792</v>
      </c>
      <c r="M10" s="288" t="s">
        <v>792</v>
      </c>
      <c r="N10" s="288" t="s">
        <v>792</v>
      </c>
      <c r="O10" s="288" t="s">
        <v>792</v>
      </c>
      <c r="P10" s="288" t="s">
        <v>792</v>
      </c>
      <c r="R10" s="289" t="s">
        <v>901</v>
      </c>
      <c r="S10" s="289">
        <v>2018</v>
      </c>
      <c r="T10" s="289">
        <v>314</v>
      </c>
      <c r="U10" s="289">
        <v>349</v>
      </c>
      <c r="V10" s="289">
        <v>493</v>
      </c>
      <c r="W10" s="289">
        <v>504</v>
      </c>
      <c r="X10" s="289">
        <v>347</v>
      </c>
      <c r="Y10" s="289">
        <v>2007</v>
      </c>
      <c r="Z10" s="289"/>
      <c r="AA10" s="289">
        <v>2018</v>
      </c>
      <c r="AB10" s="289">
        <v>33</v>
      </c>
      <c r="AC10" s="289">
        <v>4</v>
      </c>
      <c r="AD10" s="289">
        <v>0</v>
      </c>
      <c r="AE10" s="289">
        <v>0</v>
      </c>
      <c r="AF10" s="289">
        <v>0</v>
      </c>
      <c r="AG10" s="289">
        <v>37</v>
      </c>
      <c r="AI10" s="290" t="s">
        <v>403</v>
      </c>
      <c r="AJ10" s="290">
        <v>2018</v>
      </c>
      <c r="AK10" s="290">
        <v>741</v>
      </c>
      <c r="AL10" s="290">
        <v>538</v>
      </c>
      <c r="AM10" s="290">
        <v>622</v>
      </c>
      <c r="AN10" s="290">
        <v>640</v>
      </c>
      <c r="AO10" s="290">
        <v>502</v>
      </c>
      <c r="AP10" s="290">
        <v>3043</v>
      </c>
      <c r="AQ10" s="290"/>
      <c r="AR10" s="290">
        <v>2018</v>
      </c>
      <c r="AS10" s="290">
        <v>81</v>
      </c>
      <c r="AT10" s="290">
        <v>9</v>
      </c>
      <c r="AU10" s="290">
        <v>2</v>
      </c>
      <c r="AV10" s="290">
        <v>0</v>
      </c>
      <c r="AW10" s="290">
        <v>1</v>
      </c>
      <c r="AX10" s="290">
        <v>93</v>
      </c>
      <c r="AZ10" s="300" t="s">
        <v>85</v>
      </c>
      <c r="BA10" s="300">
        <v>2018</v>
      </c>
      <c r="BB10" s="300">
        <v>199</v>
      </c>
      <c r="BC10" s="300">
        <v>226</v>
      </c>
      <c r="BD10" s="300">
        <v>416</v>
      </c>
      <c r="BE10" s="300">
        <v>567</v>
      </c>
      <c r="BF10" s="300">
        <v>512</v>
      </c>
      <c r="BG10" s="300">
        <v>1920</v>
      </c>
      <c r="BH10" s="300"/>
      <c r="BI10" s="300">
        <v>2018</v>
      </c>
      <c r="BJ10" s="300">
        <v>20</v>
      </c>
      <c r="BK10" s="300">
        <v>0</v>
      </c>
      <c r="BL10" s="300">
        <v>0</v>
      </c>
      <c r="BM10" s="300">
        <v>0</v>
      </c>
      <c r="BN10" s="300">
        <v>0</v>
      </c>
      <c r="BO10" s="300">
        <v>20</v>
      </c>
      <c r="BQ10" s="309" t="s">
        <v>575</v>
      </c>
      <c r="BR10" s="309">
        <v>2018</v>
      </c>
      <c r="BS10" s="309">
        <v>51</v>
      </c>
      <c r="BT10" s="309">
        <v>128</v>
      </c>
      <c r="BU10" s="309">
        <v>231</v>
      </c>
      <c r="BV10" s="309">
        <v>352</v>
      </c>
      <c r="BW10" s="309">
        <v>324</v>
      </c>
      <c r="BX10" s="309">
        <v>1086</v>
      </c>
      <c r="BY10" s="309"/>
      <c r="BZ10" s="309">
        <v>2018</v>
      </c>
      <c r="CA10" s="309">
        <v>7</v>
      </c>
      <c r="CB10" s="309">
        <v>0</v>
      </c>
      <c r="CC10" s="309">
        <v>0</v>
      </c>
      <c r="CD10" s="309">
        <v>0</v>
      </c>
      <c r="CE10" s="309">
        <v>0</v>
      </c>
      <c r="CF10" s="309">
        <v>7</v>
      </c>
      <c r="CH10" s="237" t="s">
        <v>261</v>
      </c>
      <c r="CI10" s="237">
        <v>2018</v>
      </c>
      <c r="CJ10" s="237">
        <v>105</v>
      </c>
      <c r="CK10" s="237">
        <v>71</v>
      </c>
      <c r="CL10" s="237">
        <v>171</v>
      </c>
      <c r="CM10" s="237">
        <v>246</v>
      </c>
      <c r="CN10" s="237">
        <v>283</v>
      </c>
      <c r="CO10" s="237">
        <v>876</v>
      </c>
      <c r="CP10" s="237"/>
      <c r="CQ10" s="237">
        <v>2018</v>
      </c>
      <c r="CR10" s="237">
        <v>20</v>
      </c>
      <c r="CS10" s="237">
        <v>0</v>
      </c>
      <c r="CT10" s="237">
        <v>0</v>
      </c>
      <c r="CU10" s="237">
        <v>0</v>
      </c>
      <c r="CV10" s="237">
        <v>0</v>
      </c>
      <c r="CW10" s="237">
        <v>20</v>
      </c>
      <c r="CY10" s="346" t="s">
        <v>869</v>
      </c>
      <c r="CZ10" s="346">
        <v>2018</v>
      </c>
      <c r="DA10" s="346">
        <v>373</v>
      </c>
      <c r="DB10" s="346">
        <v>680</v>
      </c>
      <c r="DC10" s="346">
        <v>1050</v>
      </c>
      <c r="DD10" s="346">
        <v>1158</v>
      </c>
      <c r="DE10" s="346">
        <v>862</v>
      </c>
      <c r="DF10" s="346">
        <v>4123</v>
      </c>
      <c r="DG10" s="346"/>
      <c r="DH10" s="346">
        <v>2018</v>
      </c>
      <c r="DI10" s="346">
        <v>14</v>
      </c>
      <c r="DJ10" s="346">
        <v>9</v>
      </c>
      <c r="DK10" s="346">
        <v>3</v>
      </c>
      <c r="DL10" s="346">
        <v>0</v>
      </c>
      <c r="DM10" s="346">
        <v>0</v>
      </c>
      <c r="DN10" s="346">
        <v>26</v>
      </c>
      <c r="DP10" s="349" t="s">
        <v>809</v>
      </c>
      <c r="DQ10" s="349">
        <v>2018</v>
      </c>
      <c r="DR10" s="349">
        <v>1548</v>
      </c>
      <c r="DS10" s="349">
        <v>1033</v>
      </c>
      <c r="DT10" s="349">
        <v>1349</v>
      </c>
      <c r="DU10" s="349">
        <v>1468</v>
      </c>
      <c r="DV10" s="349">
        <v>1140</v>
      </c>
      <c r="DW10" s="349">
        <v>6538</v>
      </c>
      <c r="DX10" s="349"/>
      <c r="DY10" s="349">
        <v>2018</v>
      </c>
      <c r="DZ10" s="349">
        <v>20</v>
      </c>
      <c r="EA10" s="349">
        <v>0</v>
      </c>
      <c r="EB10" s="349">
        <v>0</v>
      </c>
      <c r="EC10" s="349">
        <v>0</v>
      </c>
      <c r="ED10" s="349">
        <v>0</v>
      </c>
      <c r="EE10" s="349">
        <v>20</v>
      </c>
      <c r="EG10" s="237" t="s">
        <v>1077</v>
      </c>
      <c r="EH10" s="237">
        <v>2018</v>
      </c>
      <c r="EI10" s="237">
        <v>317</v>
      </c>
      <c r="EJ10" s="237">
        <v>522</v>
      </c>
      <c r="EK10" s="237">
        <v>583</v>
      </c>
      <c r="EL10" s="237">
        <v>687</v>
      </c>
      <c r="EM10" s="237">
        <v>801</v>
      </c>
      <c r="EN10" s="237">
        <v>2910</v>
      </c>
      <c r="EO10" s="237"/>
      <c r="EP10" s="237">
        <v>2018</v>
      </c>
      <c r="EQ10" s="237">
        <v>127</v>
      </c>
      <c r="ER10" s="237">
        <v>73</v>
      </c>
      <c r="ES10" s="237">
        <v>45</v>
      </c>
      <c r="ET10" s="237">
        <v>25</v>
      </c>
      <c r="EU10" s="237">
        <v>0</v>
      </c>
      <c r="EV10" s="237">
        <v>270</v>
      </c>
      <c r="EX10" s="309" t="s">
        <v>1171</v>
      </c>
      <c r="EY10" s="309">
        <v>2018</v>
      </c>
      <c r="EZ10" s="309">
        <v>140</v>
      </c>
      <c r="FA10" s="309">
        <v>232</v>
      </c>
      <c r="FB10" s="309">
        <v>246</v>
      </c>
      <c r="FC10" s="309">
        <v>316</v>
      </c>
      <c r="FD10" s="309">
        <v>437</v>
      </c>
      <c r="FE10" s="309">
        <v>1371</v>
      </c>
      <c r="FF10" s="309"/>
      <c r="FG10" s="309">
        <v>2018</v>
      </c>
      <c r="FH10" s="309">
        <v>36</v>
      </c>
      <c r="FI10" s="309">
        <v>7</v>
      </c>
      <c r="FJ10" s="309">
        <v>0</v>
      </c>
      <c r="FK10" s="309">
        <v>0</v>
      </c>
      <c r="FL10" s="309">
        <v>0</v>
      </c>
      <c r="FM10" s="309">
        <v>43</v>
      </c>
    </row>
    <row r="11" spans="1:169">
      <c r="A11" s="288" t="s">
        <v>652</v>
      </c>
      <c r="B11" s="288">
        <v>2018</v>
      </c>
      <c r="C11" s="288" t="s">
        <v>792</v>
      </c>
      <c r="D11" s="288" t="s">
        <v>792</v>
      </c>
      <c r="E11" s="288" t="s">
        <v>792</v>
      </c>
      <c r="F11" s="288" t="s">
        <v>792</v>
      </c>
      <c r="G11" s="288" t="s">
        <v>792</v>
      </c>
      <c r="H11" s="288" t="s">
        <v>792</v>
      </c>
      <c r="J11" s="288">
        <v>2018</v>
      </c>
      <c r="K11" s="288" t="s">
        <v>792</v>
      </c>
      <c r="L11" s="288" t="s">
        <v>792</v>
      </c>
      <c r="M11" s="288" t="s">
        <v>792</v>
      </c>
      <c r="N11" s="288" t="s">
        <v>792</v>
      </c>
      <c r="O11" s="288" t="s">
        <v>792</v>
      </c>
      <c r="P11" s="288" t="s">
        <v>792</v>
      </c>
      <c r="R11" s="289" t="s">
        <v>902</v>
      </c>
      <c r="S11" s="289">
        <v>2018</v>
      </c>
      <c r="T11" s="289" t="s">
        <v>792</v>
      </c>
      <c r="U11" s="289" t="s">
        <v>792</v>
      </c>
      <c r="V11" s="289" t="s">
        <v>792</v>
      </c>
      <c r="W11" s="289" t="s">
        <v>792</v>
      </c>
      <c r="X11" s="289" t="s">
        <v>792</v>
      </c>
      <c r="Y11" s="289" t="s">
        <v>792</v>
      </c>
      <c r="Z11" s="289"/>
      <c r="AA11" s="289">
        <v>2018</v>
      </c>
      <c r="AB11" s="289" t="s">
        <v>792</v>
      </c>
      <c r="AC11" s="289" t="s">
        <v>792</v>
      </c>
      <c r="AD11" s="289" t="s">
        <v>792</v>
      </c>
      <c r="AE11" s="289" t="s">
        <v>792</v>
      </c>
      <c r="AF11" s="289" t="s">
        <v>792</v>
      </c>
      <c r="AG11" s="289" t="s">
        <v>792</v>
      </c>
      <c r="AI11" s="290" t="s">
        <v>404</v>
      </c>
      <c r="AJ11" s="290">
        <v>2018</v>
      </c>
      <c r="AK11" s="290">
        <v>422</v>
      </c>
      <c r="AL11" s="290">
        <v>468</v>
      </c>
      <c r="AM11" s="290">
        <v>723</v>
      </c>
      <c r="AN11" s="290">
        <v>954</v>
      </c>
      <c r="AO11" s="290">
        <v>702</v>
      </c>
      <c r="AP11" s="290">
        <v>3269</v>
      </c>
      <c r="AQ11" s="290"/>
      <c r="AR11" s="290">
        <v>2018</v>
      </c>
      <c r="AS11" s="290">
        <v>36</v>
      </c>
      <c r="AT11" s="290">
        <v>3</v>
      </c>
      <c r="AU11" s="290">
        <v>0</v>
      </c>
      <c r="AV11" s="290">
        <v>0</v>
      </c>
      <c r="AW11" s="290">
        <v>0</v>
      </c>
      <c r="AX11" s="290">
        <v>39</v>
      </c>
      <c r="AZ11" s="300" t="s">
        <v>86</v>
      </c>
      <c r="BA11" s="300">
        <v>2018</v>
      </c>
      <c r="BB11" s="300">
        <v>221</v>
      </c>
      <c r="BC11" s="300">
        <v>143</v>
      </c>
      <c r="BD11" s="300">
        <v>149</v>
      </c>
      <c r="BE11" s="300">
        <v>181</v>
      </c>
      <c r="BF11" s="300">
        <v>220</v>
      </c>
      <c r="BG11" s="300">
        <v>914</v>
      </c>
      <c r="BH11" s="300"/>
      <c r="BI11" s="300">
        <v>2018</v>
      </c>
      <c r="BJ11" s="300">
        <v>30</v>
      </c>
      <c r="BK11" s="300">
        <v>0</v>
      </c>
      <c r="BL11" s="300">
        <v>0</v>
      </c>
      <c r="BM11" s="300">
        <v>0</v>
      </c>
      <c r="BN11" s="300">
        <v>0</v>
      </c>
      <c r="BO11" s="300">
        <v>30</v>
      </c>
      <c r="BQ11" s="309" t="s">
        <v>578</v>
      </c>
      <c r="BR11" s="309">
        <v>2018</v>
      </c>
      <c r="BS11" s="309">
        <v>120</v>
      </c>
      <c r="BT11" s="309">
        <v>109</v>
      </c>
      <c r="BU11" s="309">
        <v>212</v>
      </c>
      <c r="BV11" s="309">
        <v>331</v>
      </c>
      <c r="BW11" s="309">
        <v>305</v>
      </c>
      <c r="BX11" s="309">
        <v>1077</v>
      </c>
      <c r="BY11" s="309"/>
      <c r="BZ11" s="309">
        <v>2018</v>
      </c>
      <c r="CA11" s="309">
        <v>31</v>
      </c>
      <c r="CB11" s="309">
        <v>0</v>
      </c>
      <c r="CC11" s="309">
        <v>0</v>
      </c>
      <c r="CD11" s="309">
        <v>0</v>
      </c>
      <c r="CE11" s="309">
        <v>0</v>
      </c>
      <c r="CF11" s="309">
        <v>31</v>
      </c>
      <c r="CH11" s="237" t="s">
        <v>263</v>
      </c>
      <c r="CI11" s="237">
        <v>2018</v>
      </c>
      <c r="CJ11" s="237">
        <v>157</v>
      </c>
      <c r="CK11" s="237">
        <v>66</v>
      </c>
      <c r="CL11" s="237">
        <v>112</v>
      </c>
      <c r="CM11" s="237">
        <v>129</v>
      </c>
      <c r="CN11" s="237">
        <v>170</v>
      </c>
      <c r="CO11" s="237">
        <v>634</v>
      </c>
      <c r="CP11" s="237"/>
      <c r="CQ11" s="237">
        <v>2018</v>
      </c>
      <c r="CR11" s="237">
        <v>72</v>
      </c>
      <c r="CS11" s="237">
        <v>0</v>
      </c>
      <c r="CT11" s="237">
        <v>0</v>
      </c>
      <c r="CU11" s="237">
        <v>0</v>
      </c>
      <c r="CV11" s="237">
        <v>0</v>
      </c>
      <c r="CW11" s="237">
        <v>72</v>
      </c>
      <c r="CY11" s="346" t="s">
        <v>870</v>
      </c>
      <c r="CZ11" s="346">
        <v>2018</v>
      </c>
      <c r="DA11" s="346">
        <v>490</v>
      </c>
      <c r="DB11" s="346">
        <v>665</v>
      </c>
      <c r="DC11" s="346">
        <v>754</v>
      </c>
      <c r="DD11" s="346">
        <v>711</v>
      </c>
      <c r="DE11" s="346">
        <v>586</v>
      </c>
      <c r="DF11" s="346">
        <v>3206</v>
      </c>
      <c r="DG11" s="346"/>
      <c r="DH11" s="346">
        <v>2018</v>
      </c>
      <c r="DI11" s="346">
        <v>14</v>
      </c>
      <c r="DJ11" s="346">
        <v>8</v>
      </c>
      <c r="DK11" s="346">
        <v>3</v>
      </c>
      <c r="DL11" s="346">
        <v>0</v>
      </c>
      <c r="DM11" s="346">
        <v>0</v>
      </c>
      <c r="DN11" s="346">
        <v>25</v>
      </c>
      <c r="DP11" s="349" t="s">
        <v>1483</v>
      </c>
      <c r="DQ11" s="349">
        <v>2018</v>
      </c>
      <c r="DR11" s="349">
        <v>391</v>
      </c>
      <c r="DS11" s="349">
        <v>388</v>
      </c>
      <c r="DT11" s="349">
        <v>528</v>
      </c>
      <c r="DU11" s="349">
        <v>479</v>
      </c>
      <c r="DV11" s="349">
        <v>386</v>
      </c>
      <c r="DW11" s="349">
        <v>2172</v>
      </c>
      <c r="DX11" s="349"/>
      <c r="DY11" s="349">
        <v>2018</v>
      </c>
      <c r="DZ11" s="349">
        <v>16</v>
      </c>
      <c r="EA11" s="349">
        <v>3</v>
      </c>
      <c r="EB11" s="349">
        <v>0</v>
      </c>
      <c r="EC11" s="349">
        <v>0</v>
      </c>
      <c r="ED11" s="349">
        <v>0</v>
      </c>
      <c r="EE11" s="349">
        <v>19</v>
      </c>
      <c r="EG11" s="237" t="s">
        <v>1080</v>
      </c>
      <c r="EH11" s="237">
        <v>2018</v>
      </c>
      <c r="EI11" s="237">
        <v>653</v>
      </c>
      <c r="EJ11" s="237">
        <v>838</v>
      </c>
      <c r="EK11" s="237">
        <v>1071</v>
      </c>
      <c r="EL11" s="237">
        <v>1120</v>
      </c>
      <c r="EM11" s="237">
        <v>1131</v>
      </c>
      <c r="EN11" s="237">
        <v>4813</v>
      </c>
      <c r="EO11" s="237"/>
      <c r="EP11" s="237">
        <v>2018</v>
      </c>
      <c r="EQ11" s="237">
        <v>125</v>
      </c>
      <c r="ER11" s="237">
        <v>70</v>
      </c>
      <c r="ES11" s="237">
        <v>58</v>
      </c>
      <c r="ET11" s="237">
        <v>78</v>
      </c>
      <c r="EU11" s="237">
        <v>54</v>
      </c>
      <c r="EV11" s="237">
        <v>385</v>
      </c>
      <c r="EX11" s="309" t="s">
        <v>1172</v>
      </c>
      <c r="EY11" s="309">
        <v>2018</v>
      </c>
      <c r="EZ11" s="309">
        <v>105</v>
      </c>
      <c r="FA11" s="309">
        <v>152</v>
      </c>
      <c r="FB11" s="309">
        <v>170</v>
      </c>
      <c r="FC11" s="309">
        <v>215</v>
      </c>
      <c r="FD11" s="309">
        <v>259</v>
      </c>
      <c r="FE11" s="309">
        <v>901</v>
      </c>
      <c r="FF11" s="309"/>
      <c r="FG11" s="309">
        <v>2018</v>
      </c>
      <c r="FH11" s="309">
        <v>23</v>
      </c>
      <c r="FI11" s="309">
        <v>12</v>
      </c>
      <c r="FJ11" s="309">
        <v>14</v>
      </c>
      <c r="FK11" s="309">
        <v>9</v>
      </c>
      <c r="FL11" s="309">
        <v>14</v>
      </c>
      <c r="FM11" s="309">
        <v>72</v>
      </c>
    </row>
    <row r="12" spans="1:169">
      <c r="A12" s="288" t="s">
        <v>654</v>
      </c>
      <c r="B12" s="288">
        <v>2018</v>
      </c>
      <c r="C12" s="288" t="s">
        <v>792</v>
      </c>
      <c r="D12" s="288" t="s">
        <v>792</v>
      </c>
      <c r="E12" s="288" t="s">
        <v>792</v>
      </c>
      <c r="F12" s="288" t="s">
        <v>792</v>
      </c>
      <c r="G12" s="288" t="s">
        <v>792</v>
      </c>
      <c r="H12" s="288" t="s">
        <v>792</v>
      </c>
      <c r="J12" s="288">
        <v>2018</v>
      </c>
      <c r="K12" s="288" t="s">
        <v>792</v>
      </c>
      <c r="L12" s="288" t="s">
        <v>792</v>
      </c>
      <c r="M12" s="288" t="s">
        <v>792</v>
      </c>
      <c r="N12" s="288" t="s">
        <v>792</v>
      </c>
      <c r="O12" s="288" t="s">
        <v>792</v>
      </c>
      <c r="P12" s="288" t="s">
        <v>792</v>
      </c>
      <c r="R12" s="289" t="s">
        <v>903</v>
      </c>
      <c r="S12" s="289">
        <v>2018</v>
      </c>
      <c r="T12" s="289">
        <v>891</v>
      </c>
      <c r="U12" s="289">
        <v>701</v>
      </c>
      <c r="V12" s="289">
        <v>884</v>
      </c>
      <c r="W12" s="289">
        <v>933</v>
      </c>
      <c r="X12" s="289">
        <v>655</v>
      </c>
      <c r="Y12" s="289">
        <v>4064</v>
      </c>
      <c r="Z12" s="289"/>
      <c r="AA12" s="289">
        <v>2018</v>
      </c>
      <c r="AB12" s="289">
        <v>32</v>
      </c>
      <c r="AC12" s="289">
        <v>3</v>
      </c>
      <c r="AD12" s="289">
        <v>0</v>
      </c>
      <c r="AE12" s="289">
        <v>0</v>
      </c>
      <c r="AF12" s="289">
        <v>0</v>
      </c>
      <c r="AG12" s="289">
        <v>35</v>
      </c>
      <c r="AI12" s="290" t="s">
        <v>405</v>
      </c>
      <c r="AJ12" s="290">
        <v>2018</v>
      </c>
      <c r="AK12" s="290">
        <v>606</v>
      </c>
      <c r="AL12" s="290">
        <v>682</v>
      </c>
      <c r="AM12" s="290">
        <v>865</v>
      </c>
      <c r="AN12" s="290">
        <v>989</v>
      </c>
      <c r="AO12" s="290">
        <v>619</v>
      </c>
      <c r="AP12" s="290">
        <v>3761</v>
      </c>
      <c r="AQ12" s="290"/>
      <c r="AR12" s="290">
        <v>2018</v>
      </c>
      <c r="AS12" s="290">
        <v>15</v>
      </c>
      <c r="AT12" s="290">
        <v>2</v>
      </c>
      <c r="AU12" s="290">
        <v>0</v>
      </c>
      <c r="AV12" s="290">
        <v>0</v>
      </c>
      <c r="AW12" s="290">
        <v>1</v>
      </c>
      <c r="AX12" s="290">
        <v>18</v>
      </c>
      <c r="AZ12" s="300" t="s">
        <v>87</v>
      </c>
      <c r="BA12" s="300">
        <v>2018</v>
      </c>
      <c r="BB12" s="300">
        <v>261</v>
      </c>
      <c r="BC12" s="300">
        <v>307</v>
      </c>
      <c r="BD12" s="300">
        <v>436</v>
      </c>
      <c r="BE12" s="300">
        <v>590</v>
      </c>
      <c r="BF12" s="300">
        <v>573</v>
      </c>
      <c r="BG12" s="300">
        <v>2167</v>
      </c>
      <c r="BH12" s="300"/>
      <c r="BI12" s="300">
        <v>2018</v>
      </c>
      <c r="BJ12" s="300">
        <v>23</v>
      </c>
      <c r="BK12" s="300">
        <v>0</v>
      </c>
      <c r="BL12" s="300">
        <v>0</v>
      </c>
      <c r="BM12" s="300">
        <v>0</v>
      </c>
      <c r="BN12" s="300">
        <v>0</v>
      </c>
      <c r="BO12" s="300">
        <v>23</v>
      </c>
      <c r="BQ12" s="309" t="s">
        <v>581</v>
      </c>
      <c r="BR12" s="309">
        <v>2018</v>
      </c>
      <c r="BS12" s="309">
        <v>106</v>
      </c>
      <c r="BT12" s="309">
        <v>47</v>
      </c>
      <c r="BU12" s="309">
        <v>119</v>
      </c>
      <c r="BV12" s="309">
        <v>148</v>
      </c>
      <c r="BW12" s="309">
        <v>255</v>
      </c>
      <c r="BX12" s="309">
        <v>675</v>
      </c>
      <c r="BY12" s="309"/>
      <c r="BZ12" s="309">
        <v>2018</v>
      </c>
      <c r="CA12" s="309">
        <v>20</v>
      </c>
      <c r="CB12" s="309">
        <v>0</v>
      </c>
      <c r="CC12" s="309">
        <v>0</v>
      </c>
      <c r="CD12" s="309">
        <v>0</v>
      </c>
      <c r="CE12" s="309">
        <v>0</v>
      </c>
      <c r="CF12" s="309">
        <v>20</v>
      </c>
      <c r="CH12" s="237" t="s">
        <v>271</v>
      </c>
      <c r="CI12" s="237">
        <v>2018</v>
      </c>
      <c r="CJ12" s="237">
        <v>81</v>
      </c>
      <c r="CK12" s="237">
        <v>47</v>
      </c>
      <c r="CL12" s="237">
        <v>91</v>
      </c>
      <c r="CM12" s="237">
        <v>140</v>
      </c>
      <c r="CN12" s="237">
        <v>120</v>
      </c>
      <c r="CO12" s="237">
        <v>479</v>
      </c>
      <c r="CP12" s="237"/>
      <c r="CQ12" s="237">
        <v>2018</v>
      </c>
      <c r="CR12" s="237">
        <v>17</v>
      </c>
      <c r="CS12" s="237">
        <v>0</v>
      </c>
      <c r="CT12" s="237">
        <v>0</v>
      </c>
      <c r="CU12" s="237">
        <v>0</v>
      </c>
      <c r="CV12" s="237">
        <v>0</v>
      </c>
      <c r="CW12" s="237">
        <v>17</v>
      </c>
      <c r="CY12" s="346" t="s">
        <v>871</v>
      </c>
      <c r="CZ12" s="346">
        <v>2018</v>
      </c>
      <c r="DA12" s="346">
        <v>505</v>
      </c>
      <c r="DB12" s="346">
        <v>679</v>
      </c>
      <c r="DC12" s="346">
        <v>763</v>
      </c>
      <c r="DD12" s="346">
        <v>868</v>
      </c>
      <c r="DE12" s="346">
        <v>761</v>
      </c>
      <c r="DF12" s="346">
        <v>3576</v>
      </c>
      <c r="DG12" s="346"/>
      <c r="DH12" s="346">
        <v>2018</v>
      </c>
      <c r="DI12" s="346">
        <v>17</v>
      </c>
      <c r="DJ12" s="346">
        <v>8</v>
      </c>
      <c r="DK12" s="346">
        <v>3</v>
      </c>
      <c r="DL12" s="346">
        <v>2</v>
      </c>
      <c r="DM12" s="346">
        <v>1</v>
      </c>
      <c r="DN12" s="346">
        <v>31</v>
      </c>
      <c r="DP12" s="349" t="s">
        <v>811</v>
      </c>
      <c r="DQ12" s="349">
        <v>2018</v>
      </c>
      <c r="DR12" s="349">
        <v>242</v>
      </c>
      <c r="DS12" s="349">
        <v>323</v>
      </c>
      <c r="DT12" s="349">
        <v>472</v>
      </c>
      <c r="DU12" s="349">
        <v>505</v>
      </c>
      <c r="DV12" s="349">
        <v>407</v>
      </c>
      <c r="DW12" s="349">
        <v>1949</v>
      </c>
      <c r="DX12" s="349"/>
      <c r="DY12" s="349">
        <v>2018</v>
      </c>
      <c r="DZ12" s="349">
        <v>16</v>
      </c>
      <c r="EA12" s="349">
        <v>0</v>
      </c>
      <c r="EB12" s="349">
        <v>0</v>
      </c>
      <c r="EC12" s="349">
        <v>0</v>
      </c>
      <c r="ED12" s="349">
        <v>0</v>
      </c>
      <c r="EE12" s="349">
        <v>16</v>
      </c>
      <c r="EG12" s="237" t="s">
        <v>1083</v>
      </c>
      <c r="EH12" s="237">
        <v>2018</v>
      </c>
      <c r="EI12" s="237" t="s">
        <v>792</v>
      </c>
      <c r="EJ12" s="237" t="s">
        <v>792</v>
      </c>
      <c r="EK12" s="237" t="s">
        <v>792</v>
      </c>
      <c r="EL12" s="237" t="s">
        <v>792</v>
      </c>
      <c r="EM12" s="237" t="s">
        <v>792</v>
      </c>
      <c r="EN12" s="237" t="s">
        <v>792</v>
      </c>
      <c r="EO12" s="237"/>
      <c r="EP12" s="237">
        <v>2018</v>
      </c>
      <c r="EQ12" s="237" t="s">
        <v>792</v>
      </c>
      <c r="ER12" s="237" t="s">
        <v>792</v>
      </c>
      <c r="ES12" s="237" t="s">
        <v>792</v>
      </c>
      <c r="ET12" s="237" t="s">
        <v>792</v>
      </c>
      <c r="EU12" s="237" t="s">
        <v>792</v>
      </c>
      <c r="EV12" s="237" t="s">
        <v>792</v>
      </c>
      <c r="EX12" s="309" t="s">
        <v>1173</v>
      </c>
      <c r="EY12" s="309">
        <v>2018</v>
      </c>
      <c r="EZ12" s="309">
        <v>247</v>
      </c>
      <c r="FA12" s="309">
        <v>276</v>
      </c>
      <c r="FB12" s="309">
        <v>285</v>
      </c>
      <c r="FC12" s="309">
        <v>355</v>
      </c>
      <c r="FD12" s="309">
        <v>429</v>
      </c>
      <c r="FE12" s="309">
        <v>1592</v>
      </c>
      <c r="FF12" s="309"/>
      <c r="FG12" s="309">
        <v>2018</v>
      </c>
      <c r="FH12" s="309">
        <v>83</v>
      </c>
      <c r="FI12" s="309">
        <v>3</v>
      </c>
      <c r="FJ12" s="309">
        <v>0</v>
      </c>
      <c r="FK12" s="309">
        <v>0</v>
      </c>
      <c r="FL12" s="309">
        <v>0</v>
      </c>
      <c r="FM12" s="309">
        <v>86</v>
      </c>
    </row>
    <row r="13" spans="1:169">
      <c r="A13" s="288" t="s">
        <v>656</v>
      </c>
      <c r="B13" s="288">
        <v>2018</v>
      </c>
      <c r="C13" s="288" t="s">
        <v>792</v>
      </c>
      <c r="D13" s="288" t="s">
        <v>792</v>
      </c>
      <c r="E13" s="288" t="s">
        <v>792</v>
      </c>
      <c r="F13" s="288" t="s">
        <v>792</v>
      </c>
      <c r="G13" s="288" t="s">
        <v>792</v>
      </c>
      <c r="H13" s="288" t="s">
        <v>792</v>
      </c>
      <c r="J13" s="288">
        <v>2018</v>
      </c>
      <c r="K13" s="288" t="s">
        <v>792</v>
      </c>
      <c r="L13" s="288" t="s">
        <v>792</v>
      </c>
      <c r="M13" s="288" t="s">
        <v>792</v>
      </c>
      <c r="N13" s="288" t="s">
        <v>792</v>
      </c>
      <c r="O13" s="288" t="s">
        <v>792</v>
      </c>
      <c r="P13" s="288" t="s">
        <v>792</v>
      </c>
      <c r="R13" s="289" t="s">
        <v>904</v>
      </c>
      <c r="S13" s="289">
        <v>2018</v>
      </c>
      <c r="T13" s="289">
        <v>668</v>
      </c>
      <c r="U13" s="289">
        <v>905</v>
      </c>
      <c r="V13" s="289">
        <v>1336</v>
      </c>
      <c r="W13" s="289">
        <v>1545</v>
      </c>
      <c r="X13" s="289">
        <v>927</v>
      </c>
      <c r="Y13" s="289">
        <v>5381</v>
      </c>
      <c r="Z13" s="289"/>
      <c r="AA13" s="289">
        <v>2018</v>
      </c>
      <c r="AB13" s="289">
        <v>25</v>
      </c>
      <c r="AC13" s="289">
        <v>6</v>
      </c>
      <c r="AD13" s="289">
        <v>3</v>
      </c>
      <c r="AE13" s="289">
        <v>1</v>
      </c>
      <c r="AF13" s="289">
        <v>0</v>
      </c>
      <c r="AG13" s="289">
        <v>35</v>
      </c>
      <c r="AI13" s="290" t="s">
        <v>406</v>
      </c>
      <c r="AJ13" s="290">
        <v>2018</v>
      </c>
      <c r="AK13" s="290">
        <v>576</v>
      </c>
      <c r="AL13" s="290">
        <v>571</v>
      </c>
      <c r="AM13" s="290">
        <v>628</v>
      </c>
      <c r="AN13" s="290">
        <v>728</v>
      </c>
      <c r="AO13" s="290">
        <v>552</v>
      </c>
      <c r="AP13" s="290">
        <v>3055</v>
      </c>
      <c r="AQ13" s="290"/>
      <c r="AR13" s="290">
        <v>2018</v>
      </c>
      <c r="AS13" s="290">
        <v>28</v>
      </c>
      <c r="AT13" s="290">
        <v>4</v>
      </c>
      <c r="AU13" s="290">
        <v>2</v>
      </c>
      <c r="AV13" s="290">
        <v>2</v>
      </c>
      <c r="AW13" s="290">
        <v>1</v>
      </c>
      <c r="AX13" s="290">
        <v>37</v>
      </c>
      <c r="AZ13" s="300" t="s">
        <v>88</v>
      </c>
      <c r="BA13" s="300">
        <v>2018</v>
      </c>
      <c r="BB13" s="300">
        <v>130</v>
      </c>
      <c r="BC13" s="300">
        <v>111</v>
      </c>
      <c r="BD13" s="300">
        <v>171</v>
      </c>
      <c r="BE13" s="300">
        <v>241</v>
      </c>
      <c r="BF13" s="300">
        <v>261</v>
      </c>
      <c r="BG13" s="300">
        <v>914</v>
      </c>
      <c r="BH13" s="300"/>
      <c r="BI13" s="300">
        <v>2018</v>
      </c>
      <c r="BJ13" s="300">
        <v>18</v>
      </c>
      <c r="BK13" s="300">
        <v>0</v>
      </c>
      <c r="BL13" s="300">
        <v>0</v>
      </c>
      <c r="BM13" s="300">
        <v>0</v>
      </c>
      <c r="BN13" s="300">
        <v>0</v>
      </c>
      <c r="BO13" s="300">
        <v>18</v>
      </c>
      <c r="BQ13" s="309" t="s">
        <v>584</v>
      </c>
      <c r="BR13" s="309">
        <v>2018</v>
      </c>
      <c r="BS13" s="309">
        <v>67</v>
      </c>
      <c r="BT13" s="309">
        <v>94</v>
      </c>
      <c r="BU13" s="309">
        <v>133</v>
      </c>
      <c r="BV13" s="309">
        <v>241</v>
      </c>
      <c r="BW13" s="309">
        <v>214</v>
      </c>
      <c r="BX13" s="309">
        <v>749</v>
      </c>
      <c r="BY13" s="309"/>
      <c r="BZ13" s="309">
        <v>2018</v>
      </c>
      <c r="CA13" s="309">
        <v>18</v>
      </c>
      <c r="CB13" s="309">
        <v>0</v>
      </c>
      <c r="CC13" s="309">
        <v>0</v>
      </c>
      <c r="CD13" s="309">
        <v>0</v>
      </c>
      <c r="CE13" s="309">
        <v>0</v>
      </c>
      <c r="CF13" s="309">
        <v>18</v>
      </c>
      <c r="CH13" s="237" t="s">
        <v>273</v>
      </c>
      <c r="CI13" s="237">
        <v>2018</v>
      </c>
      <c r="CJ13" s="237">
        <v>70</v>
      </c>
      <c r="CK13" s="237">
        <v>48</v>
      </c>
      <c r="CL13" s="237">
        <v>96</v>
      </c>
      <c r="CM13" s="237">
        <v>152</v>
      </c>
      <c r="CN13" s="237">
        <v>217</v>
      </c>
      <c r="CO13" s="237">
        <v>583</v>
      </c>
      <c r="CP13" s="237"/>
      <c r="CQ13" s="237">
        <v>2018</v>
      </c>
      <c r="CR13" s="237">
        <v>11</v>
      </c>
      <c r="CS13" s="237">
        <v>0</v>
      </c>
      <c r="CT13" s="237">
        <v>0</v>
      </c>
      <c r="CU13" s="237">
        <v>0</v>
      </c>
      <c r="CV13" s="237">
        <v>0</v>
      </c>
      <c r="CW13" s="237">
        <v>11</v>
      </c>
      <c r="CY13" s="346" t="s">
        <v>872</v>
      </c>
      <c r="CZ13" s="346">
        <v>2018</v>
      </c>
      <c r="DA13" s="346">
        <v>370</v>
      </c>
      <c r="DB13" s="346">
        <v>481</v>
      </c>
      <c r="DC13" s="346">
        <v>612</v>
      </c>
      <c r="DD13" s="346">
        <v>631</v>
      </c>
      <c r="DE13" s="346">
        <v>483</v>
      </c>
      <c r="DF13" s="346">
        <v>2577</v>
      </c>
      <c r="DG13" s="346"/>
      <c r="DH13" s="346">
        <v>2018</v>
      </c>
      <c r="DI13" s="346">
        <v>9</v>
      </c>
      <c r="DJ13" s="346">
        <v>14</v>
      </c>
      <c r="DK13" s="346">
        <v>6</v>
      </c>
      <c r="DL13" s="346">
        <v>2</v>
      </c>
      <c r="DM13" s="346">
        <v>2</v>
      </c>
      <c r="DN13" s="346">
        <v>33</v>
      </c>
      <c r="DP13" s="349" t="s">
        <v>813</v>
      </c>
      <c r="DQ13" s="349">
        <v>2018</v>
      </c>
      <c r="DR13" s="349">
        <v>155</v>
      </c>
      <c r="DS13" s="349">
        <v>251</v>
      </c>
      <c r="DT13" s="349">
        <v>406</v>
      </c>
      <c r="DU13" s="349">
        <v>539</v>
      </c>
      <c r="DV13" s="349">
        <v>515</v>
      </c>
      <c r="DW13" s="349">
        <v>1866</v>
      </c>
      <c r="DX13" s="349"/>
      <c r="DY13" s="349">
        <v>2018</v>
      </c>
      <c r="DZ13" s="349">
        <v>19</v>
      </c>
      <c r="EA13" s="349">
        <v>4</v>
      </c>
      <c r="EB13" s="349">
        <v>0</v>
      </c>
      <c r="EC13" s="349">
        <v>0</v>
      </c>
      <c r="ED13" s="349">
        <v>0</v>
      </c>
      <c r="EE13" s="349">
        <v>23</v>
      </c>
      <c r="EG13" s="237" t="s">
        <v>1086</v>
      </c>
      <c r="EH13" s="237">
        <v>2018</v>
      </c>
      <c r="EI13" s="237">
        <v>280</v>
      </c>
      <c r="EJ13" s="237">
        <v>345</v>
      </c>
      <c r="EK13" s="237">
        <v>389</v>
      </c>
      <c r="EL13" s="237">
        <v>439</v>
      </c>
      <c r="EM13" s="237">
        <v>620</v>
      </c>
      <c r="EN13" s="237">
        <v>2073</v>
      </c>
      <c r="EO13" s="237"/>
      <c r="EP13" s="237">
        <v>2018</v>
      </c>
      <c r="EQ13" s="237">
        <v>82</v>
      </c>
      <c r="ER13" s="237">
        <v>54</v>
      </c>
      <c r="ES13" s="237">
        <v>17</v>
      </c>
      <c r="ET13" s="237">
        <v>12</v>
      </c>
      <c r="EU13" s="237">
        <v>10</v>
      </c>
      <c r="EV13" s="237">
        <v>175</v>
      </c>
      <c r="EX13" s="309" t="s">
        <v>1174</v>
      </c>
      <c r="EY13" s="309">
        <v>2018</v>
      </c>
      <c r="EZ13" s="309">
        <v>327</v>
      </c>
      <c r="FA13" s="309">
        <v>380</v>
      </c>
      <c r="FB13" s="309">
        <v>399</v>
      </c>
      <c r="FC13" s="309">
        <v>483</v>
      </c>
      <c r="FD13" s="309">
        <v>640</v>
      </c>
      <c r="FE13" s="309">
        <v>2229</v>
      </c>
      <c r="FF13" s="309"/>
      <c r="FG13" s="309">
        <v>2018</v>
      </c>
      <c r="FH13" s="309">
        <v>68</v>
      </c>
      <c r="FI13" s="309">
        <v>12</v>
      </c>
      <c r="FJ13" s="309">
        <v>0</v>
      </c>
      <c r="FK13" s="309">
        <v>0</v>
      </c>
      <c r="FL13" s="309">
        <v>0</v>
      </c>
      <c r="FM13" s="309">
        <v>80</v>
      </c>
    </row>
    <row r="14" spans="1:169">
      <c r="A14" s="288" t="s">
        <v>658</v>
      </c>
      <c r="B14" s="288">
        <v>2018</v>
      </c>
      <c r="C14" s="288" t="s">
        <v>792</v>
      </c>
      <c r="D14" s="288" t="s">
        <v>792</v>
      </c>
      <c r="E14" s="288" t="s">
        <v>792</v>
      </c>
      <c r="F14" s="288" t="s">
        <v>792</v>
      </c>
      <c r="G14" s="288" t="s">
        <v>792</v>
      </c>
      <c r="H14" s="288" t="s">
        <v>792</v>
      </c>
      <c r="J14" s="288">
        <v>2018</v>
      </c>
      <c r="K14" s="288" t="s">
        <v>792</v>
      </c>
      <c r="L14" s="288" t="s">
        <v>792</v>
      </c>
      <c r="M14" s="288" t="s">
        <v>792</v>
      </c>
      <c r="N14" s="288" t="s">
        <v>792</v>
      </c>
      <c r="O14" s="288" t="s">
        <v>792</v>
      </c>
      <c r="P14" s="288" t="s">
        <v>792</v>
      </c>
      <c r="R14" s="289" t="s">
        <v>905</v>
      </c>
      <c r="S14" s="289">
        <v>2018</v>
      </c>
      <c r="T14" s="289">
        <v>705</v>
      </c>
      <c r="U14" s="289">
        <v>691</v>
      </c>
      <c r="V14" s="289">
        <v>956</v>
      </c>
      <c r="W14" s="289">
        <v>1073</v>
      </c>
      <c r="X14" s="289">
        <v>746</v>
      </c>
      <c r="Y14" s="289">
        <v>4171</v>
      </c>
      <c r="Z14" s="289"/>
      <c r="AA14" s="289">
        <v>2018</v>
      </c>
      <c r="AB14" s="289">
        <v>22</v>
      </c>
      <c r="AC14" s="289">
        <v>0</v>
      </c>
      <c r="AD14" s="289">
        <v>0</v>
      </c>
      <c r="AE14" s="289">
        <v>0</v>
      </c>
      <c r="AF14" s="289">
        <v>0</v>
      </c>
      <c r="AG14" s="289">
        <v>22</v>
      </c>
      <c r="AI14" s="290" t="s">
        <v>407</v>
      </c>
      <c r="AJ14" s="290">
        <v>2018</v>
      </c>
      <c r="AK14" s="290">
        <v>1170</v>
      </c>
      <c r="AL14" s="290">
        <v>469</v>
      </c>
      <c r="AM14" s="290">
        <v>594</v>
      </c>
      <c r="AN14" s="290">
        <v>609</v>
      </c>
      <c r="AO14" s="290">
        <v>501</v>
      </c>
      <c r="AP14" s="290">
        <v>3343</v>
      </c>
      <c r="AQ14" s="290"/>
      <c r="AR14" s="290">
        <v>2018</v>
      </c>
      <c r="AS14" s="290">
        <v>68</v>
      </c>
      <c r="AT14" s="290">
        <v>0</v>
      </c>
      <c r="AU14" s="290">
        <v>0</v>
      </c>
      <c r="AV14" s="290">
        <v>0</v>
      </c>
      <c r="AW14" s="290">
        <v>0</v>
      </c>
      <c r="AX14" s="290">
        <v>68</v>
      </c>
      <c r="AZ14" s="300" t="s">
        <v>89</v>
      </c>
      <c r="BA14" s="300">
        <v>2018</v>
      </c>
      <c r="BB14" s="300">
        <v>35</v>
      </c>
      <c r="BC14" s="300">
        <v>44</v>
      </c>
      <c r="BD14" s="300">
        <v>80</v>
      </c>
      <c r="BE14" s="300">
        <v>130</v>
      </c>
      <c r="BF14" s="300">
        <v>146</v>
      </c>
      <c r="BG14" s="300">
        <v>435</v>
      </c>
      <c r="BH14" s="300"/>
      <c r="BI14" s="300">
        <v>2018</v>
      </c>
      <c r="BJ14" s="300">
        <v>1</v>
      </c>
      <c r="BK14" s="300">
        <v>0</v>
      </c>
      <c r="BL14" s="300">
        <v>0</v>
      </c>
      <c r="BM14" s="300">
        <v>0</v>
      </c>
      <c r="BN14" s="300">
        <v>0</v>
      </c>
      <c r="BO14" s="300">
        <v>1</v>
      </c>
      <c r="BQ14" s="309" t="s">
        <v>587</v>
      </c>
      <c r="BR14" s="309">
        <v>2018</v>
      </c>
      <c r="BS14" s="309">
        <v>61</v>
      </c>
      <c r="BT14" s="309">
        <v>141</v>
      </c>
      <c r="BU14" s="309">
        <v>313</v>
      </c>
      <c r="BV14" s="309">
        <v>523</v>
      </c>
      <c r="BW14" s="309">
        <v>481</v>
      </c>
      <c r="BX14" s="309">
        <v>1519</v>
      </c>
      <c r="BY14" s="309"/>
      <c r="BZ14" s="309">
        <v>2018</v>
      </c>
      <c r="CA14" s="309">
        <v>10</v>
      </c>
      <c r="CB14" s="309">
        <v>0</v>
      </c>
      <c r="CC14" s="309">
        <v>0</v>
      </c>
      <c r="CD14" s="309">
        <v>0</v>
      </c>
      <c r="CE14" s="309">
        <v>0</v>
      </c>
      <c r="CF14" s="309">
        <v>10</v>
      </c>
      <c r="CH14" s="237" t="s">
        <v>224</v>
      </c>
      <c r="CI14" s="237">
        <v>2018</v>
      </c>
      <c r="CJ14" s="237">
        <v>295</v>
      </c>
      <c r="CK14" s="237">
        <v>95</v>
      </c>
      <c r="CL14" s="237">
        <v>185</v>
      </c>
      <c r="CM14" s="237">
        <v>226</v>
      </c>
      <c r="CN14" s="237">
        <v>332</v>
      </c>
      <c r="CO14" s="237">
        <v>1133</v>
      </c>
      <c r="CP14" s="237"/>
      <c r="CQ14" s="237">
        <v>2018</v>
      </c>
      <c r="CR14" s="237">
        <v>53</v>
      </c>
      <c r="CS14" s="237">
        <v>0</v>
      </c>
      <c r="CT14" s="237">
        <v>0</v>
      </c>
      <c r="CU14" s="237">
        <v>0</v>
      </c>
      <c r="CV14" s="237">
        <v>0</v>
      </c>
      <c r="CW14" s="237">
        <v>53</v>
      </c>
      <c r="DP14" s="349" t="s">
        <v>815</v>
      </c>
      <c r="DQ14" s="349">
        <v>2018</v>
      </c>
      <c r="DR14" s="349">
        <v>220</v>
      </c>
      <c r="DS14" s="349">
        <v>336</v>
      </c>
      <c r="DT14" s="349">
        <v>348</v>
      </c>
      <c r="DU14" s="349">
        <v>471</v>
      </c>
      <c r="DV14" s="349">
        <v>390</v>
      </c>
      <c r="DW14" s="349">
        <v>1765</v>
      </c>
      <c r="DX14" s="349"/>
      <c r="DY14" s="349">
        <v>2018</v>
      </c>
      <c r="DZ14" s="349">
        <v>13</v>
      </c>
      <c r="EA14" s="349">
        <v>3</v>
      </c>
      <c r="EB14" s="349">
        <v>0</v>
      </c>
      <c r="EC14" s="349">
        <v>0</v>
      </c>
      <c r="ED14" s="349">
        <v>0</v>
      </c>
      <c r="EE14" s="349">
        <v>16</v>
      </c>
      <c r="EG14" s="237" t="s">
        <v>1089</v>
      </c>
      <c r="EH14" s="237">
        <v>2018</v>
      </c>
      <c r="EI14" s="237" t="s">
        <v>792</v>
      </c>
      <c r="EJ14" s="237" t="s">
        <v>792</v>
      </c>
      <c r="EK14" s="237" t="s">
        <v>792</v>
      </c>
      <c r="EL14" s="237" t="s">
        <v>792</v>
      </c>
      <c r="EM14" s="237" t="s">
        <v>792</v>
      </c>
      <c r="EN14" s="237" t="s">
        <v>792</v>
      </c>
      <c r="EO14" s="237"/>
      <c r="EP14" s="237">
        <v>2018</v>
      </c>
      <c r="EQ14" s="237" t="s">
        <v>792</v>
      </c>
      <c r="ER14" s="237" t="s">
        <v>792</v>
      </c>
      <c r="ES14" s="237" t="s">
        <v>792</v>
      </c>
      <c r="ET14" s="237" t="s">
        <v>792</v>
      </c>
      <c r="EU14" s="237" t="s">
        <v>792</v>
      </c>
      <c r="EV14" s="237" t="s">
        <v>792</v>
      </c>
      <c r="EX14" s="309" t="s">
        <v>1870</v>
      </c>
      <c r="EY14" s="309">
        <v>2018</v>
      </c>
      <c r="EZ14" s="309" t="s">
        <v>792</v>
      </c>
      <c r="FA14" s="309" t="s">
        <v>792</v>
      </c>
      <c r="FB14" s="309" t="s">
        <v>792</v>
      </c>
      <c r="FC14" s="309" t="s">
        <v>792</v>
      </c>
      <c r="FD14" s="309" t="s">
        <v>792</v>
      </c>
      <c r="FE14" s="309" t="s">
        <v>792</v>
      </c>
      <c r="FF14" s="309"/>
      <c r="FG14" s="309">
        <v>2018</v>
      </c>
      <c r="FH14" s="309" t="s">
        <v>792</v>
      </c>
      <c r="FI14" s="309" t="s">
        <v>792</v>
      </c>
      <c r="FJ14" s="309" t="s">
        <v>792</v>
      </c>
      <c r="FK14" s="309" t="s">
        <v>792</v>
      </c>
      <c r="FL14" s="309" t="s">
        <v>792</v>
      </c>
      <c r="FM14" s="309" t="s">
        <v>792</v>
      </c>
    </row>
    <row r="15" spans="1:169">
      <c r="A15" s="288" t="s">
        <v>660</v>
      </c>
      <c r="B15" s="288">
        <v>2018</v>
      </c>
      <c r="C15" s="288" t="s">
        <v>792</v>
      </c>
      <c r="D15" s="288" t="s">
        <v>792</v>
      </c>
      <c r="E15" s="288" t="s">
        <v>792</v>
      </c>
      <c r="F15" s="288" t="s">
        <v>792</v>
      </c>
      <c r="G15" s="288" t="s">
        <v>792</v>
      </c>
      <c r="H15" s="288" t="s">
        <v>792</v>
      </c>
      <c r="J15" s="288">
        <v>2018</v>
      </c>
      <c r="K15" s="288" t="s">
        <v>792</v>
      </c>
      <c r="L15" s="288" t="s">
        <v>792</v>
      </c>
      <c r="M15" s="288" t="s">
        <v>792</v>
      </c>
      <c r="N15" s="288" t="s">
        <v>792</v>
      </c>
      <c r="O15" s="288" t="s">
        <v>792</v>
      </c>
      <c r="P15" s="288" t="s">
        <v>792</v>
      </c>
      <c r="R15" s="289" t="s">
        <v>906</v>
      </c>
      <c r="S15" s="289">
        <v>2018</v>
      </c>
      <c r="T15" s="289" t="s">
        <v>792</v>
      </c>
      <c r="U15" s="289" t="s">
        <v>792</v>
      </c>
      <c r="V15" s="289" t="s">
        <v>792</v>
      </c>
      <c r="W15" s="289" t="s">
        <v>792</v>
      </c>
      <c r="X15" s="289" t="s">
        <v>792</v>
      </c>
      <c r="Y15" s="289" t="s">
        <v>792</v>
      </c>
      <c r="Z15" s="289"/>
      <c r="AA15" s="289">
        <v>2018</v>
      </c>
      <c r="AB15" s="289" t="s">
        <v>792</v>
      </c>
      <c r="AC15" s="289" t="s">
        <v>792</v>
      </c>
      <c r="AD15" s="289" t="s">
        <v>792</v>
      </c>
      <c r="AE15" s="289" t="s">
        <v>792</v>
      </c>
      <c r="AF15" s="289" t="s">
        <v>792</v>
      </c>
      <c r="AG15" s="289" t="s">
        <v>792</v>
      </c>
      <c r="AI15" s="290" t="s">
        <v>408</v>
      </c>
      <c r="AJ15" s="290">
        <v>2018</v>
      </c>
      <c r="AK15" s="290">
        <v>360</v>
      </c>
      <c r="AL15" s="290">
        <v>400</v>
      </c>
      <c r="AM15" s="290">
        <v>578</v>
      </c>
      <c r="AN15" s="290">
        <v>791</v>
      </c>
      <c r="AO15" s="290">
        <v>664</v>
      </c>
      <c r="AP15" s="290">
        <v>2793</v>
      </c>
      <c r="AQ15" s="290"/>
      <c r="AR15" s="290">
        <v>2018</v>
      </c>
      <c r="AS15" s="290">
        <v>30</v>
      </c>
      <c r="AT15" s="290">
        <v>2</v>
      </c>
      <c r="AU15" s="290">
        <v>2</v>
      </c>
      <c r="AV15" s="290">
        <v>0</v>
      </c>
      <c r="AW15" s="290">
        <v>0</v>
      </c>
      <c r="AX15" s="290">
        <v>34</v>
      </c>
      <c r="AZ15" s="300" t="s">
        <v>90</v>
      </c>
      <c r="BA15" s="300">
        <v>2018</v>
      </c>
      <c r="BB15" s="300">
        <v>204</v>
      </c>
      <c r="BC15" s="300">
        <v>274</v>
      </c>
      <c r="BD15" s="300">
        <v>420</v>
      </c>
      <c r="BE15" s="300">
        <v>629</v>
      </c>
      <c r="BF15" s="300">
        <v>645</v>
      </c>
      <c r="BG15" s="300">
        <v>2172</v>
      </c>
      <c r="BH15" s="300"/>
      <c r="BI15" s="300">
        <v>2018</v>
      </c>
      <c r="BJ15" s="300">
        <v>36</v>
      </c>
      <c r="BK15" s="300">
        <v>0</v>
      </c>
      <c r="BL15" s="300">
        <v>0</v>
      </c>
      <c r="BM15" s="300">
        <v>0</v>
      </c>
      <c r="BN15" s="300">
        <v>0</v>
      </c>
      <c r="BO15" s="300">
        <v>36</v>
      </c>
      <c r="BQ15" s="309" t="s">
        <v>590</v>
      </c>
      <c r="BR15" s="309">
        <v>2018</v>
      </c>
      <c r="BS15" s="309">
        <v>147</v>
      </c>
      <c r="BT15" s="309">
        <v>211</v>
      </c>
      <c r="BU15" s="309">
        <v>434</v>
      </c>
      <c r="BV15" s="309">
        <v>618</v>
      </c>
      <c r="BW15" s="309">
        <v>633</v>
      </c>
      <c r="BX15" s="309">
        <v>2043</v>
      </c>
      <c r="BY15" s="309"/>
      <c r="BZ15" s="309">
        <v>2018</v>
      </c>
      <c r="CA15" s="309">
        <v>17</v>
      </c>
      <c r="CB15" s="309">
        <v>0</v>
      </c>
      <c r="CC15" s="309">
        <v>0</v>
      </c>
      <c r="CD15" s="309">
        <v>0</v>
      </c>
      <c r="CE15" s="309">
        <v>0</v>
      </c>
      <c r="CF15" s="309">
        <v>17</v>
      </c>
      <c r="CH15" s="237" t="s">
        <v>216</v>
      </c>
      <c r="CI15" s="237">
        <v>2018</v>
      </c>
      <c r="CJ15" s="237">
        <v>219</v>
      </c>
      <c r="CK15" s="237">
        <v>211</v>
      </c>
      <c r="CL15" s="237">
        <v>315</v>
      </c>
      <c r="CM15" s="237">
        <v>384</v>
      </c>
      <c r="CN15" s="237">
        <v>313</v>
      </c>
      <c r="CO15" s="237">
        <v>1442</v>
      </c>
      <c r="CP15" s="237"/>
      <c r="CQ15" s="237">
        <v>2018</v>
      </c>
      <c r="CR15" s="237">
        <v>35</v>
      </c>
      <c r="CS15" s="237">
        <v>0</v>
      </c>
      <c r="CT15" s="237">
        <v>0</v>
      </c>
      <c r="CU15" s="237">
        <v>0</v>
      </c>
      <c r="CV15" s="237">
        <v>0</v>
      </c>
      <c r="CW15" s="237">
        <v>35</v>
      </c>
      <c r="CY15" s="346" t="s">
        <v>866</v>
      </c>
      <c r="CZ15" s="346">
        <v>2019</v>
      </c>
      <c r="DA15" s="346">
        <v>414</v>
      </c>
      <c r="DB15" s="346">
        <v>552</v>
      </c>
      <c r="DC15" s="346">
        <v>670</v>
      </c>
      <c r="DD15" s="346">
        <v>651</v>
      </c>
      <c r="DE15" s="346">
        <v>490</v>
      </c>
      <c r="DF15" s="346">
        <v>2777</v>
      </c>
      <c r="DG15" s="346"/>
      <c r="DH15" s="346">
        <v>2019</v>
      </c>
      <c r="DI15" s="346">
        <v>35</v>
      </c>
      <c r="DJ15" s="346">
        <v>9</v>
      </c>
      <c r="DK15" s="346">
        <v>2</v>
      </c>
      <c r="DL15" s="346">
        <v>0</v>
      </c>
      <c r="DM15" s="346">
        <v>0</v>
      </c>
      <c r="DN15" s="346">
        <v>46</v>
      </c>
      <c r="DP15" s="349" t="s">
        <v>817</v>
      </c>
      <c r="DQ15" s="349">
        <v>2018</v>
      </c>
      <c r="DR15" s="349">
        <v>123</v>
      </c>
      <c r="DS15" s="349">
        <v>197</v>
      </c>
      <c r="DT15" s="349">
        <v>260</v>
      </c>
      <c r="DU15" s="349">
        <v>339</v>
      </c>
      <c r="DV15" s="349">
        <v>288</v>
      </c>
      <c r="DW15" s="349">
        <v>1207</v>
      </c>
      <c r="DX15" s="349"/>
      <c r="DY15" s="349">
        <v>2018</v>
      </c>
      <c r="DZ15" s="349">
        <v>12</v>
      </c>
      <c r="EA15" s="349">
        <v>4</v>
      </c>
      <c r="EB15" s="349">
        <v>0</v>
      </c>
      <c r="EC15" s="349">
        <v>0</v>
      </c>
      <c r="ED15" s="349">
        <v>0</v>
      </c>
      <c r="EE15" s="349">
        <v>16</v>
      </c>
      <c r="EG15" s="237" t="s">
        <v>1092</v>
      </c>
      <c r="EH15" s="237">
        <v>2018</v>
      </c>
      <c r="EI15" s="237">
        <v>473</v>
      </c>
      <c r="EJ15" s="237">
        <v>683</v>
      </c>
      <c r="EK15" s="237">
        <v>731</v>
      </c>
      <c r="EL15" s="237">
        <v>897</v>
      </c>
      <c r="EM15" s="237">
        <v>1108</v>
      </c>
      <c r="EN15" s="237">
        <v>3892</v>
      </c>
      <c r="EO15" s="237"/>
      <c r="EP15" s="237">
        <v>2018</v>
      </c>
      <c r="EQ15" s="237">
        <v>102</v>
      </c>
      <c r="ER15" s="237">
        <v>59</v>
      </c>
      <c r="ES15" s="237">
        <v>35</v>
      </c>
      <c r="ET15" s="237">
        <v>53</v>
      </c>
      <c r="EU15" s="237">
        <v>56</v>
      </c>
      <c r="EV15" s="237">
        <v>305</v>
      </c>
      <c r="EX15" s="309" t="s">
        <v>1175</v>
      </c>
      <c r="EY15" s="309">
        <v>2018</v>
      </c>
      <c r="EZ15" s="309">
        <v>1842</v>
      </c>
      <c r="FA15" s="309">
        <v>1412</v>
      </c>
      <c r="FB15" s="309">
        <v>1055</v>
      </c>
      <c r="FC15" s="309">
        <v>881</v>
      </c>
      <c r="FD15" s="309">
        <v>974</v>
      </c>
      <c r="FE15" s="309">
        <v>6164</v>
      </c>
      <c r="FF15" s="309"/>
      <c r="FG15" s="309">
        <v>2018</v>
      </c>
      <c r="FH15" s="309">
        <v>201</v>
      </c>
      <c r="FI15" s="309">
        <v>80</v>
      </c>
      <c r="FJ15" s="309">
        <v>0</v>
      </c>
      <c r="FK15" s="309">
        <v>0</v>
      </c>
      <c r="FL15" s="309">
        <v>0</v>
      </c>
      <c r="FM15" s="309">
        <v>281</v>
      </c>
    </row>
    <row r="16" spans="1:169">
      <c r="A16" s="288" t="s">
        <v>662</v>
      </c>
      <c r="B16" s="288">
        <v>2018</v>
      </c>
      <c r="C16" s="288">
        <v>28</v>
      </c>
      <c r="D16" s="288">
        <v>0</v>
      </c>
      <c r="E16" s="288">
        <v>0</v>
      </c>
      <c r="F16" s="288">
        <v>0</v>
      </c>
      <c r="G16" s="288">
        <v>0</v>
      </c>
      <c r="H16" s="288">
        <v>28</v>
      </c>
      <c r="J16" s="288">
        <v>2018</v>
      </c>
      <c r="K16" s="288">
        <v>1064</v>
      </c>
      <c r="L16" s="288">
        <v>873</v>
      </c>
      <c r="M16" s="288">
        <v>1060</v>
      </c>
      <c r="N16" s="288">
        <v>1226</v>
      </c>
      <c r="O16" s="288">
        <v>960</v>
      </c>
      <c r="P16" s="288">
        <v>5183</v>
      </c>
      <c r="R16" s="289" t="s">
        <v>907</v>
      </c>
      <c r="S16" s="289">
        <v>2018</v>
      </c>
      <c r="T16" s="289" t="s">
        <v>792</v>
      </c>
      <c r="U16" s="289" t="s">
        <v>792</v>
      </c>
      <c r="V16" s="289" t="s">
        <v>792</v>
      </c>
      <c r="W16" s="289" t="s">
        <v>792</v>
      </c>
      <c r="X16" s="289" t="s">
        <v>792</v>
      </c>
      <c r="Y16" s="289" t="s">
        <v>792</v>
      </c>
      <c r="Z16" s="289"/>
      <c r="AA16" s="289">
        <v>2018</v>
      </c>
      <c r="AB16" s="289" t="s">
        <v>792</v>
      </c>
      <c r="AC16" s="289" t="s">
        <v>792</v>
      </c>
      <c r="AD16" s="289" t="s">
        <v>792</v>
      </c>
      <c r="AE16" s="289" t="s">
        <v>792</v>
      </c>
      <c r="AF16" s="289" t="s">
        <v>792</v>
      </c>
      <c r="AG16" s="289" t="s">
        <v>792</v>
      </c>
      <c r="AI16" s="290" t="s">
        <v>409</v>
      </c>
      <c r="AJ16" s="290">
        <v>2018</v>
      </c>
      <c r="AK16" s="290">
        <v>502</v>
      </c>
      <c r="AL16" s="290">
        <v>928</v>
      </c>
      <c r="AM16" s="290">
        <v>1521</v>
      </c>
      <c r="AN16" s="290">
        <v>1880</v>
      </c>
      <c r="AO16" s="290">
        <v>1207</v>
      </c>
      <c r="AP16" s="290">
        <v>6038</v>
      </c>
      <c r="AQ16" s="290"/>
      <c r="AR16" s="290">
        <v>2018</v>
      </c>
      <c r="AS16" s="290">
        <v>27</v>
      </c>
      <c r="AT16" s="290">
        <v>7</v>
      </c>
      <c r="AU16" s="290">
        <v>1</v>
      </c>
      <c r="AV16" s="290">
        <v>0</v>
      </c>
      <c r="AW16" s="290">
        <v>0</v>
      </c>
      <c r="AX16" s="290">
        <v>35</v>
      </c>
      <c r="AZ16" s="300" t="s">
        <v>183</v>
      </c>
      <c r="BA16" s="300">
        <v>2018</v>
      </c>
      <c r="BB16" s="300" t="s">
        <v>792</v>
      </c>
      <c r="BC16" s="300" t="s">
        <v>792</v>
      </c>
      <c r="BD16" s="300" t="s">
        <v>792</v>
      </c>
      <c r="BE16" s="300" t="s">
        <v>792</v>
      </c>
      <c r="BF16" s="300" t="s">
        <v>792</v>
      </c>
      <c r="BG16" s="300" t="s">
        <v>792</v>
      </c>
      <c r="BH16" s="300"/>
      <c r="BI16" s="300">
        <v>2018</v>
      </c>
      <c r="BJ16" s="300" t="s">
        <v>792</v>
      </c>
      <c r="BK16" s="300" t="s">
        <v>792</v>
      </c>
      <c r="BL16" s="300" t="s">
        <v>792</v>
      </c>
      <c r="BM16" s="300" t="s">
        <v>792</v>
      </c>
      <c r="BN16" s="300" t="s">
        <v>792</v>
      </c>
      <c r="BO16" s="300" t="s">
        <v>792</v>
      </c>
      <c r="BQ16" s="309" t="s">
        <v>593</v>
      </c>
      <c r="BR16" s="309">
        <v>2018</v>
      </c>
      <c r="BS16" s="309">
        <v>31</v>
      </c>
      <c r="BT16" s="309">
        <v>66</v>
      </c>
      <c r="BU16" s="309">
        <v>161</v>
      </c>
      <c r="BV16" s="309">
        <v>242</v>
      </c>
      <c r="BW16" s="309">
        <v>312</v>
      </c>
      <c r="BX16" s="309">
        <v>812</v>
      </c>
      <c r="BY16" s="309"/>
      <c r="BZ16" s="309">
        <v>2018</v>
      </c>
      <c r="CA16" s="309">
        <v>3</v>
      </c>
      <c r="CB16" s="309">
        <v>0</v>
      </c>
      <c r="CC16" s="309">
        <v>0</v>
      </c>
      <c r="CD16" s="309">
        <v>0</v>
      </c>
      <c r="CE16" s="309">
        <v>0</v>
      </c>
      <c r="CF16" s="309">
        <v>3</v>
      </c>
      <c r="CH16" s="237" t="s">
        <v>220</v>
      </c>
      <c r="CI16" s="237">
        <v>2018</v>
      </c>
      <c r="CJ16" s="237">
        <v>205</v>
      </c>
      <c r="CK16" s="237">
        <v>164</v>
      </c>
      <c r="CL16" s="237">
        <v>314</v>
      </c>
      <c r="CM16" s="237">
        <v>433</v>
      </c>
      <c r="CN16" s="237">
        <v>349</v>
      </c>
      <c r="CO16" s="237">
        <v>1465</v>
      </c>
      <c r="CP16" s="237"/>
      <c r="CQ16" s="237">
        <v>2018</v>
      </c>
      <c r="CR16" s="237">
        <v>22</v>
      </c>
      <c r="CS16" s="237">
        <v>0</v>
      </c>
      <c r="CT16" s="237">
        <v>0</v>
      </c>
      <c r="CU16" s="237">
        <v>0</v>
      </c>
      <c r="CV16" s="237">
        <v>0</v>
      </c>
      <c r="CW16" s="237">
        <v>22</v>
      </c>
      <c r="CY16" s="346" t="s">
        <v>877</v>
      </c>
      <c r="CZ16" s="346">
        <v>2019</v>
      </c>
      <c r="DA16" s="346">
        <v>105</v>
      </c>
      <c r="DB16" s="346">
        <v>168</v>
      </c>
      <c r="DC16" s="346">
        <v>177</v>
      </c>
      <c r="DD16" s="346">
        <v>253</v>
      </c>
      <c r="DE16" s="346">
        <v>210</v>
      </c>
      <c r="DF16" s="346">
        <v>913</v>
      </c>
      <c r="DG16" s="346"/>
      <c r="DH16" s="346">
        <v>2019</v>
      </c>
      <c r="DI16" s="346">
        <v>15</v>
      </c>
      <c r="DJ16" s="346">
        <v>4</v>
      </c>
      <c r="DK16" s="346">
        <v>0</v>
      </c>
      <c r="DL16" s="346">
        <v>0</v>
      </c>
      <c r="DM16" s="346">
        <v>0</v>
      </c>
      <c r="DN16" s="346">
        <v>19</v>
      </c>
      <c r="DP16" s="349" t="s">
        <v>819</v>
      </c>
      <c r="DQ16" s="349">
        <v>2018</v>
      </c>
      <c r="DR16" s="349">
        <v>166</v>
      </c>
      <c r="DS16" s="349">
        <v>277</v>
      </c>
      <c r="DT16" s="349">
        <v>430</v>
      </c>
      <c r="DU16" s="349">
        <v>605</v>
      </c>
      <c r="DV16" s="349">
        <v>517</v>
      </c>
      <c r="DW16" s="349">
        <v>1995</v>
      </c>
      <c r="DX16" s="349"/>
      <c r="DY16" s="349">
        <v>2018</v>
      </c>
      <c r="DZ16" s="349">
        <v>17</v>
      </c>
      <c r="EA16" s="349">
        <v>0</v>
      </c>
      <c r="EB16" s="349">
        <v>0</v>
      </c>
      <c r="EC16" s="349">
        <v>0</v>
      </c>
      <c r="ED16" s="349">
        <v>0</v>
      </c>
      <c r="EE16" s="349">
        <v>17</v>
      </c>
      <c r="EG16" s="237" t="s">
        <v>1095</v>
      </c>
      <c r="EH16" s="237">
        <v>2018</v>
      </c>
      <c r="EI16" s="237">
        <v>335</v>
      </c>
      <c r="EJ16" s="237">
        <v>548</v>
      </c>
      <c r="EK16" s="237">
        <v>603</v>
      </c>
      <c r="EL16" s="237">
        <v>697</v>
      </c>
      <c r="EM16" s="237">
        <v>934</v>
      </c>
      <c r="EN16" s="237">
        <v>3117</v>
      </c>
      <c r="EO16" s="237"/>
      <c r="EP16" s="237">
        <v>2018</v>
      </c>
      <c r="EQ16" s="237">
        <v>90</v>
      </c>
      <c r="ER16" s="237">
        <v>71</v>
      </c>
      <c r="ES16" s="237">
        <v>34</v>
      </c>
      <c r="ET16" s="237">
        <v>38</v>
      </c>
      <c r="EU16" s="237">
        <v>44</v>
      </c>
      <c r="EV16" s="237">
        <v>277</v>
      </c>
      <c r="EX16" s="309" t="s">
        <v>1177</v>
      </c>
      <c r="EY16" s="309">
        <v>2018</v>
      </c>
      <c r="EZ16" s="309">
        <v>388</v>
      </c>
      <c r="FA16" s="309">
        <v>630</v>
      </c>
      <c r="FB16" s="309">
        <v>738</v>
      </c>
      <c r="FC16" s="309">
        <v>726</v>
      </c>
      <c r="FD16" s="309">
        <v>813</v>
      </c>
      <c r="FE16" s="309">
        <v>3295</v>
      </c>
      <c r="FF16" s="309"/>
      <c r="FG16" s="309">
        <v>2018</v>
      </c>
      <c r="FH16" s="309">
        <v>29</v>
      </c>
      <c r="FI16" s="309">
        <v>1</v>
      </c>
      <c r="FJ16" s="309">
        <v>0</v>
      </c>
      <c r="FK16" s="309">
        <v>0</v>
      </c>
      <c r="FL16" s="309">
        <v>0</v>
      </c>
      <c r="FM16" s="309">
        <v>30</v>
      </c>
    </row>
    <row r="17" spans="1:169">
      <c r="A17" s="288" t="s">
        <v>665</v>
      </c>
      <c r="B17" s="288">
        <v>2018</v>
      </c>
      <c r="C17" s="288">
        <v>22</v>
      </c>
      <c r="D17" s="288">
        <v>0</v>
      </c>
      <c r="E17" s="288">
        <v>0</v>
      </c>
      <c r="F17" s="288">
        <v>0</v>
      </c>
      <c r="G17" s="288">
        <v>0</v>
      </c>
      <c r="H17" s="288">
        <v>22</v>
      </c>
      <c r="J17" s="288">
        <v>2018</v>
      </c>
      <c r="K17" s="288">
        <v>592</v>
      </c>
      <c r="L17" s="288">
        <v>686</v>
      </c>
      <c r="M17" s="288">
        <v>837</v>
      </c>
      <c r="N17" s="288">
        <v>903</v>
      </c>
      <c r="O17" s="288">
        <v>660</v>
      </c>
      <c r="P17" s="288">
        <v>3678</v>
      </c>
      <c r="R17" s="289" t="s">
        <v>1261</v>
      </c>
      <c r="S17" s="289">
        <v>2018</v>
      </c>
      <c r="T17" s="289" t="s">
        <v>792</v>
      </c>
      <c r="U17" s="289" t="s">
        <v>792</v>
      </c>
      <c r="V17" s="289" t="s">
        <v>792</v>
      </c>
      <c r="W17" s="289" t="s">
        <v>792</v>
      </c>
      <c r="X17" s="289" t="s">
        <v>792</v>
      </c>
      <c r="Y17" s="289" t="s">
        <v>792</v>
      </c>
      <c r="Z17" s="289"/>
      <c r="AA17" s="289">
        <v>2018</v>
      </c>
      <c r="AB17" s="289" t="s">
        <v>792</v>
      </c>
      <c r="AC17" s="289" t="s">
        <v>792</v>
      </c>
      <c r="AD17" s="289" t="s">
        <v>792</v>
      </c>
      <c r="AE17" s="289" t="s">
        <v>792</v>
      </c>
      <c r="AF17" s="289" t="s">
        <v>792</v>
      </c>
      <c r="AG17" s="289" t="s">
        <v>792</v>
      </c>
      <c r="AI17" s="290" t="s">
        <v>410</v>
      </c>
      <c r="AJ17" s="290">
        <v>2018</v>
      </c>
      <c r="AK17" s="290">
        <v>238</v>
      </c>
      <c r="AL17" s="290">
        <v>385</v>
      </c>
      <c r="AM17" s="290">
        <v>771</v>
      </c>
      <c r="AN17" s="290">
        <v>992</v>
      </c>
      <c r="AO17" s="290">
        <v>743</v>
      </c>
      <c r="AP17" s="290">
        <v>3129</v>
      </c>
      <c r="AQ17" s="290"/>
      <c r="AR17" s="290">
        <v>2018</v>
      </c>
      <c r="AS17" s="290">
        <v>18</v>
      </c>
      <c r="AT17" s="290">
        <v>3</v>
      </c>
      <c r="AU17" s="290">
        <v>1</v>
      </c>
      <c r="AV17" s="290">
        <v>1</v>
      </c>
      <c r="AW17" s="290">
        <v>0</v>
      </c>
      <c r="AX17" s="290">
        <v>23</v>
      </c>
      <c r="AZ17" s="300" t="s">
        <v>92</v>
      </c>
      <c r="BA17" s="300">
        <v>2018</v>
      </c>
      <c r="BB17" s="300">
        <v>933</v>
      </c>
      <c r="BC17" s="300">
        <v>476</v>
      </c>
      <c r="BD17" s="300">
        <v>721</v>
      </c>
      <c r="BE17" s="300">
        <v>971</v>
      </c>
      <c r="BF17" s="300">
        <v>925</v>
      </c>
      <c r="BG17" s="300">
        <v>4026</v>
      </c>
      <c r="BH17" s="300"/>
      <c r="BI17" s="300">
        <v>2018</v>
      </c>
      <c r="BJ17" s="300">
        <v>217</v>
      </c>
      <c r="BK17" s="300">
        <v>0</v>
      </c>
      <c r="BL17" s="300">
        <v>0</v>
      </c>
      <c r="BM17" s="300">
        <v>0</v>
      </c>
      <c r="BN17" s="300">
        <v>0</v>
      </c>
      <c r="BO17" s="300">
        <v>217</v>
      </c>
      <c r="BQ17" s="309" t="s">
        <v>596</v>
      </c>
      <c r="BR17" s="309">
        <v>2018</v>
      </c>
      <c r="BS17" s="309">
        <v>259</v>
      </c>
      <c r="BT17" s="309">
        <v>216</v>
      </c>
      <c r="BU17" s="309">
        <v>322</v>
      </c>
      <c r="BV17" s="309">
        <v>403</v>
      </c>
      <c r="BW17" s="309">
        <v>395</v>
      </c>
      <c r="BX17" s="309">
        <v>1595</v>
      </c>
      <c r="BY17" s="309"/>
      <c r="BZ17" s="309">
        <v>2018</v>
      </c>
      <c r="CA17" s="309">
        <v>60</v>
      </c>
      <c r="CB17" s="309">
        <v>0</v>
      </c>
      <c r="CC17" s="309">
        <v>0</v>
      </c>
      <c r="CD17" s="309">
        <v>0</v>
      </c>
      <c r="CE17" s="309">
        <v>0</v>
      </c>
      <c r="CF17" s="309">
        <v>60</v>
      </c>
      <c r="CH17" s="237" t="s">
        <v>222</v>
      </c>
      <c r="CI17" s="237">
        <v>2018</v>
      </c>
      <c r="CJ17" s="237" t="s">
        <v>792</v>
      </c>
      <c r="CK17" s="237" t="s">
        <v>792</v>
      </c>
      <c r="CL17" s="237" t="s">
        <v>792</v>
      </c>
      <c r="CM17" s="237" t="s">
        <v>792</v>
      </c>
      <c r="CN17" s="237" t="s">
        <v>792</v>
      </c>
      <c r="CO17" s="237" t="s">
        <v>792</v>
      </c>
      <c r="CP17" s="237"/>
      <c r="CQ17" s="237">
        <v>2018</v>
      </c>
      <c r="CR17" s="237" t="s">
        <v>792</v>
      </c>
      <c r="CS17" s="237" t="s">
        <v>792</v>
      </c>
      <c r="CT17" s="237" t="s">
        <v>792</v>
      </c>
      <c r="CU17" s="237" t="s">
        <v>792</v>
      </c>
      <c r="CV17" s="237" t="s">
        <v>792</v>
      </c>
      <c r="CW17" s="237" t="s">
        <v>792</v>
      </c>
      <c r="CY17" s="346" t="s">
        <v>873</v>
      </c>
      <c r="CZ17" s="346">
        <v>2019</v>
      </c>
      <c r="DA17" s="346">
        <v>1073</v>
      </c>
      <c r="DB17" s="346">
        <v>1141</v>
      </c>
      <c r="DC17" s="346">
        <v>1116</v>
      </c>
      <c r="DD17" s="346">
        <v>1361</v>
      </c>
      <c r="DE17" s="346">
        <v>1176</v>
      </c>
      <c r="DF17" s="346">
        <v>5867</v>
      </c>
      <c r="DG17" s="346"/>
      <c r="DH17" s="346">
        <v>2019</v>
      </c>
      <c r="DI17" s="346">
        <v>95</v>
      </c>
      <c r="DJ17" s="346">
        <v>59</v>
      </c>
      <c r="DK17" s="346">
        <v>13</v>
      </c>
      <c r="DL17" s="346">
        <v>6</v>
      </c>
      <c r="DM17" s="346">
        <v>5</v>
      </c>
      <c r="DN17" s="346">
        <v>178</v>
      </c>
      <c r="DP17" s="349" t="s">
        <v>821</v>
      </c>
      <c r="DQ17" s="349">
        <v>2018</v>
      </c>
      <c r="DR17" s="349">
        <v>184</v>
      </c>
      <c r="DS17" s="349">
        <v>127</v>
      </c>
      <c r="DT17" s="349">
        <v>152</v>
      </c>
      <c r="DU17" s="349">
        <v>191</v>
      </c>
      <c r="DV17" s="349">
        <v>197</v>
      </c>
      <c r="DW17" s="349">
        <v>85</v>
      </c>
      <c r="DX17" s="349"/>
      <c r="DY17" s="349">
        <v>2018</v>
      </c>
      <c r="DZ17" s="349">
        <v>8</v>
      </c>
      <c r="EA17" s="349">
        <v>0</v>
      </c>
      <c r="EB17" s="349">
        <v>0</v>
      </c>
      <c r="EC17" s="349">
        <v>0</v>
      </c>
      <c r="ED17" s="349">
        <v>0</v>
      </c>
      <c r="EE17" s="349">
        <v>8</v>
      </c>
      <c r="EG17" s="237" t="s">
        <v>1098</v>
      </c>
      <c r="EH17" s="237">
        <v>2018</v>
      </c>
      <c r="EI17" s="237">
        <v>339</v>
      </c>
      <c r="EJ17" s="237">
        <v>332</v>
      </c>
      <c r="EK17" s="237">
        <v>379</v>
      </c>
      <c r="EL17" s="237">
        <v>450</v>
      </c>
      <c r="EM17" s="237">
        <v>597</v>
      </c>
      <c r="EN17" s="237">
        <v>2097</v>
      </c>
      <c r="EO17" s="237"/>
      <c r="EP17" s="237">
        <v>2018</v>
      </c>
      <c r="EQ17" s="237">
        <v>38</v>
      </c>
      <c r="ER17" s="237">
        <v>7</v>
      </c>
      <c r="ES17" s="237">
        <v>5</v>
      </c>
      <c r="ET17" s="237">
        <v>7</v>
      </c>
      <c r="EU17" s="237">
        <v>4</v>
      </c>
      <c r="EV17" s="237">
        <v>61</v>
      </c>
      <c r="EX17" s="309" t="s">
        <v>1178</v>
      </c>
      <c r="EY17" s="309">
        <v>2018</v>
      </c>
      <c r="EZ17" s="309">
        <v>263</v>
      </c>
      <c r="FA17" s="309">
        <v>534</v>
      </c>
      <c r="FB17" s="309">
        <v>602</v>
      </c>
      <c r="FC17" s="309">
        <v>608</v>
      </c>
      <c r="FD17" s="309">
        <v>716</v>
      </c>
      <c r="FE17" s="309">
        <v>2723</v>
      </c>
      <c r="FF17" s="309"/>
      <c r="FG17" s="309">
        <v>2018</v>
      </c>
      <c r="FH17" s="309">
        <v>14</v>
      </c>
      <c r="FI17" s="309">
        <v>1</v>
      </c>
      <c r="FJ17" s="309">
        <v>0</v>
      </c>
      <c r="FK17" s="309">
        <v>0</v>
      </c>
      <c r="FL17" s="309">
        <v>0</v>
      </c>
      <c r="FM17" s="309">
        <v>15</v>
      </c>
    </row>
    <row r="18" spans="1:169">
      <c r="A18" s="288" t="s">
        <v>668</v>
      </c>
      <c r="B18" s="288">
        <v>2018</v>
      </c>
      <c r="C18" s="288">
        <v>29</v>
      </c>
      <c r="D18" s="288">
        <v>0</v>
      </c>
      <c r="E18" s="288">
        <v>0</v>
      </c>
      <c r="F18" s="288">
        <v>0</v>
      </c>
      <c r="G18" s="288">
        <v>0</v>
      </c>
      <c r="H18" s="288">
        <v>29</v>
      </c>
      <c r="J18" s="288">
        <v>2018</v>
      </c>
      <c r="K18" s="288">
        <v>370</v>
      </c>
      <c r="L18" s="288">
        <v>488</v>
      </c>
      <c r="M18" s="288">
        <v>634</v>
      </c>
      <c r="N18" s="288">
        <v>682</v>
      </c>
      <c r="O18" s="288">
        <v>550</v>
      </c>
      <c r="P18" s="288">
        <v>2724</v>
      </c>
      <c r="R18" s="289" t="s">
        <v>1262</v>
      </c>
      <c r="S18" s="289">
        <v>2018</v>
      </c>
      <c r="T18" s="289" t="s">
        <v>792</v>
      </c>
      <c r="U18" s="289" t="s">
        <v>792</v>
      </c>
      <c r="V18" s="289" t="s">
        <v>792</v>
      </c>
      <c r="W18" s="289" t="s">
        <v>792</v>
      </c>
      <c r="X18" s="289" t="s">
        <v>792</v>
      </c>
      <c r="Y18" s="289" t="s">
        <v>792</v>
      </c>
      <c r="Z18" s="289"/>
      <c r="AA18" s="289">
        <v>2018</v>
      </c>
      <c r="AB18" s="289" t="s">
        <v>792</v>
      </c>
      <c r="AC18" s="289" t="s">
        <v>792</v>
      </c>
      <c r="AD18" s="289" t="s">
        <v>792</v>
      </c>
      <c r="AE18" s="289" t="s">
        <v>792</v>
      </c>
      <c r="AF18" s="289" t="s">
        <v>792</v>
      </c>
      <c r="AG18" s="289" t="s">
        <v>792</v>
      </c>
      <c r="AI18" s="290" t="s">
        <v>411</v>
      </c>
      <c r="AJ18" s="290">
        <v>2018</v>
      </c>
      <c r="AK18" s="290">
        <v>155</v>
      </c>
      <c r="AL18" s="290">
        <v>257</v>
      </c>
      <c r="AM18" s="290">
        <v>534</v>
      </c>
      <c r="AN18" s="290">
        <v>923</v>
      </c>
      <c r="AO18" s="290">
        <v>665</v>
      </c>
      <c r="AP18" s="290">
        <v>2534</v>
      </c>
      <c r="AQ18" s="290"/>
      <c r="AR18" s="290">
        <v>2018</v>
      </c>
      <c r="AS18" s="290">
        <v>25</v>
      </c>
      <c r="AT18" s="290">
        <v>1</v>
      </c>
      <c r="AU18" s="290">
        <v>0</v>
      </c>
      <c r="AV18" s="290">
        <v>0</v>
      </c>
      <c r="AW18" s="290">
        <v>0</v>
      </c>
      <c r="AX18" s="290">
        <v>26</v>
      </c>
      <c r="AZ18" s="300" t="s">
        <v>94</v>
      </c>
      <c r="BA18" s="300">
        <v>2018</v>
      </c>
      <c r="BB18" s="300">
        <v>44</v>
      </c>
      <c r="BC18" s="300">
        <v>40</v>
      </c>
      <c r="BD18" s="300">
        <v>99</v>
      </c>
      <c r="BE18" s="300">
        <v>140</v>
      </c>
      <c r="BF18" s="300">
        <v>201</v>
      </c>
      <c r="BG18" s="300">
        <v>524</v>
      </c>
      <c r="BH18" s="300"/>
      <c r="BI18" s="300">
        <v>2018</v>
      </c>
      <c r="BJ18" s="300">
        <v>10</v>
      </c>
      <c r="BK18" s="300">
        <v>0</v>
      </c>
      <c r="BL18" s="300">
        <v>0</v>
      </c>
      <c r="BM18" s="300">
        <v>0</v>
      </c>
      <c r="BN18" s="300">
        <v>0</v>
      </c>
      <c r="BO18" s="300">
        <v>10</v>
      </c>
      <c r="BQ18" s="309" t="s">
        <v>599</v>
      </c>
      <c r="BR18" s="309">
        <v>2018</v>
      </c>
      <c r="BS18" s="309">
        <v>143</v>
      </c>
      <c r="BT18" s="309">
        <v>102</v>
      </c>
      <c r="BU18" s="309">
        <v>188</v>
      </c>
      <c r="BV18" s="309">
        <v>289</v>
      </c>
      <c r="BW18" s="309">
        <v>279</v>
      </c>
      <c r="BX18" s="309">
        <v>1001</v>
      </c>
      <c r="BY18" s="309"/>
      <c r="BZ18" s="309">
        <v>2018</v>
      </c>
      <c r="CA18" s="309">
        <v>27</v>
      </c>
      <c r="CB18" s="309">
        <v>0</v>
      </c>
      <c r="CC18" s="309">
        <v>0</v>
      </c>
      <c r="CD18" s="309">
        <v>0</v>
      </c>
      <c r="CE18" s="309">
        <v>0</v>
      </c>
      <c r="CF18" s="309">
        <v>27</v>
      </c>
      <c r="CH18" s="237" t="s">
        <v>226</v>
      </c>
      <c r="CI18" s="237">
        <v>2018</v>
      </c>
      <c r="CJ18" s="237">
        <v>176</v>
      </c>
      <c r="CK18" s="237">
        <v>242</v>
      </c>
      <c r="CL18" s="237">
        <v>354</v>
      </c>
      <c r="CM18" s="237">
        <v>407</v>
      </c>
      <c r="CN18" s="237">
        <v>408</v>
      </c>
      <c r="CO18" s="237">
        <v>1587</v>
      </c>
      <c r="CP18" s="237"/>
      <c r="CQ18" s="237">
        <v>2018</v>
      </c>
      <c r="CR18" s="237">
        <v>45</v>
      </c>
      <c r="CS18" s="237">
        <v>0</v>
      </c>
      <c r="CT18" s="237">
        <v>0</v>
      </c>
      <c r="CU18" s="237">
        <v>0</v>
      </c>
      <c r="CV18" s="237">
        <v>0</v>
      </c>
      <c r="CW18" s="237">
        <v>45</v>
      </c>
      <c r="CY18" s="346" t="s">
        <v>867</v>
      </c>
      <c r="CZ18" s="346">
        <v>2019</v>
      </c>
      <c r="DA18" s="346">
        <v>342</v>
      </c>
      <c r="DB18" s="346">
        <v>529</v>
      </c>
      <c r="DC18" s="346">
        <v>669</v>
      </c>
      <c r="DD18" s="346">
        <v>804</v>
      </c>
      <c r="DE18" s="346">
        <v>656</v>
      </c>
      <c r="DF18" s="346">
        <v>3000</v>
      </c>
      <c r="DG18" s="346"/>
      <c r="DH18" s="346">
        <v>2019</v>
      </c>
      <c r="DI18" s="346">
        <v>20</v>
      </c>
      <c r="DJ18" s="346">
        <v>12</v>
      </c>
      <c r="DK18" s="346">
        <v>3</v>
      </c>
      <c r="DL18" s="346">
        <v>1</v>
      </c>
      <c r="DM18" s="346">
        <v>0</v>
      </c>
      <c r="DN18" s="346">
        <v>36</v>
      </c>
      <c r="DP18" s="349" t="s">
        <v>823</v>
      </c>
      <c r="DQ18" s="349">
        <v>2018</v>
      </c>
      <c r="DR18" s="349">
        <v>299</v>
      </c>
      <c r="DS18" s="349">
        <v>462</v>
      </c>
      <c r="DT18" s="349">
        <v>523</v>
      </c>
      <c r="DU18" s="349">
        <v>488</v>
      </c>
      <c r="DV18" s="349">
        <v>362</v>
      </c>
      <c r="DW18" s="349">
        <v>2134</v>
      </c>
      <c r="DX18" s="349"/>
      <c r="DY18" s="349">
        <v>2018</v>
      </c>
      <c r="DZ18" s="349">
        <v>7</v>
      </c>
      <c r="EA18" s="349">
        <v>3</v>
      </c>
      <c r="EB18" s="349">
        <v>0</v>
      </c>
      <c r="EC18" s="349">
        <v>0</v>
      </c>
      <c r="ED18" s="349">
        <v>0</v>
      </c>
      <c r="EE18" s="349">
        <v>10</v>
      </c>
      <c r="EG18" s="237" t="s">
        <v>1101</v>
      </c>
      <c r="EH18" s="237">
        <v>2018</v>
      </c>
      <c r="EI18" s="237" t="s">
        <v>792</v>
      </c>
      <c r="EJ18" s="237" t="s">
        <v>792</v>
      </c>
      <c r="EK18" s="237" t="s">
        <v>792</v>
      </c>
      <c r="EL18" s="237" t="s">
        <v>792</v>
      </c>
      <c r="EM18" s="237" t="s">
        <v>792</v>
      </c>
      <c r="EN18" s="237" t="s">
        <v>792</v>
      </c>
      <c r="EO18" s="237"/>
      <c r="EP18" s="237">
        <v>2018</v>
      </c>
      <c r="EQ18" s="237" t="s">
        <v>792</v>
      </c>
      <c r="ER18" s="237" t="s">
        <v>792</v>
      </c>
      <c r="ES18" s="237" t="s">
        <v>792</v>
      </c>
      <c r="ET18" s="237" t="s">
        <v>792</v>
      </c>
      <c r="EU18" s="237" t="s">
        <v>792</v>
      </c>
      <c r="EV18" s="237" t="s">
        <v>792</v>
      </c>
      <c r="EX18" s="309" t="s">
        <v>1179</v>
      </c>
      <c r="EY18" s="309">
        <v>2018</v>
      </c>
      <c r="EZ18" s="309">
        <v>651</v>
      </c>
      <c r="FA18" s="309">
        <v>860</v>
      </c>
      <c r="FB18" s="309">
        <v>774</v>
      </c>
      <c r="FC18" s="309">
        <v>719</v>
      </c>
      <c r="FD18" s="309">
        <v>875</v>
      </c>
      <c r="FE18" s="309">
        <v>3879</v>
      </c>
      <c r="FF18" s="309"/>
      <c r="FG18" s="309">
        <v>2018</v>
      </c>
      <c r="FH18" s="309">
        <v>48</v>
      </c>
      <c r="FI18" s="309">
        <v>3</v>
      </c>
      <c r="FJ18" s="309">
        <v>0</v>
      </c>
      <c r="FK18" s="309">
        <v>0</v>
      </c>
      <c r="FL18" s="309">
        <v>0</v>
      </c>
      <c r="FM18" s="309">
        <v>51</v>
      </c>
    </row>
    <row r="19" spans="1:169">
      <c r="A19" s="288" t="s">
        <v>671</v>
      </c>
      <c r="B19" s="288">
        <v>2018</v>
      </c>
      <c r="C19" s="288">
        <v>16</v>
      </c>
      <c r="D19" s="288">
        <v>0</v>
      </c>
      <c r="E19" s="288">
        <v>0</v>
      </c>
      <c r="F19" s="288">
        <v>0</v>
      </c>
      <c r="G19" s="288">
        <v>0</v>
      </c>
      <c r="H19" s="288">
        <v>16</v>
      </c>
      <c r="J19" s="288">
        <v>2018</v>
      </c>
      <c r="K19" s="288">
        <v>149</v>
      </c>
      <c r="L19" s="288">
        <v>226</v>
      </c>
      <c r="M19" s="288">
        <v>365</v>
      </c>
      <c r="N19" s="288">
        <v>431</v>
      </c>
      <c r="O19" s="288">
        <v>342</v>
      </c>
      <c r="P19" s="288">
        <v>1513</v>
      </c>
      <c r="R19" s="289" t="s">
        <v>908</v>
      </c>
      <c r="S19" s="289">
        <v>2018</v>
      </c>
      <c r="T19" s="289">
        <v>309</v>
      </c>
      <c r="U19" s="289">
        <v>221</v>
      </c>
      <c r="V19" s="289">
        <v>385</v>
      </c>
      <c r="W19" s="289">
        <v>565</v>
      </c>
      <c r="X19" s="289">
        <v>488</v>
      </c>
      <c r="Y19" s="289">
        <v>1968</v>
      </c>
      <c r="Z19" s="289"/>
      <c r="AA19" s="289">
        <v>2018</v>
      </c>
      <c r="AB19" s="289">
        <v>23</v>
      </c>
      <c r="AC19" s="289">
        <v>0</v>
      </c>
      <c r="AD19" s="289">
        <v>0</v>
      </c>
      <c r="AE19" s="289">
        <v>0</v>
      </c>
      <c r="AF19" s="289">
        <v>0</v>
      </c>
      <c r="AG19" s="289">
        <v>23</v>
      </c>
      <c r="AI19" s="290" t="s">
        <v>412</v>
      </c>
      <c r="AJ19" s="290">
        <v>2018</v>
      </c>
      <c r="AK19" s="290">
        <v>330</v>
      </c>
      <c r="AL19" s="290">
        <v>243</v>
      </c>
      <c r="AM19" s="290">
        <v>353</v>
      </c>
      <c r="AN19" s="290">
        <v>491</v>
      </c>
      <c r="AO19" s="290">
        <v>529</v>
      </c>
      <c r="AP19" s="290">
        <v>1946</v>
      </c>
      <c r="AQ19" s="290"/>
      <c r="AR19" s="290">
        <v>2018</v>
      </c>
      <c r="AS19" s="290">
        <v>115</v>
      </c>
      <c r="AT19" s="290">
        <v>0</v>
      </c>
      <c r="AU19" s="290">
        <v>0</v>
      </c>
      <c r="AV19" s="290">
        <v>0</v>
      </c>
      <c r="AW19" s="290">
        <v>0</v>
      </c>
      <c r="AX19" s="290">
        <v>115</v>
      </c>
      <c r="AZ19" s="300" t="s">
        <v>96</v>
      </c>
      <c r="BA19" s="300">
        <v>2018</v>
      </c>
      <c r="BB19" s="300">
        <v>496</v>
      </c>
      <c r="BC19" s="300">
        <v>413</v>
      </c>
      <c r="BD19" s="300">
        <v>734</v>
      </c>
      <c r="BE19" s="300">
        <v>975</v>
      </c>
      <c r="BF19" s="300">
        <v>950</v>
      </c>
      <c r="BG19" s="300">
        <v>3568</v>
      </c>
      <c r="BH19" s="300"/>
      <c r="BI19" s="300">
        <v>2018</v>
      </c>
      <c r="BJ19" s="300">
        <v>52</v>
      </c>
      <c r="BK19" s="300">
        <v>0</v>
      </c>
      <c r="BL19" s="300">
        <v>0</v>
      </c>
      <c r="BM19" s="300">
        <v>0</v>
      </c>
      <c r="BN19" s="300">
        <v>0</v>
      </c>
      <c r="BO19" s="300">
        <v>52</v>
      </c>
      <c r="BQ19" s="309" t="s">
        <v>602</v>
      </c>
      <c r="BR19" s="309">
        <v>2018</v>
      </c>
      <c r="BS19" s="309">
        <v>73</v>
      </c>
      <c r="BT19" s="309">
        <v>41</v>
      </c>
      <c r="BU19" s="309">
        <v>69</v>
      </c>
      <c r="BV19" s="309">
        <v>119</v>
      </c>
      <c r="BW19" s="309">
        <v>104</v>
      </c>
      <c r="BX19" s="309">
        <v>406</v>
      </c>
      <c r="BY19" s="309"/>
      <c r="BZ19" s="309">
        <v>2018</v>
      </c>
      <c r="CA19" s="309">
        <v>16</v>
      </c>
      <c r="CB19" s="309">
        <v>0</v>
      </c>
      <c r="CC19" s="309">
        <v>0</v>
      </c>
      <c r="CD19" s="309">
        <v>0</v>
      </c>
      <c r="CE19" s="309">
        <v>0</v>
      </c>
      <c r="CF19" s="309">
        <v>16</v>
      </c>
      <c r="CH19" s="237" t="s">
        <v>228</v>
      </c>
      <c r="CI19" s="237">
        <v>2018</v>
      </c>
      <c r="CJ19" s="237">
        <v>90</v>
      </c>
      <c r="CK19" s="237">
        <v>58</v>
      </c>
      <c r="CL19" s="237">
        <v>130</v>
      </c>
      <c r="CM19" s="237">
        <v>197</v>
      </c>
      <c r="CN19" s="237">
        <v>234</v>
      </c>
      <c r="CO19" s="237">
        <v>709</v>
      </c>
      <c r="CP19" s="237"/>
      <c r="CQ19" s="237">
        <v>2018</v>
      </c>
      <c r="CR19" s="237">
        <v>36</v>
      </c>
      <c r="CS19" s="237">
        <v>0</v>
      </c>
      <c r="CT19" s="237">
        <v>0</v>
      </c>
      <c r="CU19" s="237">
        <v>0</v>
      </c>
      <c r="CV19" s="237">
        <v>0</v>
      </c>
      <c r="CW19" s="237">
        <v>36</v>
      </c>
      <c r="CY19" s="346" t="s">
        <v>874</v>
      </c>
      <c r="CZ19" s="346">
        <v>2019</v>
      </c>
      <c r="DA19" s="346">
        <v>341</v>
      </c>
      <c r="DB19" s="346">
        <v>564</v>
      </c>
      <c r="DC19" s="346">
        <v>715</v>
      </c>
      <c r="DD19" s="346">
        <v>823</v>
      </c>
      <c r="DE19" s="346">
        <v>795</v>
      </c>
      <c r="DF19" s="346">
        <v>3238</v>
      </c>
      <c r="DG19" s="346"/>
      <c r="DH19" s="346">
        <v>2019</v>
      </c>
      <c r="DI19" s="346">
        <v>16</v>
      </c>
      <c r="DJ19" s="346">
        <v>9</v>
      </c>
      <c r="DK19" s="346">
        <v>3</v>
      </c>
      <c r="DL19" s="346">
        <v>1</v>
      </c>
      <c r="DM19" s="346">
        <v>0</v>
      </c>
      <c r="DN19" s="346">
        <v>29</v>
      </c>
      <c r="DP19" s="349" t="s">
        <v>825</v>
      </c>
      <c r="DQ19" s="349">
        <v>2018</v>
      </c>
      <c r="DR19" s="349">
        <v>507</v>
      </c>
      <c r="DS19" s="349">
        <v>794</v>
      </c>
      <c r="DT19" s="349">
        <v>1251</v>
      </c>
      <c r="DU19" s="349">
        <v>1701</v>
      </c>
      <c r="DV19" s="349">
        <v>1369</v>
      </c>
      <c r="DW19" s="349">
        <v>5622</v>
      </c>
      <c r="DX19" s="349"/>
      <c r="DY19" s="349">
        <v>2018</v>
      </c>
      <c r="DZ19" s="349">
        <v>21</v>
      </c>
      <c r="EA19" s="349">
        <v>3</v>
      </c>
      <c r="EB19" s="349">
        <v>0</v>
      </c>
      <c r="EC19" s="349">
        <v>0</v>
      </c>
      <c r="ED19" s="349">
        <v>0</v>
      </c>
      <c r="EE19" s="349">
        <v>24</v>
      </c>
      <c r="EG19" s="237" t="s">
        <v>1104</v>
      </c>
      <c r="EH19" s="237">
        <v>2018</v>
      </c>
      <c r="EI19" s="237" t="s">
        <v>792</v>
      </c>
      <c r="EJ19" s="237" t="s">
        <v>792</v>
      </c>
      <c r="EK19" s="237" t="s">
        <v>792</v>
      </c>
      <c r="EL19" s="237" t="s">
        <v>792</v>
      </c>
      <c r="EM19" s="237" t="s">
        <v>792</v>
      </c>
      <c r="EN19" s="237" t="s">
        <v>792</v>
      </c>
      <c r="EO19" s="237"/>
      <c r="EP19" s="237">
        <v>2018</v>
      </c>
      <c r="EQ19" s="237" t="s">
        <v>792</v>
      </c>
      <c r="ER19" s="237" t="s">
        <v>792</v>
      </c>
      <c r="ES19" s="237" t="s">
        <v>792</v>
      </c>
      <c r="ET19" s="237" t="s">
        <v>792</v>
      </c>
      <c r="EU19" s="237" t="s">
        <v>792</v>
      </c>
      <c r="EV19" s="237" t="s">
        <v>792</v>
      </c>
      <c r="EX19" s="309" t="s">
        <v>1180</v>
      </c>
      <c r="EY19" s="309">
        <v>2018</v>
      </c>
      <c r="EZ19" s="309" t="s">
        <v>792</v>
      </c>
      <c r="FA19" s="309" t="s">
        <v>792</v>
      </c>
      <c r="FB19" s="309" t="s">
        <v>792</v>
      </c>
      <c r="FC19" s="309" t="s">
        <v>792</v>
      </c>
      <c r="FD19" s="309" t="s">
        <v>792</v>
      </c>
      <c r="FE19" s="309" t="s">
        <v>792</v>
      </c>
      <c r="FF19" s="309"/>
      <c r="FG19" s="309">
        <v>2018</v>
      </c>
      <c r="FH19" s="309" t="s">
        <v>792</v>
      </c>
      <c r="FI19" s="309" t="s">
        <v>792</v>
      </c>
      <c r="FJ19" s="309" t="s">
        <v>792</v>
      </c>
      <c r="FK19" s="309" t="s">
        <v>792</v>
      </c>
      <c r="FL19" s="309" t="s">
        <v>792</v>
      </c>
      <c r="FM19" s="309" t="s">
        <v>792</v>
      </c>
    </row>
    <row r="20" spans="1:169">
      <c r="A20" s="288" t="s">
        <v>674</v>
      </c>
      <c r="B20" s="288">
        <v>2018</v>
      </c>
      <c r="C20" s="288">
        <v>54</v>
      </c>
      <c r="D20" s="288">
        <v>6</v>
      </c>
      <c r="E20" s="288">
        <v>0</v>
      </c>
      <c r="F20" s="288">
        <v>1</v>
      </c>
      <c r="G20" s="288">
        <v>0</v>
      </c>
      <c r="H20" s="288">
        <v>61</v>
      </c>
      <c r="J20" s="288">
        <v>2018</v>
      </c>
      <c r="K20" s="288">
        <v>388</v>
      </c>
      <c r="L20" s="288">
        <v>468</v>
      </c>
      <c r="M20" s="288">
        <v>558</v>
      </c>
      <c r="N20" s="288">
        <v>693</v>
      </c>
      <c r="O20" s="288">
        <v>524</v>
      </c>
      <c r="P20" s="288">
        <v>2631</v>
      </c>
      <c r="R20" s="289" t="s">
        <v>909</v>
      </c>
      <c r="S20" s="289">
        <v>2018</v>
      </c>
      <c r="T20" s="289">
        <v>241</v>
      </c>
      <c r="U20" s="289">
        <v>303</v>
      </c>
      <c r="V20" s="289">
        <v>500</v>
      </c>
      <c r="W20" s="289">
        <v>679</v>
      </c>
      <c r="X20" s="289">
        <v>551</v>
      </c>
      <c r="Y20" s="289">
        <v>2274</v>
      </c>
      <c r="Z20" s="289"/>
      <c r="AA20" s="289">
        <v>2018</v>
      </c>
      <c r="AB20" s="289">
        <v>22</v>
      </c>
      <c r="AC20" s="289">
        <v>2</v>
      </c>
      <c r="AD20" s="289">
        <v>0</v>
      </c>
      <c r="AE20" s="289">
        <v>0</v>
      </c>
      <c r="AF20" s="289">
        <v>0</v>
      </c>
      <c r="AG20" s="289">
        <v>24</v>
      </c>
      <c r="AI20" s="290" t="s">
        <v>413</v>
      </c>
      <c r="AJ20" s="290">
        <v>2018</v>
      </c>
      <c r="AK20" s="290">
        <v>397</v>
      </c>
      <c r="AL20" s="290">
        <v>255</v>
      </c>
      <c r="AM20" s="290">
        <v>408</v>
      </c>
      <c r="AN20" s="290">
        <v>570</v>
      </c>
      <c r="AO20" s="290">
        <v>583</v>
      </c>
      <c r="AP20" s="290">
        <v>2213</v>
      </c>
      <c r="AQ20" s="290"/>
      <c r="AR20" s="290">
        <v>2018</v>
      </c>
      <c r="AS20" s="290">
        <v>92</v>
      </c>
      <c r="AT20" s="290">
        <v>1</v>
      </c>
      <c r="AU20" s="290">
        <v>0</v>
      </c>
      <c r="AV20" s="290">
        <v>0</v>
      </c>
      <c r="AW20" s="290">
        <v>0</v>
      </c>
      <c r="AX20" s="290">
        <v>93</v>
      </c>
      <c r="AZ20" s="300" t="s">
        <v>151</v>
      </c>
      <c r="BA20" s="300">
        <v>2018</v>
      </c>
      <c r="BB20" s="300">
        <v>118</v>
      </c>
      <c r="BC20" s="300">
        <v>79</v>
      </c>
      <c r="BD20" s="300">
        <v>129</v>
      </c>
      <c r="BE20" s="300">
        <v>182</v>
      </c>
      <c r="BF20" s="300">
        <v>192</v>
      </c>
      <c r="BG20" s="300">
        <v>700</v>
      </c>
      <c r="BH20" s="300"/>
      <c r="BI20" s="300">
        <v>2018</v>
      </c>
      <c r="BJ20" s="300">
        <v>33</v>
      </c>
      <c r="BK20" s="300">
        <v>0</v>
      </c>
      <c r="BL20" s="300">
        <v>0</v>
      </c>
      <c r="BM20" s="300">
        <v>0</v>
      </c>
      <c r="BN20" s="300">
        <v>0</v>
      </c>
      <c r="BO20" s="300">
        <v>33</v>
      </c>
      <c r="BQ20" s="309" t="s">
        <v>605</v>
      </c>
      <c r="BR20" s="309">
        <v>2018</v>
      </c>
      <c r="BS20" s="309">
        <v>152</v>
      </c>
      <c r="BT20" s="309">
        <v>143</v>
      </c>
      <c r="BU20" s="309">
        <v>236</v>
      </c>
      <c r="BV20" s="309">
        <v>329</v>
      </c>
      <c r="BW20" s="309">
        <v>335</v>
      </c>
      <c r="BX20" s="309">
        <v>1195</v>
      </c>
      <c r="BY20" s="309"/>
      <c r="BZ20" s="309">
        <v>2018</v>
      </c>
      <c r="CA20" s="309">
        <v>45</v>
      </c>
      <c r="CB20" s="309">
        <v>1</v>
      </c>
      <c r="CC20" s="309">
        <v>0</v>
      </c>
      <c r="CD20" s="309">
        <v>0</v>
      </c>
      <c r="CE20" s="309">
        <v>0</v>
      </c>
      <c r="CF20" s="309">
        <v>46</v>
      </c>
      <c r="CH20" s="237" t="s">
        <v>230</v>
      </c>
      <c r="CI20" s="237">
        <v>2018</v>
      </c>
      <c r="CJ20" s="237">
        <v>37</v>
      </c>
      <c r="CK20" s="237">
        <v>102</v>
      </c>
      <c r="CL20" s="237">
        <v>219</v>
      </c>
      <c r="CM20" s="237">
        <v>327</v>
      </c>
      <c r="CN20" s="237">
        <v>351</v>
      </c>
      <c r="CO20" s="237">
        <v>1036</v>
      </c>
      <c r="CP20" s="237"/>
      <c r="CQ20" s="237">
        <v>2018</v>
      </c>
      <c r="CR20" s="237">
        <v>10</v>
      </c>
      <c r="CS20" s="237">
        <v>0</v>
      </c>
      <c r="CT20" s="237">
        <v>0</v>
      </c>
      <c r="CU20" s="237">
        <v>0</v>
      </c>
      <c r="CV20" s="237">
        <v>0</v>
      </c>
      <c r="CW20" s="237">
        <v>10</v>
      </c>
      <c r="CY20" s="346" t="s">
        <v>875</v>
      </c>
      <c r="CZ20" s="346">
        <v>2019</v>
      </c>
      <c r="DA20" s="346">
        <v>133</v>
      </c>
      <c r="DB20" s="346">
        <v>211</v>
      </c>
      <c r="DC20" s="346">
        <v>271</v>
      </c>
      <c r="DD20" s="346">
        <v>353</v>
      </c>
      <c r="DE20" s="346">
        <v>382</v>
      </c>
      <c r="DF20" s="346">
        <v>1350</v>
      </c>
      <c r="DG20" s="346"/>
      <c r="DH20" s="346">
        <v>2019</v>
      </c>
      <c r="DI20" s="346">
        <v>10</v>
      </c>
      <c r="DJ20" s="346">
        <v>12</v>
      </c>
      <c r="DK20" s="346">
        <v>1</v>
      </c>
      <c r="DL20" s="346">
        <v>2</v>
      </c>
      <c r="DM20" s="346">
        <v>3</v>
      </c>
      <c r="DN20" s="346">
        <v>28</v>
      </c>
      <c r="DP20" s="349" t="s">
        <v>827</v>
      </c>
      <c r="DQ20" s="349">
        <v>2018</v>
      </c>
      <c r="DR20" s="349">
        <v>269</v>
      </c>
      <c r="DS20" s="349">
        <v>369</v>
      </c>
      <c r="DT20" s="349">
        <v>486</v>
      </c>
      <c r="DU20" s="349">
        <v>542</v>
      </c>
      <c r="DV20" s="349">
        <v>412</v>
      </c>
      <c r="DW20" s="349">
        <v>2078</v>
      </c>
      <c r="DX20" s="349"/>
      <c r="DY20" s="349">
        <v>2018</v>
      </c>
      <c r="DZ20" s="349">
        <v>18</v>
      </c>
      <c r="EA20" s="349">
        <v>1</v>
      </c>
      <c r="EB20" s="349">
        <v>0</v>
      </c>
      <c r="EC20" s="349">
        <v>0</v>
      </c>
      <c r="ED20" s="349">
        <v>0</v>
      </c>
      <c r="EE20" s="349">
        <v>19</v>
      </c>
      <c r="EG20" s="237" t="s">
        <v>1107</v>
      </c>
      <c r="EH20" s="237">
        <v>2018</v>
      </c>
      <c r="EI20" s="237" t="s">
        <v>792</v>
      </c>
      <c r="EJ20" s="237" t="s">
        <v>792</v>
      </c>
      <c r="EK20" s="237" t="s">
        <v>792</v>
      </c>
      <c r="EL20" s="237" t="s">
        <v>792</v>
      </c>
      <c r="EM20" s="237" t="s">
        <v>792</v>
      </c>
      <c r="EN20" s="237" t="s">
        <v>792</v>
      </c>
      <c r="EO20" s="237"/>
      <c r="EP20" s="237">
        <v>2018</v>
      </c>
      <c r="EQ20" s="237" t="s">
        <v>792</v>
      </c>
      <c r="ER20" s="237" t="s">
        <v>792</v>
      </c>
      <c r="ES20" s="237" t="s">
        <v>792</v>
      </c>
      <c r="ET20" s="237" t="s">
        <v>792</v>
      </c>
      <c r="EU20" s="237" t="s">
        <v>792</v>
      </c>
      <c r="EV20" s="237" t="s">
        <v>792</v>
      </c>
      <c r="EX20" s="309" t="s">
        <v>1181</v>
      </c>
      <c r="EY20" s="309">
        <v>2018</v>
      </c>
      <c r="EZ20" s="309">
        <v>471</v>
      </c>
      <c r="FA20" s="309">
        <v>584</v>
      </c>
      <c r="FB20" s="309">
        <v>709</v>
      </c>
      <c r="FC20" s="309">
        <v>837</v>
      </c>
      <c r="FD20" s="309">
        <v>926</v>
      </c>
      <c r="FE20" s="309">
        <v>3527</v>
      </c>
      <c r="FF20" s="309"/>
      <c r="FG20" s="309">
        <v>2018</v>
      </c>
      <c r="FH20" s="309">
        <v>89</v>
      </c>
      <c r="FI20" s="309">
        <v>8</v>
      </c>
      <c r="FJ20" s="309">
        <v>0</v>
      </c>
      <c r="FK20" s="309">
        <v>0</v>
      </c>
      <c r="FL20" s="309">
        <v>0</v>
      </c>
      <c r="FM20" s="309">
        <v>97</v>
      </c>
    </row>
    <row r="21" spans="1:169">
      <c r="A21" s="288" t="s">
        <v>677</v>
      </c>
      <c r="B21" s="288">
        <v>2018</v>
      </c>
      <c r="C21" s="288">
        <v>51</v>
      </c>
      <c r="D21" s="288">
        <v>0</v>
      </c>
      <c r="E21" s="288">
        <v>0</v>
      </c>
      <c r="F21" s="288">
        <v>0</v>
      </c>
      <c r="G21" s="288">
        <v>0</v>
      </c>
      <c r="H21" s="288">
        <v>51</v>
      </c>
      <c r="J21" s="288">
        <v>2018</v>
      </c>
      <c r="K21" s="288">
        <v>149</v>
      </c>
      <c r="L21" s="288">
        <v>163</v>
      </c>
      <c r="M21" s="288">
        <v>169</v>
      </c>
      <c r="N21" s="288">
        <v>255</v>
      </c>
      <c r="O21" s="288">
        <v>284</v>
      </c>
      <c r="P21" s="288">
        <v>1020</v>
      </c>
      <c r="R21" s="289" t="s">
        <v>910</v>
      </c>
      <c r="S21" s="289">
        <v>2018</v>
      </c>
      <c r="T21" s="289">
        <v>1181</v>
      </c>
      <c r="U21" s="289">
        <v>1277</v>
      </c>
      <c r="V21" s="289">
        <v>1379</v>
      </c>
      <c r="W21" s="289">
        <v>1541</v>
      </c>
      <c r="X21" s="289">
        <v>1074</v>
      </c>
      <c r="Y21" s="289">
        <v>6452</v>
      </c>
      <c r="Z21" s="289"/>
      <c r="AA21" s="289">
        <v>2018</v>
      </c>
      <c r="AB21" s="289">
        <v>138</v>
      </c>
      <c r="AC21" s="289">
        <v>25</v>
      </c>
      <c r="AD21" s="289">
        <v>5</v>
      </c>
      <c r="AE21" s="289">
        <v>6</v>
      </c>
      <c r="AF21" s="289">
        <v>4</v>
      </c>
      <c r="AG21" s="289">
        <v>178</v>
      </c>
      <c r="AI21" s="290" t="s">
        <v>414</v>
      </c>
      <c r="AJ21" s="290">
        <v>2018</v>
      </c>
      <c r="AK21" s="290">
        <v>465</v>
      </c>
      <c r="AL21" s="290">
        <v>283</v>
      </c>
      <c r="AM21" s="290">
        <v>446</v>
      </c>
      <c r="AN21" s="290">
        <v>542</v>
      </c>
      <c r="AO21" s="290">
        <v>582</v>
      </c>
      <c r="AP21" s="290">
        <v>2318</v>
      </c>
      <c r="AQ21" s="290"/>
      <c r="AR21" s="290">
        <v>2018</v>
      </c>
      <c r="AS21" s="290">
        <v>126</v>
      </c>
      <c r="AT21" s="290">
        <v>0</v>
      </c>
      <c r="AU21" s="290">
        <v>0</v>
      </c>
      <c r="AV21" s="290">
        <v>0</v>
      </c>
      <c r="AW21" s="290">
        <v>0</v>
      </c>
      <c r="AX21" s="290">
        <v>126</v>
      </c>
      <c r="AZ21" s="300" t="s">
        <v>97</v>
      </c>
      <c r="BA21" s="300">
        <v>2018</v>
      </c>
      <c r="BB21" s="300">
        <v>228</v>
      </c>
      <c r="BC21" s="300">
        <v>193</v>
      </c>
      <c r="BD21" s="300">
        <v>316</v>
      </c>
      <c r="BE21" s="300">
        <v>449</v>
      </c>
      <c r="BF21" s="300">
        <v>389</v>
      </c>
      <c r="BG21" s="300">
        <v>1575</v>
      </c>
      <c r="BH21" s="300"/>
      <c r="BI21" s="300">
        <v>2018</v>
      </c>
      <c r="BJ21" s="300">
        <v>92</v>
      </c>
      <c r="BK21" s="300">
        <v>0</v>
      </c>
      <c r="BL21" s="300">
        <v>0</v>
      </c>
      <c r="BM21" s="300">
        <v>0</v>
      </c>
      <c r="BN21" s="300">
        <v>0</v>
      </c>
      <c r="BO21" s="300">
        <v>92</v>
      </c>
      <c r="BQ21" s="309" t="s">
        <v>608</v>
      </c>
      <c r="BR21" s="309">
        <v>2018</v>
      </c>
      <c r="BS21" s="309">
        <v>736</v>
      </c>
      <c r="BT21" s="309">
        <v>424</v>
      </c>
      <c r="BU21" s="309">
        <v>297</v>
      </c>
      <c r="BV21" s="309">
        <v>243</v>
      </c>
      <c r="BW21" s="309">
        <v>233</v>
      </c>
      <c r="BX21" s="309">
        <v>1933</v>
      </c>
      <c r="BY21" s="309"/>
      <c r="BZ21" s="309">
        <v>2018</v>
      </c>
      <c r="CA21" s="309">
        <v>30</v>
      </c>
      <c r="CB21" s="309">
        <v>0</v>
      </c>
      <c r="CC21" s="309">
        <v>0</v>
      </c>
      <c r="CD21" s="309">
        <v>0</v>
      </c>
      <c r="CE21" s="309">
        <v>0</v>
      </c>
      <c r="CF21" s="309">
        <v>30</v>
      </c>
      <c r="CH21" s="237" t="s">
        <v>277</v>
      </c>
      <c r="CI21" s="237">
        <v>2018</v>
      </c>
      <c r="CJ21" s="237">
        <v>93</v>
      </c>
      <c r="CK21" s="237">
        <v>62</v>
      </c>
      <c r="CL21" s="237">
        <v>67</v>
      </c>
      <c r="CM21" s="237">
        <v>53</v>
      </c>
      <c r="CN21" s="237">
        <v>44</v>
      </c>
      <c r="CO21" s="237">
        <v>319</v>
      </c>
      <c r="CP21" s="237"/>
      <c r="CQ21" s="237">
        <v>2018</v>
      </c>
      <c r="CR21" s="237">
        <v>20</v>
      </c>
      <c r="CS21" s="237">
        <v>0</v>
      </c>
      <c r="CT21" s="237">
        <v>0</v>
      </c>
      <c r="CU21" s="237">
        <v>0</v>
      </c>
      <c r="CV21" s="237">
        <v>0</v>
      </c>
      <c r="CW21" s="237">
        <v>20</v>
      </c>
      <c r="CY21" s="346" t="s">
        <v>876</v>
      </c>
      <c r="CZ21" s="346">
        <v>2019</v>
      </c>
      <c r="DA21" s="346">
        <v>847</v>
      </c>
      <c r="DB21" s="346">
        <v>1026</v>
      </c>
      <c r="DC21" s="346">
        <v>1375</v>
      </c>
      <c r="DD21" s="346">
        <v>1623</v>
      </c>
      <c r="DE21" s="346">
        <v>1278</v>
      </c>
      <c r="DF21" s="346">
        <v>6149</v>
      </c>
      <c r="DG21" s="346"/>
      <c r="DH21" s="346">
        <v>2019</v>
      </c>
      <c r="DI21" s="346">
        <v>70</v>
      </c>
      <c r="DJ21" s="346">
        <v>40</v>
      </c>
      <c r="DK21" s="346">
        <v>9</v>
      </c>
      <c r="DL21" s="346">
        <v>6</v>
      </c>
      <c r="DM21" s="346">
        <v>2</v>
      </c>
      <c r="DN21" s="346">
        <v>127</v>
      </c>
      <c r="DP21" s="349" t="s">
        <v>829</v>
      </c>
      <c r="DQ21" s="349">
        <v>2018</v>
      </c>
      <c r="DR21" s="349">
        <v>168</v>
      </c>
      <c r="DS21" s="349">
        <v>132</v>
      </c>
      <c r="DT21" s="349">
        <v>123</v>
      </c>
      <c r="DU21" s="349">
        <v>157</v>
      </c>
      <c r="DV21" s="349">
        <v>170</v>
      </c>
      <c r="DW21" s="349">
        <v>750</v>
      </c>
      <c r="DX21" s="349"/>
      <c r="DY21" s="349">
        <v>2018</v>
      </c>
      <c r="DZ21" s="349">
        <v>16</v>
      </c>
      <c r="EA21" s="349">
        <v>1</v>
      </c>
      <c r="EB21" s="349">
        <v>0</v>
      </c>
      <c r="EC21" s="349">
        <v>0</v>
      </c>
      <c r="ED21" s="349">
        <v>0</v>
      </c>
      <c r="EE21" s="349">
        <v>17</v>
      </c>
      <c r="EG21" s="237" t="s">
        <v>1110</v>
      </c>
      <c r="EH21" s="237">
        <v>2018</v>
      </c>
      <c r="EI21" s="237">
        <v>303</v>
      </c>
      <c r="EJ21" s="237">
        <v>493</v>
      </c>
      <c r="EK21" s="237">
        <v>579</v>
      </c>
      <c r="EL21" s="237">
        <v>755</v>
      </c>
      <c r="EM21" s="237">
        <v>878</v>
      </c>
      <c r="EN21" s="237">
        <v>3008</v>
      </c>
      <c r="EO21" s="237"/>
      <c r="EP21" s="237">
        <v>2018</v>
      </c>
      <c r="EQ21" s="237">
        <v>54</v>
      </c>
      <c r="ER21" s="237">
        <v>31</v>
      </c>
      <c r="ES21" s="237">
        <v>21</v>
      </c>
      <c r="ET21" s="237">
        <v>20</v>
      </c>
      <c r="EU21" s="237">
        <v>37</v>
      </c>
      <c r="EV21" s="237">
        <v>163</v>
      </c>
      <c r="EX21" s="309" t="s">
        <v>1184</v>
      </c>
      <c r="EY21" s="309">
        <v>2018</v>
      </c>
      <c r="EZ21" s="309">
        <v>557</v>
      </c>
      <c r="FA21" s="309">
        <v>647</v>
      </c>
      <c r="FB21" s="309">
        <v>786</v>
      </c>
      <c r="FC21" s="309">
        <v>842</v>
      </c>
      <c r="FD21" s="309">
        <v>886</v>
      </c>
      <c r="FE21" s="309">
        <v>3718</v>
      </c>
      <c r="FF21" s="309"/>
      <c r="FG21" s="309">
        <v>2018</v>
      </c>
      <c r="FH21" s="309">
        <v>67</v>
      </c>
      <c r="FI21" s="309">
        <v>32</v>
      </c>
      <c r="FJ21" s="309">
        <v>0</v>
      </c>
      <c r="FK21" s="309">
        <v>0</v>
      </c>
      <c r="FL21" s="309">
        <v>0</v>
      </c>
      <c r="FM21" s="309">
        <v>99</v>
      </c>
    </row>
    <row r="22" spans="1:169">
      <c r="A22" s="288" t="s">
        <v>679</v>
      </c>
      <c r="B22" s="288">
        <v>2018</v>
      </c>
      <c r="C22" s="288" t="s">
        <v>792</v>
      </c>
      <c r="D22" s="288" t="s">
        <v>792</v>
      </c>
      <c r="E22" s="288" t="s">
        <v>792</v>
      </c>
      <c r="F22" s="288" t="s">
        <v>792</v>
      </c>
      <c r="G22" s="288" t="s">
        <v>792</v>
      </c>
      <c r="H22" s="288" t="s">
        <v>792</v>
      </c>
      <c r="J22" s="288">
        <v>2018</v>
      </c>
      <c r="K22" s="288" t="s">
        <v>792</v>
      </c>
      <c r="L22" s="288" t="s">
        <v>792</v>
      </c>
      <c r="M22" s="288" t="s">
        <v>792</v>
      </c>
      <c r="N22" s="288" t="s">
        <v>792</v>
      </c>
      <c r="O22" s="288" t="s">
        <v>792</v>
      </c>
      <c r="P22" s="288" t="s">
        <v>792</v>
      </c>
      <c r="R22" s="289" t="s">
        <v>911</v>
      </c>
      <c r="S22" s="289">
        <v>2018</v>
      </c>
      <c r="T22" s="289">
        <v>1047</v>
      </c>
      <c r="U22" s="289">
        <v>1221</v>
      </c>
      <c r="V22" s="289">
        <v>1571</v>
      </c>
      <c r="W22" s="289">
        <v>1755</v>
      </c>
      <c r="X22" s="289">
        <v>1238</v>
      </c>
      <c r="Y22" s="289">
        <v>6832</v>
      </c>
      <c r="Z22" s="289"/>
      <c r="AA22" s="289">
        <v>2018</v>
      </c>
      <c r="AB22" s="289">
        <v>81</v>
      </c>
      <c r="AC22" s="289">
        <v>5</v>
      </c>
      <c r="AD22" s="289">
        <v>0</v>
      </c>
      <c r="AE22" s="289">
        <v>2</v>
      </c>
      <c r="AF22" s="289">
        <v>1</v>
      </c>
      <c r="AG22" s="289">
        <v>89</v>
      </c>
      <c r="AI22" s="290" t="s">
        <v>415</v>
      </c>
      <c r="AJ22" s="290">
        <v>2018</v>
      </c>
      <c r="AK22" s="290">
        <v>1086</v>
      </c>
      <c r="AL22" s="290">
        <v>926</v>
      </c>
      <c r="AM22" s="290">
        <v>1079</v>
      </c>
      <c r="AN22" s="290">
        <v>1143</v>
      </c>
      <c r="AO22" s="290">
        <v>843</v>
      </c>
      <c r="AP22" s="290">
        <v>5077</v>
      </c>
      <c r="AQ22" s="290"/>
      <c r="AR22" s="290">
        <v>2018</v>
      </c>
      <c r="AS22" s="290">
        <v>155</v>
      </c>
      <c r="AT22" s="290">
        <v>1</v>
      </c>
      <c r="AU22" s="290">
        <v>0</v>
      </c>
      <c r="AV22" s="290">
        <v>0</v>
      </c>
      <c r="AW22" s="290">
        <v>0</v>
      </c>
      <c r="AX22" s="290">
        <v>156</v>
      </c>
      <c r="AZ22" s="300" t="s">
        <v>154</v>
      </c>
      <c r="BA22" s="300">
        <v>2018</v>
      </c>
      <c r="BB22" s="300">
        <v>146</v>
      </c>
      <c r="BC22" s="300">
        <v>53</v>
      </c>
      <c r="BD22" s="300">
        <v>122</v>
      </c>
      <c r="BE22" s="300">
        <v>172</v>
      </c>
      <c r="BF22" s="300">
        <v>166</v>
      </c>
      <c r="BG22" s="300">
        <v>659</v>
      </c>
      <c r="BH22" s="300"/>
      <c r="BI22" s="300">
        <v>2018</v>
      </c>
      <c r="BJ22" s="300">
        <v>32</v>
      </c>
      <c r="BK22" s="300">
        <v>0</v>
      </c>
      <c r="BL22" s="300">
        <v>0</v>
      </c>
      <c r="BM22" s="300">
        <v>0</v>
      </c>
      <c r="BN22" s="300">
        <v>0</v>
      </c>
      <c r="BO22" s="300">
        <v>32</v>
      </c>
      <c r="BQ22" s="309" t="s">
        <v>611</v>
      </c>
      <c r="BR22" s="309">
        <v>2018</v>
      </c>
      <c r="BS22" s="309">
        <v>81</v>
      </c>
      <c r="BT22" s="309">
        <v>84</v>
      </c>
      <c r="BU22" s="309">
        <v>171</v>
      </c>
      <c r="BV22" s="309">
        <v>285</v>
      </c>
      <c r="BW22" s="309">
        <v>244</v>
      </c>
      <c r="BX22" s="309">
        <v>865</v>
      </c>
      <c r="BY22" s="309"/>
      <c r="BZ22" s="309">
        <v>2018</v>
      </c>
      <c r="CA22" s="309">
        <v>24</v>
      </c>
      <c r="CB22" s="309">
        <v>0</v>
      </c>
      <c r="CC22" s="309">
        <v>0</v>
      </c>
      <c r="CD22" s="309">
        <v>0</v>
      </c>
      <c r="CE22" s="309">
        <v>0</v>
      </c>
      <c r="CF22" s="309">
        <v>24</v>
      </c>
      <c r="CH22" s="237" t="s">
        <v>279</v>
      </c>
      <c r="CI22" s="237">
        <v>2018</v>
      </c>
      <c r="CJ22" s="237" t="s">
        <v>792</v>
      </c>
      <c r="CK22" s="237" t="s">
        <v>792</v>
      </c>
      <c r="CL22" s="237" t="s">
        <v>792</v>
      </c>
      <c r="CM22" s="237" t="s">
        <v>792</v>
      </c>
      <c r="CN22" s="237" t="s">
        <v>792</v>
      </c>
      <c r="CO22" s="237" t="s">
        <v>792</v>
      </c>
      <c r="CP22" s="237"/>
      <c r="CQ22" s="237">
        <v>2018</v>
      </c>
      <c r="CR22" s="237" t="s">
        <v>792</v>
      </c>
      <c r="CS22" s="237" t="s">
        <v>792</v>
      </c>
      <c r="CT22" s="237" t="s">
        <v>792</v>
      </c>
      <c r="CU22" s="237" t="s">
        <v>792</v>
      </c>
      <c r="CV22" s="237" t="s">
        <v>792</v>
      </c>
      <c r="CW22" s="237" t="s">
        <v>792</v>
      </c>
      <c r="CY22" s="346" t="s">
        <v>868</v>
      </c>
      <c r="CZ22" s="346">
        <v>2019</v>
      </c>
      <c r="DA22" s="346">
        <v>144</v>
      </c>
      <c r="DB22" s="346">
        <v>219</v>
      </c>
      <c r="DC22" s="346">
        <v>260</v>
      </c>
      <c r="DD22" s="346">
        <v>325</v>
      </c>
      <c r="DE22" s="346">
        <v>253</v>
      </c>
      <c r="DF22" s="346">
        <v>1201</v>
      </c>
      <c r="DG22" s="346"/>
      <c r="DH22" s="346">
        <v>2019</v>
      </c>
      <c r="DI22" s="346">
        <v>7</v>
      </c>
      <c r="DJ22" s="346">
        <v>11</v>
      </c>
      <c r="DK22" s="346">
        <v>0</v>
      </c>
      <c r="DL22" s="346">
        <v>2</v>
      </c>
      <c r="DM22" s="346">
        <v>2</v>
      </c>
      <c r="DN22" s="346">
        <v>22</v>
      </c>
      <c r="DP22" s="349" t="s">
        <v>831</v>
      </c>
      <c r="DQ22" s="349">
        <v>2018</v>
      </c>
      <c r="DR22" s="349">
        <v>247</v>
      </c>
      <c r="DS22" s="349">
        <v>283</v>
      </c>
      <c r="DT22" s="349">
        <v>381</v>
      </c>
      <c r="DU22" s="349">
        <v>406</v>
      </c>
      <c r="DV22" s="349">
        <v>293</v>
      </c>
      <c r="DW22" s="349">
        <v>1610</v>
      </c>
      <c r="DX22" s="349"/>
      <c r="DY22" s="349">
        <v>2018</v>
      </c>
      <c r="DZ22" s="349">
        <v>16</v>
      </c>
      <c r="EA22" s="349">
        <v>1</v>
      </c>
      <c r="EB22" s="349">
        <v>0</v>
      </c>
      <c r="EC22" s="349">
        <v>0</v>
      </c>
      <c r="ED22" s="349">
        <v>0</v>
      </c>
      <c r="EE22" s="349">
        <v>17</v>
      </c>
      <c r="EG22" s="237" t="s">
        <v>1113</v>
      </c>
      <c r="EH22" s="237">
        <v>2018</v>
      </c>
      <c r="EI22" s="237" t="s">
        <v>792</v>
      </c>
      <c r="EJ22" s="237" t="s">
        <v>792</v>
      </c>
      <c r="EK22" s="237" t="s">
        <v>792</v>
      </c>
      <c r="EL22" s="237" t="s">
        <v>792</v>
      </c>
      <c r="EM22" s="237" t="s">
        <v>792</v>
      </c>
      <c r="EN22" s="237" t="s">
        <v>792</v>
      </c>
      <c r="EO22" s="237"/>
      <c r="EP22" s="237">
        <v>2018</v>
      </c>
      <c r="EQ22" s="237" t="s">
        <v>792</v>
      </c>
      <c r="ER22" s="237" t="s">
        <v>792</v>
      </c>
      <c r="ES22" s="237" t="s">
        <v>792</v>
      </c>
      <c r="ET22" s="237" t="s">
        <v>792</v>
      </c>
      <c r="EU22" s="237" t="s">
        <v>792</v>
      </c>
      <c r="EV22" s="237" t="s">
        <v>792</v>
      </c>
      <c r="EX22" s="309" t="s">
        <v>1186</v>
      </c>
      <c r="EY22" s="309">
        <v>2018</v>
      </c>
      <c r="EZ22" s="309">
        <v>567</v>
      </c>
      <c r="FA22" s="309">
        <v>663</v>
      </c>
      <c r="FB22" s="309">
        <v>780</v>
      </c>
      <c r="FC22" s="309">
        <v>800</v>
      </c>
      <c r="FD22" s="309">
        <v>927</v>
      </c>
      <c r="FE22" s="309">
        <v>3737</v>
      </c>
      <c r="FF22" s="309"/>
      <c r="FG22" s="309">
        <v>2018</v>
      </c>
      <c r="FH22" s="309">
        <v>85</v>
      </c>
      <c r="FI22" s="309">
        <v>12</v>
      </c>
      <c r="FJ22" s="309">
        <v>0</v>
      </c>
      <c r="FK22" s="309">
        <v>0</v>
      </c>
      <c r="FL22" s="309">
        <v>0</v>
      </c>
      <c r="FM22" s="309">
        <v>97</v>
      </c>
    </row>
    <row r="23" spans="1:169">
      <c r="A23" s="288" t="s">
        <v>682</v>
      </c>
      <c r="B23" s="288">
        <v>2018</v>
      </c>
      <c r="C23" s="288" t="s">
        <v>792</v>
      </c>
      <c r="D23" s="288" t="s">
        <v>792</v>
      </c>
      <c r="E23" s="288" t="s">
        <v>792</v>
      </c>
      <c r="F23" s="288" t="s">
        <v>792</v>
      </c>
      <c r="G23" s="288" t="s">
        <v>792</v>
      </c>
      <c r="H23" s="288" t="s">
        <v>792</v>
      </c>
      <c r="J23" s="288">
        <v>2018</v>
      </c>
      <c r="K23" s="288" t="s">
        <v>792</v>
      </c>
      <c r="L23" s="288" t="s">
        <v>792</v>
      </c>
      <c r="M23" s="288" t="s">
        <v>792</v>
      </c>
      <c r="N23" s="288" t="s">
        <v>792</v>
      </c>
      <c r="O23" s="288" t="s">
        <v>792</v>
      </c>
      <c r="P23" s="288" t="s">
        <v>792</v>
      </c>
      <c r="R23" s="289" t="s">
        <v>912</v>
      </c>
      <c r="S23" s="289">
        <v>2018</v>
      </c>
      <c r="T23" s="289">
        <v>1042</v>
      </c>
      <c r="U23" s="289">
        <v>585</v>
      </c>
      <c r="V23" s="289">
        <v>615</v>
      </c>
      <c r="W23" s="289">
        <v>685</v>
      </c>
      <c r="X23" s="289">
        <v>550</v>
      </c>
      <c r="Y23" s="289">
        <v>3477</v>
      </c>
      <c r="Z23" s="289"/>
      <c r="AA23" s="289">
        <v>2018</v>
      </c>
      <c r="AB23" s="289">
        <v>11</v>
      </c>
      <c r="AC23" s="289">
        <v>1</v>
      </c>
      <c r="AD23" s="289">
        <v>0</v>
      </c>
      <c r="AE23" s="289">
        <v>0</v>
      </c>
      <c r="AF23" s="289">
        <v>0</v>
      </c>
      <c r="AG23" s="289">
        <v>12</v>
      </c>
      <c r="AI23" s="290" t="s">
        <v>416</v>
      </c>
      <c r="AJ23" s="290">
        <v>2018</v>
      </c>
      <c r="AK23" s="290">
        <v>343</v>
      </c>
      <c r="AL23" s="290">
        <v>289</v>
      </c>
      <c r="AM23" s="290">
        <v>407</v>
      </c>
      <c r="AN23" s="290">
        <v>633</v>
      </c>
      <c r="AO23" s="290">
        <v>631</v>
      </c>
      <c r="AP23" s="290">
        <v>2303</v>
      </c>
      <c r="AQ23" s="290"/>
      <c r="AR23" s="290">
        <v>2018</v>
      </c>
      <c r="AS23" s="290">
        <v>42</v>
      </c>
      <c r="AT23" s="290">
        <v>1</v>
      </c>
      <c r="AU23" s="290">
        <v>0</v>
      </c>
      <c r="AV23" s="290">
        <v>0</v>
      </c>
      <c r="AW23" s="290">
        <v>0</v>
      </c>
      <c r="AX23" s="290">
        <v>43</v>
      </c>
      <c r="AZ23" s="300" t="s">
        <v>98</v>
      </c>
      <c r="BA23" s="300">
        <v>2018</v>
      </c>
      <c r="BB23" s="300">
        <v>35</v>
      </c>
      <c r="BC23" s="300">
        <v>34</v>
      </c>
      <c r="BD23" s="300">
        <v>91</v>
      </c>
      <c r="BE23" s="300">
        <v>127</v>
      </c>
      <c r="BF23" s="300">
        <v>122</v>
      </c>
      <c r="BG23" s="300">
        <v>409</v>
      </c>
      <c r="BH23" s="300"/>
      <c r="BI23" s="300">
        <v>2018</v>
      </c>
      <c r="BJ23" s="300">
        <v>15</v>
      </c>
      <c r="BK23" s="300">
        <v>1</v>
      </c>
      <c r="BL23" s="300">
        <v>0</v>
      </c>
      <c r="BM23" s="300">
        <v>0</v>
      </c>
      <c r="BN23" s="300">
        <v>0</v>
      </c>
      <c r="BO23" s="300">
        <v>16</v>
      </c>
      <c r="BQ23" s="309" t="s">
        <v>614</v>
      </c>
      <c r="BR23" s="309">
        <v>2018</v>
      </c>
      <c r="BS23" s="309">
        <v>50</v>
      </c>
      <c r="BT23" s="309">
        <v>79</v>
      </c>
      <c r="BU23" s="309">
        <v>163</v>
      </c>
      <c r="BV23" s="309">
        <v>280</v>
      </c>
      <c r="BW23" s="309">
        <v>290</v>
      </c>
      <c r="BX23" s="309">
        <v>862</v>
      </c>
      <c r="BY23" s="309"/>
      <c r="BZ23" s="309">
        <v>2018</v>
      </c>
      <c r="CA23" s="309">
        <v>14</v>
      </c>
      <c r="CB23" s="309">
        <v>0</v>
      </c>
      <c r="CC23" s="309">
        <v>0</v>
      </c>
      <c r="CD23" s="309">
        <v>0</v>
      </c>
      <c r="CE23" s="309">
        <v>0</v>
      </c>
      <c r="CF23" s="309">
        <v>14</v>
      </c>
      <c r="CH23" s="237" t="s">
        <v>283</v>
      </c>
      <c r="CI23" s="237">
        <v>2018</v>
      </c>
      <c r="CJ23" s="237">
        <v>72</v>
      </c>
      <c r="CK23" s="237">
        <v>132</v>
      </c>
      <c r="CL23" s="237">
        <v>298</v>
      </c>
      <c r="CM23" s="237">
        <v>484</v>
      </c>
      <c r="CN23" s="237">
        <v>410</v>
      </c>
      <c r="CO23" s="237">
        <v>1396</v>
      </c>
      <c r="CP23" s="237"/>
      <c r="CQ23" s="237">
        <v>2018</v>
      </c>
      <c r="CR23" s="237">
        <v>15</v>
      </c>
      <c r="CS23" s="237">
        <v>1</v>
      </c>
      <c r="CT23" s="237">
        <v>0</v>
      </c>
      <c r="CU23" s="237">
        <v>0</v>
      </c>
      <c r="CV23" s="237">
        <v>0</v>
      </c>
      <c r="CW23" s="237">
        <v>16</v>
      </c>
      <c r="CY23" s="346" t="s">
        <v>869</v>
      </c>
      <c r="CZ23" s="346">
        <v>2019</v>
      </c>
      <c r="DA23" s="346">
        <v>341</v>
      </c>
      <c r="DB23" s="346">
        <v>556</v>
      </c>
      <c r="DC23" s="346">
        <v>721</v>
      </c>
      <c r="DD23" s="346">
        <v>941</v>
      </c>
      <c r="DE23" s="346">
        <v>701</v>
      </c>
      <c r="DF23" s="346">
        <v>3260</v>
      </c>
      <c r="DG23" s="346"/>
      <c r="DH23" s="346">
        <v>2019</v>
      </c>
      <c r="DI23" s="346">
        <v>15</v>
      </c>
      <c r="DJ23" s="346">
        <v>6</v>
      </c>
      <c r="DK23" s="346">
        <v>1</v>
      </c>
      <c r="DL23" s="346">
        <v>3</v>
      </c>
      <c r="DM23" s="346">
        <v>0</v>
      </c>
      <c r="DN23" s="346">
        <v>25</v>
      </c>
      <c r="DP23" s="349" t="s">
        <v>833</v>
      </c>
      <c r="DQ23" s="349">
        <v>2018</v>
      </c>
      <c r="DR23" s="349">
        <v>130</v>
      </c>
      <c r="DS23" s="349">
        <v>132</v>
      </c>
      <c r="DT23" s="349">
        <v>189</v>
      </c>
      <c r="DU23" s="349">
        <v>221</v>
      </c>
      <c r="DV23" s="349">
        <v>220</v>
      </c>
      <c r="DW23" s="349">
        <v>892</v>
      </c>
      <c r="DX23" s="349"/>
      <c r="DY23" s="349">
        <v>2018</v>
      </c>
      <c r="DZ23" s="349">
        <v>13</v>
      </c>
      <c r="EA23" s="349">
        <v>0</v>
      </c>
      <c r="EB23" s="349">
        <v>0</v>
      </c>
      <c r="EC23" s="349">
        <v>0</v>
      </c>
      <c r="ED23" s="349">
        <v>0</v>
      </c>
      <c r="EE23" s="349">
        <v>13</v>
      </c>
      <c r="EG23" s="237" t="s">
        <v>1116</v>
      </c>
      <c r="EH23" s="237">
        <v>2018</v>
      </c>
      <c r="EI23" s="237" t="s">
        <v>792</v>
      </c>
      <c r="EJ23" s="237" t="s">
        <v>792</v>
      </c>
      <c r="EK23" s="237" t="s">
        <v>792</v>
      </c>
      <c r="EL23" s="237" t="s">
        <v>792</v>
      </c>
      <c r="EM23" s="237" t="s">
        <v>792</v>
      </c>
      <c r="EN23" s="237" t="s">
        <v>792</v>
      </c>
      <c r="EO23" s="237"/>
      <c r="EP23" s="237">
        <v>2018</v>
      </c>
      <c r="EQ23" s="237" t="s">
        <v>792</v>
      </c>
      <c r="ER23" s="237" t="s">
        <v>792</v>
      </c>
      <c r="ES23" s="237" t="s">
        <v>792</v>
      </c>
      <c r="ET23" s="237" t="s">
        <v>792</v>
      </c>
      <c r="EU23" s="237" t="s">
        <v>792</v>
      </c>
      <c r="EV23" s="237" t="s">
        <v>792</v>
      </c>
      <c r="EX23" s="309" t="s">
        <v>1188</v>
      </c>
      <c r="EY23" s="309">
        <v>2018</v>
      </c>
      <c r="EZ23" s="309">
        <v>2297</v>
      </c>
      <c r="FA23" s="309">
        <v>1249</v>
      </c>
      <c r="FB23" s="309">
        <v>908</v>
      </c>
      <c r="FC23" s="309">
        <v>806</v>
      </c>
      <c r="FD23" s="309">
        <v>903</v>
      </c>
      <c r="FE23" s="309">
        <v>6163</v>
      </c>
      <c r="FF23" s="309"/>
      <c r="FG23" s="309">
        <v>2018</v>
      </c>
      <c r="FH23" s="309">
        <v>277</v>
      </c>
      <c r="FI23" s="309">
        <v>0</v>
      </c>
      <c r="FJ23" s="309">
        <v>0</v>
      </c>
      <c r="FK23" s="309">
        <v>0</v>
      </c>
      <c r="FL23" s="309">
        <v>0</v>
      </c>
      <c r="FM23" s="309">
        <v>277</v>
      </c>
    </row>
    <row r="24" spans="1:169">
      <c r="A24" s="288" t="s">
        <v>685</v>
      </c>
      <c r="B24" s="288">
        <v>2018</v>
      </c>
      <c r="C24" s="288" t="s">
        <v>792</v>
      </c>
      <c r="D24" s="288" t="s">
        <v>792</v>
      </c>
      <c r="E24" s="288" t="s">
        <v>792</v>
      </c>
      <c r="F24" s="288" t="s">
        <v>792</v>
      </c>
      <c r="G24" s="288" t="s">
        <v>792</v>
      </c>
      <c r="H24" s="288" t="s">
        <v>792</v>
      </c>
      <c r="J24" s="288">
        <v>2018</v>
      </c>
      <c r="K24" s="288" t="s">
        <v>792</v>
      </c>
      <c r="L24" s="288" t="s">
        <v>792</v>
      </c>
      <c r="M24" s="288" t="s">
        <v>792</v>
      </c>
      <c r="N24" s="288" t="s">
        <v>792</v>
      </c>
      <c r="O24" s="288" t="s">
        <v>792</v>
      </c>
      <c r="P24" s="288" t="s">
        <v>792</v>
      </c>
      <c r="R24" s="289" t="s">
        <v>913</v>
      </c>
      <c r="S24" s="289">
        <v>2018</v>
      </c>
      <c r="T24" s="289">
        <v>154</v>
      </c>
      <c r="U24" s="289">
        <v>234</v>
      </c>
      <c r="V24" s="289">
        <v>425</v>
      </c>
      <c r="W24" s="289">
        <v>502</v>
      </c>
      <c r="X24" s="289">
        <v>396</v>
      </c>
      <c r="Y24" s="289">
        <v>1711</v>
      </c>
      <c r="Z24" s="289"/>
      <c r="AA24" s="289">
        <v>2018</v>
      </c>
      <c r="AB24" s="289">
        <v>10</v>
      </c>
      <c r="AC24" s="289">
        <v>2</v>
      </c>
      <c r="AD24" s="289">
        <v>3</v>
      </c>
      <c r="AE24" s="289">
        <v>1</v>
      </c>
      <c r="AF24" s="289">
        <v>1</v>
      </c>
      <c r="AG24" s="289">
        <v>17</v>
      </c>
      <c r="AI24" s="290" t="s">
        <v>417</v>
      </c>
      <c r="AJ24" s="290">
        <v>2018</v>
      </c>
      <c r="AK24" s="290">
        <v>622</v>
      </c>
      <c r="AL24" s="290">
        <v>481</v>
      </c>
      <c r="AM24" s="290">
        <v>894</v>
      </c>
      <c r="AN24" s="290">
        <v>1279</v>
      </c>
      <c r="AO24" s="290">
        <v>1122</v>
      </c>
      <c r="AP24" s="290">
        <v>4398</v>
      </c>
      <c r="AQ24" s="290"/>
      <c r="AR24" s="290">
        <v>2018</v>
      </c>
      <c r="AS24" s="290">
        <v>38</v>
      </c>
      <c r="AT24" s="290">
        <v>0</v>
      </c>
      <c r="AU24" s="290">
        <v>0</v>
      </c>
      <c r="AV24" s="290">
        <v>0</v>
      </c>
      <c r="AW24" s="290">
        <v>0</v>
      </c>
      <c r="AX24" s="290">
        <v>38</v>
      </c>
      <c r="AZ24" s="300" t="s">
        <v>156</v>
      </c>
      <c r="BA24" s="300">
        <v>2018</v>
      </c>
      <c r="BB24" s="300">
        <v>106</v>
      </c>
      <c r="BC24" s="300">
        <v>69</v>
      </c>
      <c r="BD24" s="300">
        <v>118</v>
      </c>
      <c r="BE24" s="300">
        <v>135</v>
      </c>
      <c r="BF24" s="300">
        <v>174</v>
      </c>
      <c r="BG24" s="300">
        <v>602</v>
      </c>
      <c r="BH24" s="300"/>
      <c r="BI24" s="300">
        <v>2018</v>
      </c>
      <c r="BJ24" s="300">
        <v>15</v>
      </c>
      <c r="BK24" s="300">
        <v>0</v>
      </c>
      <c r="BL24" s="300">
        <v>0</v>
      </c>
      <c r="BM24" s="300">
        <v>0</v>
      </c>
      <c r="BN24" s="300">
        <v>0</v>
      </c>
      <c r="BO24" s="300">
        <v>15</v>
      </c>
      <c r="BQ24" s="309" t="s">
        <v>617</v>
      </c>
      <c r="BR24" s="309">
        <v>2018</v>
      </c>
      <c r="BS24" s="309">
        <v>58</v>
      </c>
      <c r="BT24" s="309">
        <v>77</v>
      </c>
      <c r="BU24" s="309">
        <v>142</v>
      </c>
      <c r="BV24" s="309">
        <v>236</v>
      </c>
      <c r="BW24" s="309">
        <v>209</v>
      </c>
      <c r="BX24" s="309">
        <v>722</v>
      </c>
      <c r="BY24" s="309"/>
      <c r="BZ24" s="309">
        <v>2018</v>
      </c>
      <c r="CA24" s="309">
        <v>17</v>
      </c>
      <c r="CB24" s="309">
        <v>0</v>
      </c>
      <c r="CC24" s="309">
        <v>0</v>
      </c>
      <c r="CD24" s="309">
        <v>0</v>
      </c>
      <c r="CE24" s="309">
        <v>0</v>
      </c>
      <c r="CF24" s="309">
        <v>17</v>
      </c>
      <c r="CH24" s="237" t="s">
        <v>285</v>
      </c>
      <c r="CI24" s="237">
        <v>2018</v>
      </c>
      <c r="CJ24" s="237">
        <v>1143</v>
      </c>
      <c r="CK24" s="237">
        <v>628</v>
      </c>
      <c r="CL24" s="237">
        <v>835</v>
      </c>
      <c r="CM24" s="237">
        <v>865</v>
      </c>
      <c r="CN24" s="237">
        <v>747</v>
      </c>
      <c r="CO24" s="237">
        <v>4218</v>
      </c>
      <c r="CP24" s="237"/>
      <c r="CQ24" s="237">
        <v>2018</v>
      </c>
      <c r="CR24" s="237">
        <v>337</v>
      </c>
      <c r="CS24" s="237">
        <v>1</v>
      </c>
      <c r="CT24" s="237">
        <v>1</v>
      </c>
      <c r="CU24" s="237">
        <v>1</v>
      </c>
      <c r="CV24" s="237">
        <v>0</v>
      </c>
      <c r="CW24" s="237">
        <v>340</v>
      </c>
      <c r="CY24" s="346" t="s">
        <v>870</v>
      </c>
      <c r="CZ24" s="346">
        <v>2019</v>
      </c>
      <c r="DA24" s="346">
        <v>353</v>
      </c>
      <c r="DB24" s="346">
        <v>442</v>
      </c>
      <c r="DC24" s="346">
        <v>589</v>
      </c>
      <c r="DD24" s="346">
        <v>644</v>
      </c>
      <c r="DE24" s="346">
        <v>499</v>
      </c>
      <c r="DF24" s="346">
        <v>2527</v>
      </c>
      <c r="DG24" s="346"/>
      <c r="DH24" s="346">
        <v>2019</v>
      </c>
      <c r="DI24" s="346">
        <v>15</v>
      </c>
      <c r="DJ24" s="346">
        <v>8</v>
      </c>
      <c r="DK24" s="346">
        <v>1</v>
      </c>
      <c r="DL24" s="346">
        <v>0</v>
      </c>
      <c r="DM24" s="346">
        <v>0</v>
      </c>
      <c r="DN24" s="346">
        <v>24</v>
      </c>
      <c r="DP24" s="349" t="s">
        <v>835</v>
      </c>
      <c r="DQ24" s="349">
        <v>2018</v>
      </c>
      <c r="DR24" s="349">
        <v>3117</v>
      </c>
      <c r="DS24" s="349">
        <v>1364</v>
      </c>
      <c r="DT24" s="349">
        <v>1252</v>
      </c>
      <c r="DU24" s="349">
        <v>1139</v>
      </c>
      <c r="DV24" s="349">
        <v>1413</v>
      </c>
      <c r="DW24" s="349">
        <v>8285</v>
      </c>
      <c r="DX24" s="349"/>
      <c r="DY24" s="349">
        <v>2018</v>
      </c>
      <c r="DZ24" s="349">
        <v>313</v>
      </c>
      <c r="EA24" s="349">
        <v>0</v>
      </c>
      <c r="EB24" s="349">
        <v>0</v>
      </c>
      <c r="EC24" s="349">
        <v>0</v>
      </c>
      <c r="ED24" s="349">
        <v>0</v>
      </c>
      <c r="EE24" s="349">
        <v>313</v>
      </c>
      <c r="EG24" s="237" t="s">
        <v>1119</v>
      </c>
      <c r="EH24" s="237">
        <v>2018</v>
      </c>
      <c r="EI24" s="237">
        <v>189</v>
      </c>
      <c r="EJ24" s="237">
        <v>188</v>
      </c>
      <c r="EK24" s="237">
        <v>207</v>
      </c>
      <c r="EL24" s="237">
        <v>240</v>
      </c>
      <c r="EM24" s="237">
        <v>269</v>
      </c>
      <c r="EN24" s="237">
        <v>1093</v>
      </c>
      <c r="EO24" s="237"/>
      <c r="EP24" s="237">
        <v>2018</v>
      </c>
      <c r="EQ24" s="237">
        <v>36</v>
      </c>
      <c r="ER24" s="237">
        <v>5</v>
      </c>
      <c r="ES24" s="237">
        <v>1</v>
      </c>
      <c r="ET24" s="237">
        <v>0</v>
      </c>
      <c r="EU24" s="237">
        <v>0</v>
      </c>
      <c r="EV24" s="237">
        <v>42</v>
      </c>
      <c r="EX24" s="309" t="s">
        <v>1190</v>
      </c>
      <c r="EY24" s="309">
        <v>2018</v>
      </c>
      <c r="EZ24" s="309">
        <v>902</v>
      </c>
      <c r="FA24" s="309">
        <v>1079</v>
      </c>
      <c r="FB24" s="309">
        <v>833</v>
      </c>
      <c r="FC24" s="309">
        <v>718</v>
      </c>
      <c r="FD24" s="309">
        <v>683</v>
      </c>
      <c r="FE24" s="309">
        <v>4215</v>
      </c>
      <c r="FF24" s="309"/>
      <c r="FG24" s="309">
        <v>2018</v>
      </c>
      <c r="FH24" s="309">
        <v>78</v>
      </c>
      <c r="FI24" s="309">
        <v>0</v>
      </c>
      <c r="FJ24" s="309">
        <v>0</v>
      </c>
      <c r="FK24" s="309">
        <v>0</v>
      </c>
      <c r="FL24" s="309">
        <v>0</v>
      </c>
      <c r="FM24" s="309">
        <v>78</v>
      </c>
    </row>
    <row r="25" spans="1:169">
      <c r="A25" s="288" t="s">
        <v>688</v>
      </c>
      <c r="B25" s="288">
        <v>2018</v>
      </c>
      <c r="C25" s="288">
        <v>688</v>
      </c>
      <c r="D25" s="288">
        <v>310</v>
      </c>
      <c r="E25" s="288">
        <v>248</v>
      </c>
      <c r="F25" s="288">
        <v>259</v>
      </c>
      <c r="G25" s="288">
        <v>295</v>
      </c>
      <c r="H25" s="288">
        <v>1800</v>
      </c>
      <c r="J25" s="288">
        <v>2018</v>
      </c>
      <c r="K25" s="288">
        <v>1120</v>
      </c>
      <c r="L25" s="288">
        <v>812</v>
      </c>
      <c r="M25" s="288">
        <v>761</v>
      </c>
      <c r="N25" s="288">
        <v>853</v>
      </c>
      <c r="O25" s="288">
        <v>1062</v>
      </c>
      <c r="P25" s="288">
        <v>4608</v>
      </c>
      <c r="R25" s="289" t="s">
        <v>914</v>
      </c>
      <c r="S25" s="289">
        <v>2018</v>
      </c>
      <c r="T25" s="289">
        <v>160</v>
      </c>
      <c r="U25" s="289">
        <v>270</v>
      </c>
      <c r="V25" s="289">
        <v>429</v>
      </c>
      <c r="W25" s="289">
        <v>467</v>
      </c>
      <c r="X25" s="289">
        <v>407</v>
      </c>
      <c r="Y25" s="289">
        <v>1733</v>
      </c>
      <c r="Z25" s="289"/>
      <c r="AA25" s="289">
        <v>2018</v>
      </c>
      <c r="AB25" s="289">
        <v>11</v>
      </c>
      <c r="AC25" s="289">
        <v>1</v>
      </c>
      <c r="AD25" s="289">
        <v>0</v>
      </c>
      <c r="AE25" s="289">
        <v>0</v>
      </c>
      <c r="AF25" s="289">
        <v>0</v>
      </c>
      <c r="AG25" s="289">
        <v>12</v>
      </c>
      <c r="AI25" s="290" t="s">
        <v>418</v>
      </c>
      <c r="AJ25" s="290">
        <v>2018</v>
      </c>
      <c r="AK25" s="290">
        <v>370</v>
      </c>
      <c r="AL25" s="290">
        <v>459</v>
      </c>
      <c r="AM25" s="290">
        <v>836</v>
      </c>
      <c r="AN25" s="290">
        <v>1083</v>
      </c>
      <c r="AO25" s="290">
        <v>834</v>
      </c>
      <c r="AP25" s="290">
        <v>3582</v>
      </c>
      <c r="AQ25" s="290"/>
      <c r="AR25" s="290">
        <v>2018</v>
      </c>
      <c r="AS25" s="290">
        <v>20</v>
      </c>
      <c r="AT25" s="290">
        <v>3</v>
      </c>
      <c r="AU25" s="290">
        <v>1</v>
      </c>
      <c r="AV25" s="290">
        <v>1</v>
      </c>
      <c r="AW25" s="290">
        <v>0</v>
      </c>
      <c r="AX25" s="290">
        <v>25</v>
      </c>
      <c r="AZ25" s="300" t="s">
        <v>100</v>
      </c>
      <c r="BA25" s="300">
        <v>2018</v>
      </c>
      <c r="BB25" s="300">
        <v>47</v>
      </c>
      <c r="BC25" s="300">
        <v>30</v>
      </c>
      <c r="BD25" s="300">
        <v>93</v>
      </c>
      <c r="BE25" s="300">
        <v>139</v>
      </c>
      <c r="BF25" s="300">
        <v>133</v>
      </c>
      <c r="BG25" s="300">
        <v>442</v>
      </c>
      <c r="BH25" s="300"/>
      <c r="BI25" s="300">
        <v>2018</v>
      </c>
      <c r="BJ25" s="300">
        <v>17</v>
      </c>
      <c r="BK25" s="300">
        <v>0</v>
      </c>
      <c r="BL25" s="300">
        <v>0</v>
      </c>
      <c r="BM25" s="300">
        <v>0</v>
      </c>
      <c r="BN25" s="300">
        <v>0</v>
      </c>
      <c r="BO25" s="300">
        <v>17</v>
      </c>
      <c r="BQ25" s="309" t="s">
        <v>619</v>
      </c>
      <c r="BR25" s="309">
        <v>2018</v>
      </c>
      <c r="BS25" s="309">
        <v>67</v>
      </c>
      <c r="BT25" s="309">
        <v>54</v>
      </c>
      <c r="BU25" s="309">
        <v>132</v>
      </c>
      <c r="BV25" s="309">
        <v>191</v>
      </c>
      <c r="BW25" s="309">
        <v>225</v>
      </c>
      <c r="BX25" s="309">
        <v>669</v>
      </c>
      <c r="BY25" s="309"/>
      <c r="BZ25" s="309">
        <v>2018</v>
      </c>
      <c r="CA25" s="309">
        <v>22</v>
      </c>
      <c r="CB25" s="309">
        <v>0</v>
      </c>
      <c r="CC25" s="309">
        <v>0</v>
      </c>
      <c r="CD25" s="309">
        <v>0</v>
      </c>
      <c r="CE25" s="309">
        <v>0</v>
      </c>
      <c r="CF25" s="309">
        <v>22</v>
      </c>
      <c r="CH25" s="237" t="s">
        <v>218</v>
      </c>
      <c r="CI25" s="237">
        <v>2018</v>
      </c>
      <c r="CJ25" s="237">
        <v>51</v>
      </c>
      <c r="CK25" s="237">
        <v>43</v>
      </c>
      <c r="CL25" s="237">
        <v>69</v>
      </c>
      <c r="CM25" s="237">
        <v>90</v>
      </c>
      <c r="CN25" s="237">
        <v>92</v>
      </c>
      <c r="CO25" s="237">
        <v>345</v>
      </c>
      <c r="CP25" s="237"/>
      <c r="CQ25" s="237">
        <v>2018</v>
      </c>
      <c r="CR25" s="237">
        <v>18</v>
      </c>
      <c r="CS25" s="237">
        <v>0</v>
      </c>
      <c r="CT25" s="237">
        <v>0</v>
      </c>
      <c r="CU25" s="237">
        <v>0</v>
      </c>
      <c r="CV25" s="237">
        <v>0</v>
      </c>
      <c r="CW25" s="237">
        <v>18</v>
      </c>
      <c r="CY25" s="346" t="s">
        <v>871</v>
      </c>
      <c r="CZ25" s="346">
        <v>2019</v>
      </c>
      <c r="DA25" s="346">
        <v>391</v>
      </c>
      <c r="DB25" s="346">
        <v>431</v>
      </c>
      <c r="DC25" s="346">
        <v>508</v>
      </c>
      <c r="DD25" s="346">
        <v>702</v>
      </c>
      <c r="DE25" s="346">
        <v>660</v>
      </c>
      <c r="DF25" s="346">
        <v>2692</v>
      </c>
      <c r="DG25" s="346"/>
      <c r="DH25" s="346">
        <v>2019</v>
      </c>
      <c r="DI25" s="346">
        <v>13</v>
      </c>
      <c r="DJ25" s="346">
        <v>9</v>
      </c>
      <c r="DK25" s="346">
        <v>1</v>
      </c>
      <c r="DL25" s="346">
        <v>2</v>
      </c>
      <c r="DM25" s="346">
        <v>0</v>
      </c>
      <c r="DN25" s="346">
        <v>25</v>
      </c>
      <c r="EG25" s="237" t="s">
        <v>1122</v>
      </c>
      <c r="EH25" s="237">
        <v>2018</v>
      </c>
      <c r="EI25" s="237">
        <v>151</v>
      </c>
      <c r="EJ25" s="237">
        <v>245</v>
      </c>
      <c r="EK25" s="237">
        <v>255</v>
      </c>
      <c r="EL25" s="237">
        <v>292</v>
      </c>
      <c r="EM25" s="237">
        <v>325</v>
      </c>
      <c r="EN25" s="237">
        <v>1268</v>
      </c>
      <c r="EO25" s="237"/>
      <c r="EP25" s="237">
        <v>2018</v>
      </c>
      <c r="EQ25" s="237">
        <v>43</v>
      </c>
      <c r="ER25" s="237">
        <v>21</v>
      </c>
      <c r="ES25" s="237">
        <v>14</v>
      </c>
      <c r="ET25" s="237">
        <v>18</v>
      </c>
      <c r="EU25" s="237">
        <v>31</v>
      </c>
      <c r="EV25" s="237">
        <v>127</v>
      </c>
      <c r="EX25" s="309" t="s">
        <v>1904</v>
      </c>
      <c r="EY25" s="309">
        <v>2018</v>
      </c>
      <c r="EZ25" s="309" t="s">
        <v>792</v>
      </c>
      <c r="FA25" s="309" t="s">
        <v>792</v>
      </c>
      <c r="FB25" s="309" t="s">
        <v>792</v>
      </c>
      <c r="FC25" s="309" t="s">
        <v>792</v>
      </c>
      <c r="FD25" s="309" t="s">
        <v>792</v>
      </c>
      <c r="FE25" s="309" t="s">
        <v>792</v>
      </c>
      <c r="FF25" s="309"/>
      <c r="FG25" s="309">
        <v>2018</v>
      </c>
      <c r="FH25" s="309" t="s">
        <v>792</v>
      </c>
      <c r="FI25" s="309" t="s">
        <v>792</v>
      </c>
      <c r="FJ25" s="309" t="s">
        <v>792</v>
      </c>
      <c r="FK25" s="309" t="s">
        <v>792</v>
      </c>
      <c r="FL25" s="309" t="s">
        <v>792</v>
      </c>
      <c r="FM25" s="309" t="s">
        <v>792</v>
      </c>
    </row>
    <row r="26" spans="1:169">
      <c r="A26" s="288" t="s">
        <v>691</v>
      </c>
      <c r="B26" s="288">
        <v>2018</v>
      </c>
      <c r="C26" s="288">
        <v>282</v>
      </c>
      <c r="D26" s="288">
        <v>13</v>
      </c>
      <c r="E26" s="288">
        <v>0</v>
      </c>
      <c r="F26" s="288">
        <v>0</v>
      </c>
      <c r="G26" s="288">
        <v>0</v>
      </c>
      <c r="H26" s="288">
        <v>295</v>
      </c>
      <c r="J26" s="288">
        <v>2018</v>
      </c>
      <c r="K26" s="288">
        <v>820</v>
      </c>
      <c r="L26" s="288">
        <v>721</v>
      </c>
      <c r="M26" s="288">
        <v>632</v>
      </c>
      <c r="N26" s="288">
        <v>665</v>
      </c>
      <c r="O26" s="288">
        <v>890</v>
      </c>
      <c r="P26" s="288">
        <v>3728</v>
      </c>
      <c r="R26" s="289" t="s">
        <v>915</v>
      </c>
      <c r="S26" s="289">
        <v>2018</v>
      </c>
      <c r="T26" s="289">
        <v>1195</v>
      </c>
      <c r="U26" s="289">
        <v>1004</v>
      </c>
      <c r="V26" s="289">
        <v>1428</v>
      </c>
      <c r="W26" s="289">
        <v>1894</v>
      </c>
      <c r="X26" s="289">
        <v>1490</v>
      </c>
      <c r="Y26" s="289">
        <v>7011</v>
      </c>
      <c r="Z26" s="289"/>
      <c r="AA26" s="289">
        <v>2018</v>
      </c>
      <c r="AB26" s="289">
        <v>34</v>
      </c>
      <c r="AC26" s="289">
        <v>0</v>
      </c>
      <c r="AD26" s="289">
        <v>1</v>
      </c>
      <c r="AE26" s="289">
        <v>0</v>
      </c>
      <c r="AF26" s="289">
        <v>0</v>
      </c>
      <c r="AG26" s="289">
        <v>35</v>
      </c>
      <c r="AI26" s="290" t="s">
        <v>419</v>
      </c>
      <c r="AJ26" s="290">
        <v>2018</v>
      </c>
      <c r="AK26" s="290">
        <v>502</v>
      </c>
      <c r="AL26" s="290">
        <v>684</v>
      </c>
      <c r="AM26" s="290">
        <v>941</v>
      </c>
      <c r="AN26" s="290">
        <v>937</v>
      </c>
      <c r="AO26" s="290">
        <v>560</v>
      </c>
      <c r="AP26" s="290">
        <v>3624</v>
      </c>
      <c r="AQ26" s="290"/>
      <c r="AR26" s="290">
        <v>2018</v>
      </c>
      <c r="AS26" s="290">
        <v>24</v>
      </c>
      <c r="AT26" s="290">
        <v>2</v>
      </c>
      <c r="AU26" s="290">
        <v>1</v>
      </c>
      <c r="AV26" s="290">
        <v>1</v>
      </c>
      <c r="AW26" s="290">
        <v>0</v>
      </c>
      <c r="AX26" s="290">
        <v>28</v>
      </c>
      <c r="AZ26" s="300" t="s">
        <v>101</v>
      </c>
      <c r="BA26" s="300">
        <v>2018</v>
      </c>
      <c r="BB26" s="300">
        <v>559</v>
      </c>
      <c r="BC26" s="300">
        <v>379</v>
      </c>
      <c r="BD26" s="300">
        <v>419</v>
      </c>
      <c r="BE26" s="300">
        <v>550</v>
      </c>
      <c r="BF26" s="300">
        <v>416</v>
      </c>
      <c r="BG26" s="300">
        <v>2323</v>
      </c>
      <c r="BH26" s="300"/>
      <c r="BI26" s="300">
        <v>2018</v>
      </c>
      <c r="BJ26" s="300">
        <v>22</v>
      </c>
      <c r="BK26" s="300">
        <v>0</v>
      </c>
      <c r="BL26" s="300">
        <v>0</v>
      </c>
      <c r="BM26" s="300">
        <v>0</v>
      </c>
      <c r="BN26" s="300">
        <v>0</v>
      </c>
      <c r="BO26" s="300">
        <v>22</v>
      </c>
      <c r="BQ26" s="309" t="s">
        <v>622</v>
      </c>
      <c r="BR26" s="309">
        <v>2018</v>
      </c>
      <c r="BS26" s="309">
        <v>84</v>
      </c>
      <c r="BT26" s="309">
        <v>55</v>
      </c>
      <c r="BU26" s="309">
        <v>102</v>
      </c>
      <c r="BV26" s="309">
        <v>149</v>
      </c>
      <c r="BW26" s="309">
        <v>155</v>
      </c>
      <c r="BX26" s="309">
        <v>545</v>
      </c>
      <c r="BY26" s="309"/>
      <c r="BZ26" s="309">
        <v>2018</v>
      </c>
      <c r="CA26" s="309">
        <v>18</v>
      </c>
      <c r="CB26" s="309">
        <v>0</v>
      </c>
      <c r="CC26" s="309">
        <v>0</v>
      </c>
      <c r="CD26" s="309">
        <v>0</v>
      </c>
      <c r="CE26" s="309">
        <v>0</v>
      </c>
      <c r="CF26" s="309">
        <v>18</v>
      </c>
      <c r="CH26" s="237" t="s">
        <v>242</v>
      </c>
      <c r="CI26" s="237">
        <v>2018</v>
      </c>
      <c r="CJ26" s="237">
        <v>266</v>
      </c>
      <c r="CK26" s="237">
        <v>101</v>
      </c>
      <c r="CL26" s="237">
        <v>142</v>
      </c>
      <c r="CM26" s="237">
        <v>237</v>
      </c>
      <c r="CN26" s="237">
        <v>315</v>
      </c>
      <c r="CO26" s="237">
        <v>1061</v>
      </c>
      <c r="CP26" s="237"/>
      <c r="CQ26" s="237">
        <v>2018</v>
      </c>
      <c r="CR26" s="237">
        <v>75</v>
      </c>
      <c r="CS26" s="237">
        <v>0</v>
      </c>
      <c r="CT26" s="237">
        <v>0</v>
      </c>
      <c r="CU26" s="237">
        <v>0</v>
      </c>
      <c r="CV26" s="237">
        <v>0</v>
      </c>
      <c r="CW26" s="237">
        <v>75</v>
      </c>
      <c r="CY26" s="346" t="s">
        <v>872</v>
      </c>
      <c r="CZ26" s="346">
        <v>2019</v>
      </c>
      <c r="DA26" s="346">
        <v>250</v>
      </c>
      <c r="DB26" s="346">
        <v>398</v>
      </c>
      <c r="DC26" s="346">
        <v>513</v>
      </c>
      <c r="DD26" s="346">
        <v>545</v>
      </c>
      <c r="DE26" s="346">
        <v>443</v>
      </c>
      <c r="DF26" s="346">
        <v>2149</v>
      </c>
      <c r="DG26" s="346"/>
      <c r="DH26" s="346">
        <v>2019</v>
      </c>
      <c r="DI26" s="346">
        <v>35</v>
      </c>
      <c r="DJ26" s="346">
        <v>0</v>
      </c>
      <c r="DK26" s="346">
        <v>0</v>
      </c>
      <c r="DL26" s="346">
        <v>0</v>
      </c>
      <c r="DM26" s="346">
        <v>0</v>
      </c>
      <c r="DN26" s="346">
        <v>35</v>
      </c>
      <c r="DP26" s="349" t="s">
        <v>793</v>
      </c>
      <c r="DQ26" s="349">
        <v>2019</v>
      </c>
      <c r="DR26" s="349">
        <v>554</v>
      </c>
      <c r="DS26" s="349">
        <v>511</v>
      </c>
      <c r="DT26" s="349">
        <v>637</v>
      </c>
      <c r="DU26" s="349">
        <v>733</v>
      </c>
      <c r="DV26" s="349">
        <v>510</v>
      </c>
      <c r="DW26" s="349">
        <v>2945</v>
      </c>
      <c r="DX26" s="349"/>
      <c r="DY26" s="349">
        <v>2019</v>
      </c>
      <c r="DZ26" s="349">
        <v>53</v>
      </c>
      <c r="EA26" s="349">
        <v>4</v>
      </c>
      <c r="EB26" s="349">
        <v>0</v>
      </c>
      <c r="EC26" s="349">
        <v>0</v>
      </c>
      <c r="ED26" s="349">
        <v>0</v>
      </c>
      <c r="EE26" s="349">
        <v>57</v>
      </c>
      <c r="EG26" s="237" t="s">
        <v>1125</v>
      </c>
      <c r="EH26" s="237">
        <v>2018</v>
      </c>
      <c r="EI26" s="237">
        <v>104</v>
      </c>
      <c r="EJ26" s="237">
        <v>188</v>
      </c>
      <c r="EK26" s="237">
        <v>223</v>
      </c>
      <c r="EL26" s="237">
        <v>348</v>
      </c>
      <c r="EM26" s="237">
        <v>374</v>
      </c>
      <c r="EN26" s="237">
        <v>1237</v>
      </c>
      <c r="EO26" s="237"/>
      <c r="EP26" s="237">
        <v>2018</v>
      </c>
      <c r="EQ26" s="237">
        <v>21</v>
      </c>
      <c r="ER26" s="237">
        <v>11</v>
      </c>
      <c r="ES26" s="237">
        <v>3</v>
      </c>
      <c r="ET26" s="237">
        <v>14</v>
      </c>
      <c r="EU26" s="237">
        <v>15</v>
      </c>
      <c r="EV26" s="237">
        <v>64</v>
      </c>
      <c r="EX26" s="309" t="s">
        <v>1192</v>
      </c>
      <c r="EY26" s="309">
        <v>2018</v>
      </c>
      <c r="EZ26" s="309">
        <v>197</v>
      </c>
      <c r="FA26" s="309">
        <v>282</v>
      </c>
      <c r="FB26" s="309">
        <v>375</v>
      </c>
      <c r="FC26" s="309">
        <v>420</v>
      </c>
      <c r="FD26" s="309">
        <v>493</v>
      </c>
      <c r="FE26" s="309">
        <v>1767</v>
      </c>
      <c r="FF26" s="309"/>
      <c r="FG26" s="309">
        <v>2018</v>
      </c>
      <c r="FH26" s="309">
        <v>83</v>
      </c>
      <c r="FI26" s="309">
        <v>43</v>
      </c>
      <c r="FJ26" s="309">
        <v>8</v>
      </c>
      <c r="FK26" s="309">
        <v>0</v>
      </c>
      <c r="FL26" s="309">
        <v>0</v>
      </c>
      <c r="FM26" s="309">
        <v>134</v>
      </c>
    </row>
    <row r="27" spans="1:169">
      <c r="A27" s="288" t="s">
        <v>694</v>
      </c>
      <c r="B27" s="288">
        <v>2018</v>
      </c>
      <c r="C27" s="288">
        <v>11</v>
      </c>
      <c r="D27" s="288">
        <v>3</v>
      </c>
      <c r="E27" s="288">
        <v>0</v>
      </c>
      <c r="F27" s="288">
        <v>1</v>
      </c>
      <c r="G27" s="288">
        <v>0</v>
      </c>
      <c r="H27" s="288">
        <v>15</v>
      </c>
      <c r="J27" s="288">
        <v>2018</v>
      </c>
      <c r="K27" s="288">
        <v>139</v>
      </c>
      <c r="L27" s="288">
        <v>220</v>
      </c>
      <c r="M27" s="288">
        <v>479</v>
      </c>
      <c r="N27" s="288">
        <v>691</v>
      </c>
      <c r="O27" s="288">
        <v>591</v>
      </c>
      <c r="P27" s="288">
        <v>2120</v>
      </c>
      <c r="R27" s="289" t="s">
        <v>916</v>
      </c>
      <c r="S27" s="289">
        <v>2018</v>
      </c>
      <c r="T27" s="289" t="s">
        <v>792</v>
      </c>
      <c r="U27" s="289" t="s">
        <v>792</v>
      </c>
      <c r="V27" s="289" t="s">
        <v>792</v>
      </c>
      <c r="W27" s="289" t="s">
        <v>792</v>
      </c>
      <c r="X27" s="289" t="s">
        <v>792</v>
      </c>
      <c r="Y27" s="289" t="s">
        <v>792</v>
      </c>
      <c r="Z27" s="289"/>
      <c r="AA27" s="289">
        <v>2018</v>
      </c>
      <c r="AB27" s="289" t="s">
        <v>792</v>
      </c>
      <c r="AC27" s="289" t="s">
        <v>792</v>
      </c>
      <c r="AD27" s="289" t="s">
        <v>792</v>
      </c>
      <c r="AE27" s="289" t="s">
        <v>792</v>
      </c>
      <c r="AF27" s="289" t="s">
        <v>792</v>
      </c>
      <c r="AG27" s="289" t="s">
        <v>792</v>
      </c>
      <c r="AI27" s="290" t="s">
        <v>420</v>
      </c>
      <c r="AJ27" s="290">
        <v>2018</v>
      </c>
      <c r="AK27" s="290">
        <v>223</v>
      </c>
      <c r="AL27" s="290">
        <v>383</v>
      </c>
      <c r="AM27" s="290">
        <v>696</v>
      </c>
      <c r="AN27" s="290">
        <v>907</v>
      </c>
      <c r="AO27" s="290">
        <v>497</v>
      </c>
      <c r="AP27" s="290">
        <v>2706</v>
      </c>
      <c r="AQ27" s="290"/>
      <c r="AR27" s="290">
        <v>2018</v>
      </c>
      <c r="AS27" s="290">
        <v>30</v>
      </c>
      <c r="AT27" s="290">
        <v>0</v>
      </c>
      <c r="AU27" s="290">
        <v>0</v>
      </c>
      <c r="AV27" s="290">
        <v>0</v>
      </c>
      <c r="AW27" s="290">
        <v>0</v>
      </c>
      <c r="AX27" s="290">
        <v>30</v>
      </c>
      <c r="AZ27" s="300" t="s">
        <v>102</v>
      </c>
      <c r="BA27" s="300">
        <v>2018</v>
      </c>
      <c r="BB27" s="300">
        <v>230</v>
      </c>
      <c r="BC27" s="300">
        <v>181</v>
      </c>
      <c r="BD27" s="300">
        <v>314</v>
      </c>
      <c r="BE27" s="300">
        <v>438</v>
      </c>
      <c r="BF27" s="300">
        <v>360</v>
      </c>
      <c r="BG27" s="300">
        <v>1523</v>
      </c>
      <c r="BH27" s="300"/>
      <c r="BI27" s="300">
        <v>2018</v>
      </c>
      <c r="BJ27" s="300">
        <v>20</v>
      </c>
      <c r="BK27" s="300">
        <v>0</v>
      </c>
      <c r="BL27" s="300">
        <v>0</v>
      </c>
      <c r="BM27" s="300">
        <v>0</v>
      </c>
      <c r="BN27" s="300">
        <v>0</v>
      </c>
      <c r="BO27" s="300">
        <v>20</v>
      </c>
      <c r="CH27" s="237" t="s">
        <v>2164</v>
      </c>
      <c r="CI27" s="237">
        <v>2018</v>
      </c>
      <c r="CJ27" s="237" t="s">
        <v>792</v>
      </c>
      <c r="CK27" s="237" t="s">
        <v>792</v>
      </c>
      <c r="CL27" s="237" t="s">
        <v>792</v>
      </c>
      <c r="CM27" s="237" t="s">
        <v>792</v>
      </c>
      <c r="CN27" s="237" t="s">
        <v>792</v>
      </c>
      <c r="CO27" s="237" t="s">
        <v>792</v>
      </c>
      <c r="CP27" s="237"/>
      <c r="CQ27" s="237">
        <v>2018</v>
      </c>
      <c r="CR27" s="237" t="s">
        <v>792</v>
      </c>
      <c r="CS27" s="237" t="s">
        <v>792</v>
      </c>
      <c r="CT27" s="237" t="s">
        <v>792</v>
      </c>
      <c r="CU27" s="237" t="s">
        <v>792</v>
      </c>
      <c r="CV27" s="237" t="s">
        <v>792</v>
      </c>
      <c r="CW27" s="237" t="s">
        <v>792</v>
      </c>
      <c r="DP27" s="349" t="s">
        <v>795</v>
      </c>
      <c r="DQ27" s="349">
        <v>2019</v>
      </c>
      <c r="DR27" s="349">
        <v>243</v>
      </c>
      <c r="DS27" s="349">
        <v>317</v>
      </c>
      <c r="DT27" s="349">
        <v>418</v>
      </c>
      <c r="DU27" s="349">
        <v>401</v>
      </c>
      <c r="DV27" s="349">
        <v>348</v>
      </c>
      <c r="DW27" s="349">
        <v>1727</v>
      </c>
      <c r="DX27" s="349"/>
      <c r="DY27" s="349">
        <v>2019</v>
      </c>
      <c r="DZ27" s="349">
        <v>13</v>
      </c>
      <c r="EA27" s="349">
        <v>3</v>
      </c>
      <c r="EB27" s="349">
        <v>0</v>
      </c>
      <c r="EC27" s="349">
        <v>0</v>
      </c>
      <c r="ED27" s="349">
        <v>0</v>
      </c>
      <c r="EE27" s="349">
        <v>16</v>
      </c>
      <c r="EG27" s="237" t="s">
        <v>1128</v>
      </c>
      <c r="EH27" s="237">
        <v>2018</v>
      </c>
      <c r="EI27" s="237">
        <v>133</v>
      </c>
      <c r="EJ27" s="237">
        <v>186</v>
      </c>
      <c r="EK27" s="237">
        <v>211</v>
      </c>
      <c r="EL27" s="237">
        <v>238</v>
      </c>
      <c r="EM27" s="237">
        <v>345</v>
      </c>
      <c r="EN27" s="237">
        <v>1113</v>
      </c>
      <c r="EO27" s="237"/>
      <c r="EP27" s="237">
        <v>2018</v>
      </c>
      <c r="EQ27" s="237">
        <v>23</v>
      </c>
      <c r="ER27" s="237">
        <v>7</v>
      </c>
      <c r="ES27" s="237">
        <v>0</v>
      </c>
      <c r="ET27" s="237">
        <v>1</v>
      </c>
      <c r="EU27" s="237">
        <v>0</v>
      </c>
      <c r="EV27" s="237">
        <v>31</v>
      </c>
      <c r="EX27" s="309" t="s">
        <v>1194</v>
      </c>
      <c r="EY27" s="309">
        <v>2018</v>
      </c>
      <c r="EZ27" s="309" t="s">
        <v>792</v>
      </c>
      <c r="FA27" s="309" t="s">
        <v>792</v>
      </c>
      <c r="FB27" s="309" t="s">
        <v>792</v>
      </c>
      <c r="FC27" s="309" t="s">
        <v>792</v>
      </c>
      <c r="FD27" s="309" t="s">
        <v>792</v>
      </c>
      <c r="FE27" s="309" t="s">
        <v>792</v>
      </c>
      <c r="FF27" s="309"/>
      <c r="FG27" s="309">
        <v>2018</v>
      </c>
      <c r="FH27" s="309" t="s">
        <v>792</v>
      </c>
      <c r="FI27" s="309" t="s">
        <v>792</v>
      </c>
      <c r="FJ27" s="309" t="s">
        <v>792</v>
      </c>
      <c r="FK27" s="309" t="s">
        <v>792</v>
      </c>
      <c r="FL27" s="309" t="s">
        <v>792</v>
      </c>
      <c r="FM27" s="309" t="s">
        <v>792</v>
      </c>
    </row>
    <row r="28" spans="1:169">
      <c r="A28" s="288" t="s">
        <v>697</v>
      </c>
      <c r="B28" s="288">
        <v>2018</v>
      </c>
      <c r="C28" s="288">
        <v>34</v>
      </c>
      <c r="D28" s="288">
        <v>1</v>
      </c>
      <c r="E28" s="288">
        <v>4</v>
      </c>
      <c r="F28" s="288">
        <v>2</v>
      </c>
      <c r="G28" s="288">
        <v>2</v>
      </c>
      <c r="H28" s="288">
        <v>43</v>
      </c>
      <c r="J28" s="288">
        <v>2018</v>
      </c>
      <c r="K28" s="288">
        <v>454</v>
      </c>
      <c r="L28" s="288">
        <v>507</v>
      </c>
      <c r="M28" s="288">
        <v>674</v>
      </c>
      <c r="N28" s="288">
        <v>838</v>
      </c>
      <c r="O28" s="288">
        <v>572</v>
      </c>
      <c r="P28" s="288">
        <v>3045</v>
      </c>
      <c r="R28" s="289" t="s">
        <v>917</v>
      </c>
      <c r="S28" s="289">
        <v>2018</v>
      </c>
      <c r="T28" s="289">
        <v>308</v>
      </c>
      <c r="U28" s="289">
        <v>552</v>
      </c>
      <c r="V28" s="289">
        <v>863</v>
      </c>
      <c r="W28" s="289">
        <v>1101</v>
      </c>
      <c r="X28" s="289">
        <v>758</v>
      </c>
      <c r="Y28" s="289">
        <v>3582</v>
      </c>
      <c r="Z28" s="289"/>
      <c r="AA28" s="289">
        <v>2018</v>
      </c>
      <c r="AB28" s="289">
        <v>18</v>
      </c>
      <c r="AC28" s="289">
        <v>5</v>
      </c>
      <c r="AD28" s="289">
        <v>0</v>
      </c>
      <c r="AE28" s="289">
        <v>0</v>
      </c>
      <c r="AF28" s="289">
        <v>0</v>
      </c>
      <c r="AG28" s="289">
        <v>23</v>
      </c>
      <c r="AI28" s="290" t="s">
        <v>421</v>
      </c>
      <c r="AJ28" s="290">
        <v>2018</v>
      </c>
      <c r="AK28" s="290">
        <v>379</v>
      </c>
      <c r="AL28" s="290">
        <v>503</v>
      </c>
      <c r="AM28" s="290">
        <v>679</v>
      </c>
      <c r="AN28" s="290">
        <v>859</v>
      </c>
      <c r="AO28" s="290">
        <v>581</v>
      </c>
      <c r="AP28" s="290">
        <v>3001</v>
      </c>
      <c r="AQ28" s="290"/>
      <c r="AR28" s="290">
        <v>2018</v>
      </c>
      <c r="AS28" s="290">
        <v>56</v>
      </c>
      <c r="AT28" s="290">
        <v>0</v>
      </c>
      <c r="AU28" s="290">
        <v>0</v>
      </c>
      <c r="AV28" s="290">
        <v>0</v>
      </c>
      <c r="AW28" s="290">
        <v>0</v>
      </c>
      <c r="AX28" s="290">
        <v>56</v>
      </c>
      <c r="AZ28" s="300" t="s">
        <v>104</v>
      </c>
      <c r="BA28" s="300">
        <v>2018</v>
      </c>
      <c r="BB28" s="300">
        <v>114</v>
      </c>
      <c r="BC28" s="300">
        <v>158</v>
      </c>
      <c r="BD28" s="300">
        <v>280</v>
      </c>
      <c r="BE28" s="300">
        <v>394</v>
      </c>
      <c r="BF28" s="300">
        <v>283</v>
      </c>
      <c r="BG28" s="300">
        <v>1229</v>
      </c>
      <c r="BH28" s="300"/>
      <c r="BI28" s="300">
        <v>2018</v>
      </c>
      <c r="BJ28" s="300">
        <v>19</v>
      </c>
      <c r="BK28" s="300">
        <v>0</v>
      </c>
      <c r="BL28" s="300">
        <v>0</v>
      </c>
      <c r="BM28" s="300">
        <v>0</v>
      </c>
      <c r="BN28" s="300">
        <v>0</v>
      </c>
      <c r="BO28" s="300">
        <v>19</v>
      </c>
      <c r="BQ28" s="309" t="s">
        <v>561</v>
      </c>
      <c r="BR28" s="309">
        <v>2019</v>
      </c>
      <c r="BS28" s="309">
        <v>91</v>
      </c>
      <c r="BT28" s="309">
        <v>47</v>
      </c>
      <c r="BU28" s="309">
        <v>84</v>
      </c>
      <c r="BV28" s="309">
        <v>94</v>
      </c>
      <c r="BW28" s="309">
        <v>108</v>
      </c>
      <c r="BX28" s="309">
        <v>424</v>
      </c>
      <c r="BY28" s="309"/>
      <c r="BZ28" s="309">
        <v>2019</v>
      </c>
      <c r="CA28" s="309">
        <v>20</v>
      </c>
      <c r="CB28" s="309">
        <v>0</v>
      </c>
      <c r="CC28" s="309">
        <v>0</v>
      </c>
      <c r="CD28" s="309">
        <v>0</v>
      </c>
      <c r="CE28" s="309">
        <v>0</v>
      </c>
      <c r="CF28" s="309">
        <v>20</v>
      </c>
      <c r="CH28" s="237" t="s">
        <v>243</v>
      </c>
      <c r="CI28" s="237">
        <v>2018</v>
      </c>
      <c r="CJ28" s="237">
        <v>300</v>
      </c>
      <c r="CK28" s="237">
        <v>76</v>
      </c>
      <c r="CL28" s="237">
        <v>161</v>
      </c>
      <c r="CM28" s="237">
        <v>184</v>
      </c>
      <c r="CN28" s="237">
        <v>390</v>
      </c>
      <c r="CO28" s="237">
        <v>1111</v>
      </c>
      <c r="CP28" s="237"/>
      <c r="CQ28" s="237">
        <v>2018</v>
      </c>
      <c r="CR28" s="237">
        <v>114</v>
      </c>
      <c r="CS28" s="237">
        <v>0</v>
      </c>
      <c r="CT28" s="237">
        <v>0</v>
      </c>
      <c r="CU28" s="237">
        <v>0</v>
      </c>
      <c r="CV28" s="237">
        <v>0</v>
      </c>
      <c r="CW28" s="237">
        <v>114</v>
      </c>
      <c r="CY28" s="346" t="s">
        <v>866</v>
      </c>
      <c r="CZ28" s="346">
        <v>2020</v>
      </c>
      <c r="DA28" s="346">
        <v>338</v>
      </c>
      <c r="DB28" s="346">
        <v>429</v>
      </c>
      <c r="DC28" s="346">
        <v>503</v>
      </c>
      <c r="DD28" s="346">
        <v>546</v>
      </c>
      <c r="DE28" s="346">
        <v>417</v>
      </c>
      <c r="DF28" s="346">
        <v>2233</v>
      </c>
      <c r="DG28" s="346"/>
      <c r="DH28" s="346">
        <v>2020</v>
      </c>
      <c r="DI28" s="346">
        <v>39</v>
      </c>
      <c r="DJ28" s="346">
        <v>11</v>
      </c>
      <c r="DK28" s="346">
        <v>0</v>
      </c>
      <c r="DL28" s="346">
        <v>0</v>
      </c>
      <c r="DM28" s="346">
        <v>0</v>
      </c>
      <c r="DN28" s="346">
        <v>50</v>
      </c>
      <c r="DP28" s="349" t="s">
        <v>797</v>
      </c>
      <c r="DQ28" s="349">
        <v>2019</v>
      </c>
      <c r="DR28" s="349">
        <v>588</v>
      </c>
      <c r="DS28" s="349">
        <v>807</v>
      </c>
      <c r="DT28" s="349">
        <v>1024</v>
      </c>
      <c r="DU28" s="349">
        <v>1066</v>
      </c>
      <c r="DV28" s="349">
        <v>750</v>
      </c>
      <c r="DW28" s="349">
        <v>4235</v>
      </c>
      <c r="DX28" s="349"/>
      <c r="DY28" s="349">
        <v>2019</v>
      </c>
      <c r="DZ28" s="349">
        <v>24</v>
      </c>
      <c r="EA28" s="349">
        <v>8</v>
      </c>
      <c r="EB28" s="349">
        <v>0</v>
      </c>
      <c r="EC28" s="349">
        <v>0</v>
      </c>
      <c r="ED28" s="349">
        <v>0</v>
      </c>
      <c r="EE28" s="349">
        <v>32</v>
      </c>
      <c r="EG28" s="237" t="s">
        <v>1131</v>
      </c>
      <c r="EH28" s="237">
        <v>2018</v>
      </c>
      <c r="EI28" s="237">
        <v>70</v>
      </c>
      <c r="EJ28" s="237">
        <v>125</v>
      </c>
      <c r="EK28" s="237">
        <v>150</v>
      </c>
      <c r="EL28" s="237">
        <v>213</v>
      </c>
      <c r="EM28" s="237">
        <v>249</v>
      </c>
      <c r="EN28" s="237">
        <v>807</v>
      </c>
      <c r="EO28" s="237"/>
      <c r="EP28" s="237">
        <v>2018</v>
      </c>
      <c r="EQ28" s="237">
        <v>18</v>
      </c>
      <c r="ER28" s="237">
        <v>8</v>
      </c>
      <c r="ES28" s="237">
        <v>8</v>
      </c>
      <c r="ET28" s="237">
        <v>8</v>
      </c>
      <c r="EU28" s="237">
        <v>14</v>
      </c>
      <c r="EV28" s="237">
        <v>56</v>
      </c>
      <c r="EX28" s="309" t="s">
        <v>1914</v>
      </c>
      <c r="EY28" s="309">
        <v>2018</v>
      </c>
      <c r="EZ28" s="309" t="s">
        <v>792</v>
      </c>
      <c r="FA28" s="309" t="s">
        <v>792</v>
      </c>
      <c r="FB28" s="309" t="s">
        <v>792</v>
      </c>
      <c r="FC28" s="309" t="s">
        <v>792</v>
      </c>
      <c r="FD28" s="309" t="s">
        <v>792</v>
      </c>
      <c r="FE28" s="309" t="s">
        <v>792</v>
      </c>
      <c r="FF28" s="309"/>
      <c r="FG28" s="309">
        <v>2018</v>
      </c>
      <c r="FH28" s="309" t="s">
        <v>792</v>
      </c>
      <c r="FI28" s="309" t="s">
        <v>792</v>
      </c>
      <c r="FJ28" s="309" t="s">
        <v>792</v>
      </c>
      <c r="FK28" s="309" t="s">
        <v>792</v>
      </c>
      <c r="FL28" s="309" t="s">
        <v>792</v>
      </c>
      <c r="FM28" s="309" t="s">
        <v>792</v>
      </c>
    </row>
    <row r="29" spans="1:169">
      <c r="A29" s="288" t="s">
        <v>700</v>
      </c>
      <c r="B29" s="288">
        <v>2018</v>
      </c>
      <c r="C29" s="288">
        <v>21</v>
      </c>
      <c r="D29" s="288">
        <v>0</v>
      </c>
      <c r="E29" s="288">
        <v>0</v>
      </c>
      <c r="F29" s="288">
        <v>0</v>
      </c>
      <c r="G29" s="288">
        <v>0</v>
      </c>
      <c r="H29" s="288">
        <v>21</v>
      </c>
      <c r="J29" s="288">
        <v>2018</v>
      </c>
      <c r="K29" s="288">
        <v>277</v>
      </c>
      <c r="L29" s="288">
        <v>360</v>
      </c>
      <c r="M29" s="288">
        <v>472</v>
      </c>
      <c r="N29" s="288">
        <v>552</v>
      </c>
      <c r="O29" s="288">
        <v>421</v>
      </c>
      <c r="P29" s="288">
        <v>2082</v>
      </c>
      <c r="R29" s="289" t="s">
        <v>918</v>
      </c>
      <c r="S29" s="289">
        <v>2018</v>
      </c>
      <c r="T29" s="289" t="s">
        <v>792</v>
      </c>
      <c r="U29" s="289" t="s">
        <v>792</v>
      </c>
      <c r="V29" s="289" t="s">
        <v>792</v>
      </c>
      <c r="W29" s="289" t="s">
        <v>792</v>
      </c>
      <c r="X29" s="289" t="s">
        <v>792</v>
      </c>
      <c r="Y29" s="289" t="s">
        <v>792</v>
      </c>
      <c r="Z29" s="289"/>
      <c r="AA29" s="289">
        <v>2018</v>
      </c>
      <c r="AB29" s="289" t="s">
        <v>792</v>
      </c>
      <c r="AC29" s="289" t="s">
        <v>792</v>
      </c>
      <c r="AD29" s="289" t="s">
        <v>792</v>
      </c>
      <c r="AE29" s="289" t="s">
        <v>792</v>
      </c>
      <c r="AF29" s="289" t="s">
        <v>792</v>
      </c>
      <c r="AG29" s="289" t="s">
        <v>792</v>
      </c>
      <c r="AI29" s="290" t="s">
        <v>422</v>
      </c>
      <c r="AJ29" s="290">
        <v>2018</v>
      </c>
      <c r="AK29" s="290">
        <v>367</v>
      </c>
      <c r="AL29" s="290">
        <v>496</v>
      </c>
      <c r="AM29" s="290">
        <v>716</v>
      </c>
      <c r="AN29" s="290">
        <v>785</v>
      </c>
      <c r="AO29" s="290">
        <v>559</v>
      </c>
      <c r="AP29" s="290">
        <v>2923</v>
      </c>
      <c r="AQ29" s="290"/>
      <c r="AR29" s="290">
        <v>2018</v>
      </c>
      <c r="AS29" s="290">
        <v>42</v>
      </c>
      <c r="AT29" s="290">
        <v>3</v>
      </c>
      <c r="AU29" s="290">
        <v>0</v>
      </c>
      <c r="AV29" s="290">
        <v>0</v>
      </c>
      <c r="AW29" s="290">
        <v>0</v>
      </c>
      <c r="AX29" s="290">
        <v>45</v>
      </c>
      <c r="AZ29" s="300" t="s">
        <v>106</v>
      </c>
      <c r="BA29" s="300">
        <v>2018</v>
      </c>
      <c r="BB29" s="300">
        <v>128</v>
      </c>
      <c r="BC29" s="300">
        <v>176</v>
      </c>
      <c r="BD29" s="300">
        <v>240</v>
      </c>
      <c r="BE29" s="300">
        <v>319</v>
      </c>
      <c r="BF29" s="300">
        <v>255</v>
      </c>
      <c r="BG29" s="300">
        <v>1118</v>
      </c>
      <c r="BH29" s="300"/>
      <c r="BI29" s="300">
        <v>2018</v>
      </c>
      <c r="BJ29" s="300">
        <v>22</v>
      </c>
      <c r="BK29" s="300">
        <v>0</v>
      </c>
      <c r="BL29" s="300">
        <v>0</v>
      </c>
      <c r="BM29" s="300">
        <v>0</v>
      </c>
      <c r="BN29" s="300">
        <v>0</v>
      </c>
      <c r="BO29" s="300">
        <v>22</v>
      </c>
      <c r="BQ29" s="309" t="s">
        <v>564</v>
      </c>
      <c r="BR29" s="309">
        <v>2019</v>
      </c>
      <c r="BS29" s="309" t="s">
        <v>792</v>
      </c>
      <c r="BT29" s="309" t="s">
        <v>792</v>
      </c>
      <c r="BU29" s="309" t="s">
        <v>792</v>
      </c>
      <c r="BV29" s="309" t="s">
        <v>792</v>
      </c>
      <c r="BW29" s="309" t="s">
        <v>792</v>
      </c>
      <c r="BX29" s="309" t="s">
        <v>792</v>
      </c>
      <c r="BY29" s="309"/>
      <c r="BZ29" s="309">
        <v>2019</v>
      </c>
      <c r="CA29" s="309" t="s">
        <v>792</v>
      </c>
      <c r="CB29" s="309" t="s">
        <v>792</v>
      </c>
      <c r="CC29" s="309" t="s">
        <v>792</v>
      </c>
      <c r="CD29" s="309" t="s">
        <v>792</v>
      </c>
      <c r="CE29" s="309" t="s">
        <v>792</v>
      </c>
      <c r="CF29" s="309" t="s">
        <v>792</v>
      </c>
      <c r="CH29" s="237" t="s">
        <v>245</v>
      </c>
      <c r="CI29" s="237">
        <v>2018</v>
      </c>
      <c r="CJ29" s="237">
        <v>1013</v>
      </c>
      <c r="CK29" s="237">
        <v>847</v>
      </c>
      <c r="CL29" s="237">
        <v>1073</v>
      </c>
      <c r="CM29" s="237">
        <v>1060</v>
      </c>
      <c r="CN29" s="237">
        <v>901</v>
      </c>
      <c r="CO29" s="237">
        <v>4894</v>
      </c>
      <c r="CP29" s="237"/>
      <c r="CQ29" s="237">
        <v>2018</v>
      </c>
      <c r="CR29" s="237">
        <v>120</v>
      </c>
      <c r="CS29" s="237">
        <v>0</v>
      </c>
      <c r="CT29" s="237">
        <v>0</v>
      </c>
      <c r="CU29" s="237">
        <v>0</v>
      </c>
      <c r="CV29" s="237">
        <v>0</v>
      </c>
      <c r="CW29" s="237">
        <v>120</v>
      </c>
      <c r="CY29" s="346" t="s">
        <v>877</v>
      </c>
      <c r="CZ29" s="346">
        <v>2020</v>
      </c>
      <c r="DA29" s="346">
        <v>435</v>
      </c>
      <c r="DB29" s="346">
        <v>354</v>
      </c>
      <c r="DC29" s="346">
        <v>280</v>
      </c>
      <c r="DD29" s="346">
        <v>282</v>
      </c>
      <c r="DE29" s="346">
        <v>209</v>
      </c>
      <c r="DF29" s="346">
        <v>1560</v>
      </c>
      <c r="DG29" s="346"/>
      <c r="DH29" s="346">
        <v>2020</v>
      </c>
      <c r="DI29" s="346">
        <v>18</v>
      </c>
      <c r="DJ29" s="346">
        <v>0</v>
      </c>
      <c r="DK29" s="346">
        <v>0</v>
      </c>
      <c r="DL29" s="346">
        <v>0</v>
      </c>
      <c r="DM29" s="346">
        <v>0</v>
      </c>
      <c r="DN29" s="346">
        <v>18</v>
      </c>
      <c r="DP29" s="349" t="s">
        <v>799</v>
      </c>
      <c r="DQ29" s="349">
        <v>2019</v>
      </c>
      <c r="DR29" s="349">
        <v>366</v>
      </c>
      <c r="DS29" s="349">
        <v>423</v>
      </c>
      <c r="DT29" s="349">
        <v>594</v>
      </c>
      <c r="DU29" s="349">
        <v>695</v>
      </c>
      <c r="DV29" s="349">
        <v>551</v>
      </c>
      <c r="DW29" s="349">
        <v>2629</v>
      </c>
      <c r="DX29" s="349"/>
      <c r="DY29" s="349">
        <v>2019</v>
      </c>
      <c r="DZ29" s="349">
        <v>38</v>
      </c>
      <c r="EA29" s="349">
        <v>0</v>
      </c>
      <c r="EB29" s="349">
        <v>0</v>
      </c>
      <c r="EC29" s="349">
        <v>0</v>
      </c>
      <c r="ED29" s="349">
        <v>0</v>
      </c>
      <c r="EE29" s="349">
        <v>38</v>
      </c>
      <c r="EG29" s="237" t="s">
        <v>1134</v>
      </c>
      <c r="EH29" s="237">
        <v>2018</v>
      </c>
      <c r="EI29" s="237">
        <v>662</v>
      </c>
      <c r="EJ29" s="237">
        <v>648</v>
      </c>
      <c r="EK29" s="237">
        <v>685</v>
      </c>
      <c r="EL29" s="237">
        <v>689</v>
      </c>
      <c r="EM29" s="237">
        <v>758</v>
      </c>
      <c r="EN29" s="237">
        <v>3442</v>
      </c>
      <c r="EO29" s="237"/>
      <c r="EP29" s="237">
        <v>2018</v>
      </c>
      <c r="EQ29" s="237">
        <v>25</v>
      </c>
      <c r="ER29" s="237">
        <v>7</v>
      </c>
      <c r="ES29" s="237">
        <v>5</v>
      </c>
      <c r="ET29" s="237">
        <v>0</v>
      </c>
      <c r="EU29" s="237">
        <v>0</v>
      </c>
      <c r="EV29" s="237">
        <v>37</v>
      </c>
      <c r="EX29" s="309" t="s">
        <v>1918</v>
      </c>
      <c r="EY29" s="309">
        <v>2018</v>
      </c>
      <c r="EZ29" s="309" t="s">
        <v>792</v>
      </c>
      <c r="FA29" s="309" t="s">
        <v>792</v>
      </c>
      <c r="FB29" s="309" t="s">
        <v>792</v>
      </c>
      <c r="FC29" s="309" t="s">
        <v>792</v>
      </c>
      <c r="FD29" s="309" t="s">
        <v>792</v>
      </c>
      <c r="FE29" s="309" t="s">
        <v>792</v>
      </c>
      <c r="FF29" s="309"/>
      <c r="FG29" s="309">
        <v>2018</v>
      </c>
      <c r="FH29" s="309" t="s">
        <v>792</v>
      </c>
      <c r="FI29" s="309" t="s">
        <v>792</v>
      </c>
      <c r="FJ29" s="309" t="s">
        <v>792</v>
      </c>
      <c r="FK29" s="309" t="s">
        <v>792</v>
      </c>
      <c r="FL29" s="309" t="s">
        <v>792</v>
      </c>
      <c r="FM29" s="309" t="s">
        <v>792</v>
      </c>
    </row>
    <row r="30" spans="1:169">
      <c r="A30" s="288" t="s">
        <v>703</v>
      </c>
      <c r="B30" s="288">
        <v>2018</v>
      </c>
      <c r="C30" s="288">
        <v>30</v>
      </c>
      <c r="D30" s="288">
        <v>4</v>
      </c>
      <c r="E30" s="288">
        <v>0</v>
      </c>
      <c r="F30" s="288">
        <v>2</v>
      </c>
      <c r="G30" s="288">
        <v>0</v>
      </c>
      <c r="H30" s="288">
        <v>36</v>
      </c>
      <c r="J30" s="288">
        <v>2018</v>
      </c>
      <c r="K30" s="288">
        <v>313</v>
      </c>
      <c r="L30" s="288">
        <v>442</v>
      </c>
      <c r="M30" s="288">
        <v>732</v>
      </c>
      <c r="N30" s="288">
        <v>953</v>
      </c>
      <c r="O30" s="288">
        <v>770</v>
      </c>
      <c r="P30" s="288">
        <v>3210</v>
      </c>
      <c r="R30" s="289" t="s">
        <v>919</v>
      </c>
      <c r="S30" s="289">
        <v>2018</v>
      </c>
      <c r="T30" s="289">
        <v>966</v>
      </c>
      <c r="U30" s="289">
        <v>475</v>
      </c>
      <c r="V30" s="289">
        <v>512</v>
      </c>
      <c r="W30" s="289">
        <v>504</v>
      </c>
      <c r="X30" s="289">
        <v>370</v>
      </c>
      <c r="Y30" s="289">
        <v>2827</v>
      </c>
      <c r="Z30" s="289"/>
      <c r="AA30" s="289">
        <v>2018</v>
      </c>
      <c r="AB30" s="289">
        <v>51</v>
      </c>
      <c r="AC30" s="289">
        <v>0</v>
      </c>
      <c r="AD30" s="289">
        <v>0</v>
      </c>
      <c r="AE30" s="289">
        <v>0</v>
      </c>
      <c r="AF30" s="289">
        <v>0</v>
      </c>
      <c r="AG30" s="289">
        <v>51</v>
      </c>
      <c r="AI30" s="290" t="s">
        <v>423</v>
      </c>
      <c r="AJ30" s="290">
        <v>2018</v>
      </c>
      <c r="AK30" s="290">
        <v>182</v>
      </c>
      <c r="AL30" s="290">
        <v>281</v>
      </c>
      <c r="AM30" s="290">
        <v>437</v>
      </c>
      <c r="AN30" s="290">
        <v>643</v>
      </c>
      <c r="AO30" s="290">
        <v>434</v>
      </c>
      <c r="AP30" s="290">
        <v>1977</v>
      </c>
      <c r="AQ30" s="290"/>
      <c r="AR30" s="290">
        <v>2018</v>
      </c>
      <c r="AS30" s="290">
        <v>28</v>
      </c>
      <c r="AT30" s="290">
        <v>1</v>
      </c>
      <c r="AU30" s="290">
        <v>0</v>
      </c>
      <c r="AV30" s="290">
        <v>2</v>
      </c>
      <c r="AW30" s="290">
        <v>0</v>
      </c>
      <c r="AX30" s="290">
        <v>31</v>
      </c>
      <c r="AZ30" s="300" t="s">
        <v>186</v>
      </c>
      <c r="BA30" s="300">
        <v>2018</v>
      </c>
      <c r="BB30" s="300" t="s">
        <v>792</v>
      </c>
      <c r="BC30" s="300" t="s">
        <v>792</v>
      </c>
      <c r="BD30" s="300" t="s">
        <v>792</v>
      </c>
      <c r="BE30" s="300" t="s">
        <v>792</v>
      </c>
      <c r="BF30" s="300" t="s">
        <v>792</v>
      </c>
      <c r="BG30" s="300" t="s">
        <v>792</v>
      </c>
      <c r="BH30" s="300"/>
      <c r="BI30" s="300">
        <v>2018</v>
      </c>
      <c r="BJ30" s="300" t="s">
        <v>792</v>
      </c>
      <c r="BK30" s="300" t="s">
        <v>792</v>
      </c>
      <c r="BL30" s="300" t="s">
        <v>792</v>
      </c>
      <c r="BM30" s="300" t="s">
        <v>792</v>
      </c>
      <c r="BN30" s="300" t="s">
        <v>792</v>
      </c>
      <c r="BO30" s="300" t="s">
        <v>792</v>
      </c>
      <c r="BQ30" s="309" t="s">
        <v>566</v>
      </c>
      <c r="BR30" s="309">
        <v>2019</v>
      </c>
      <c r="BS30" s="309" t="s">
        <v>792</v>
      </c>
      <c r="BT30" s="309" t="s">
        <v>792</v>
      </c>
      <c r="BU30" s="309" t="s">
        <v>792</v>
      </c>
      <c r="BV30" s="309" t="s">
        <v>792</v>
      </c>
      <c r="BW30" s="309" t="s">
        <v>792</v>
      </c>
      <c r="BX30" s="309" t="s">
        <v>792</v>
      </c>
      <c r="BY30" s="309"/>
      <c r="BZ30" s="309">
        <v>2019</v>
      </c>
      <c r="CA30" s="309" t="s">
        <v>792</v>
      </c>
      <c r="CB30" s="309" t="s">
        <v>792</v>
      </c>
      <c r="CC30" s="309" t="s">
        <v>792</v>
      </c>
      <c r="CD30" s="309" t="s">
        <v>792</v>
      </c>
      <c r="CE30" s="309" t="s">
        <v>792</v>
      </c>
      <c r="CF30" s="309" t="s">
        <v>792</v>
      </c>
      <c r="CH30" s="237" t="s">
        <v>247</v>
      </c>
      <c r="CI30" s="237">
        <v>2018</v>
      </c>
      <c r="CJ30" s="237">
        <v>116</v>
      </c>
      <c r="CK30" s="237">
        <v>111</v>
      </c>
      <c r="CL30" s="237">
        <v>247</v>
      </c>
      <c r="CM30" s="237">
        <v>347</v>
      </c>
      <c r="CN30" s="237">
        <v>373</v>
      </c>
      <c r="CO30" s="237">
        <v>1194</v>
      </c>
      <c r="CP30" s="237"/>
      <c r="CQ30" s="237">
        <v>2018</v>
      </c>
      <c r="CR30" s="237">
        <v>21</v>
      </c>
      <c r="CS30" s="237">
        <v>1</v>
      </c>
      <c r="CT30" s="237">
        <v>0</v>
      </c>
      <c r="CU30" s="237">
        <v>0</v>
      </c>
      <c r="CV30" s="237">
        <v>0</v>
      </c>
      <c r="CW30" s="237">
        <v>22</v>
      </c>
      <c r="CY30" s="346" t="s">
        <v>873</v>
      </c>
      <c r="CZ30" s="346">
        <v>2020</v>
      </c>
      <c r="DA30" s="346">
        <v>811</v>
      </c>
      <c r="DB30" s="346">
        <v>938</v>
      </c>
      <c r="DC30" s="346">
        <v>966</v>
      </c>
      <c r="DD30" s="346">
        <v>1013</v>
      </c>
      <c r="DE30" s="346">
        <v>906</v>
      </c>
      <c r="DF30" s="346">
        <v>4634</v>
      </c>
      <c r="DG30" s="346"/>
      <c r="DH30" s="346">
        <v>2020</v>
      </c>
      <c r="DI30" s="346">
        <v>115</v>
      </c>
      <c r="DJ30" s="346">
        <v>48</v>
      </c>
      <c r="DK30" s="346">
        <v>12</v>
      </c>
      <c r="DL30" s="346">
        <v>5</v>
      </c>
      <c r="DM30" s="346">
        <v>9</v>
      </c>
      <c r="DN30" s="346">
        <v>189</v>
      </c>
      <c r="DP30" s="349" t="s">
        <v>801</v>
      </c>
      <c r="DQ30" s="349">
        <v>2019</v>
      </c>
      <c r="DR30" s="349">
        <v>992</v>
      </c>
      <c r="DS30" s="349">
        <v>453</v>
      </c>
      <c r="DT30" s="349">
        <v>464</v>
      </c>
      <c r="DU30" s="349">
        <v>476</v>
      </c>
      <c r="DV30" s="349">
        <v>399</v>
      </c>
      <c r="DW30" s="349">
        <v>2784</v>
      </c>
      <c r="DX30" s="349"/>
      <c r="DY30" s="349">
        <v>2019</v>
      </c>
      <c r="DZ30" s="349">
        <v>21</v>
      </c>
      <c r="EA30" s="349">
        <v>0</v>
      </c>
      <c r="EB30" s="349">
        <v>0</v>
      </c>
      <c r="EC30" s="349">
        <v>0</v>
      </c>
      <c r="ED30" s="349">
        <v>0</v>
      </c>
      <c r="EE30" s="349">
        <v>21</v>
      </c>
      <c r="EG30" s="237" t="s">
        <v>1294</v>
      </c>
      <c r="EH30" s="237">
        <v>2018</v>
      </c>
      <c r="EI30" s="237" t="s">
        <v>792</v>
      </c>
      <c r="EJ30" s="237" t="s">
        <v>792</v>
      </c>
      <c r="EK30" s="237" t="s">
        <v>792</v>
      </c>
      <c r="EL30" s="237" t="s">
        <v>792</v>
      </c>
      <c r="EM30" s="237" t="s">
        <v>792</v>
      </c>
      <c r="EN30" s="237" t="s">
        <v>792</v>
      </c>
      <c r="EO30" s="237"/>
      <c r="EP30" s="237">
        <v>2018</v>
      </c>
      <c r="EQ30" s="237" t="s">
        <v>792</v>
      </c>
      <c r="ER30" s="237" t="s">
        <v>792</v>
      </c>
      <c r="ES30" s="237" t="s">
        <v>792</v>
      </c>
      <c r="ET30" s="237" t="s">
        <v>792</v>
      </c>
      <c r="EU30" s="237" t="s">
        <v>792</v>
      </c>
      <c r="EV30" s="237" t="s">
        <v>792</v>
      </c>
      <c r="EX30" s="309" t="s">
        <v>1196</v>
      </c>
      <c r="EY30" s="309">
        <v>2018</v>
      </c>
      <c r="EZ30" s="309">
        <v>214</v>
      </c>
      <c r="FA30" s="309">
        <v>267</v>
      </c>
      <c r="FB30" s="309">
        <v>361</v>
      </c>
      <c r="FC30" s="309">
        <v>424</v>
      </c>
      <c r="FD30" s="309">
        <v>512</v>
      </c>
      <c r="FE30" s="309">
        <v>1778</v>
      </c>
      <c r="FF30" s="309"/>
      <c r="FG30" s="309">
        <v>2018</v>
      </c>
      <c r="FH30" s="309">
        <v>31</v>
      </c>
      <c r="FI30" s="309">
        <v>13</v>
      </c>
      <c r="FJ30" s="309">
        <v>12</v>
      </c>
      <c r="FK30" s="309">
        <v>10</v>
      </c>
      <c r="FL30" s="309">
        <v>6</v>
      </c>
      <c r="FM30" s="309">
        <v>72</v>
      </c>
    </row>
    <row r="31" spans="1:169">
      <c r="A31" s="288" t="s">
        <v>706</v>
      </c>
      <c r="B31" s="288">
        <v>2018</v>
      </c>
      <c r="C31" s="288">
        <v>38</v>
      </c>
      <c r="D31" s="288">
        <v>2</v>
      </c>
      <c r="E31" s="288">
        <v>2</v>
      </c>
      <c r="F31" s="288">
        <v>0</v>
      </c>
      <c r="G31" s="288">
        <v>0</v>
      </c>
      <c r="H31" s="288">
        <v>42</v>
      </c>
      <c r="J31" s="288">
        <v>2018</v>
      </c>
      <c r="K31" s="288">
        <v>483</v>
      </c>
      <c r="L31" s="288">
        <v>541</v>
      </c>
      <c r="M31" s="288">
        <v>911</v>
      </c>
      <c r="N31" s="288">
        <v>1166</v>
      </c>
      <c r="O31" s="288">
        <v>1004</v>
      </c>
      <c r="P31" s="288">
        <v>4105</v>
      </c>
      <c r="R31" s="289" t="s">
        <v>920</v>
      </c>
      <c r="S31" s="289">
        <v>2018</v>
      </c>
      <c r="T31" s="289" t="s">
        <v>792</v>
      </c>
      <c r="U31" s="289" t="s">
        <v>792</v>
      </c>
      <c r="V31" s="289" t="s">
        <v>792</v>
      </c>
      <c r="W31" s="289" t="s">
        <v>792</v>
      </c>
      <c r="X31" s="289" t="s">
        <v>792</v>
      </c>
      <c r="Y31" s="289" t="s">
        <v>792</v>
      </c>
      <c r="Z31" s="289"/>
      <c r="AA31" s="289">
        <v>2018</v>
      </c>
      <c r="AB31" s="289" t="s">
        <v>792</v>
      </c>
      <c r="AC31" s="289" t="s">
        <v>792</v>
      </c>
      <c r="AD31" s="289" t="s">
        <v>792</v>
      </c>
      <c r="AE31" s="289" t="s">
        <v>792</v>
      </c>
      <c r="AF31" s="289" t="s">
        <v>792</v>
      </c>
      <c r="AG31" s="289" t="s">
        <v>792</v>
      </c>
      <c r="AI31" s="290" t="s">
        <v>2039</v>
      </c>
      <c r="AJ31" s="290">
        <v>2018</v>
      </c>
      <c r="AK31" s="290" t="s">
        <v>360</v>
      </c>
      <c r="AL31" s="290" t="s">
        <v>360</v>
      </c>
      <c r="AM31" s="290" t="s">
        <v>360</v>
      </c>
      <c r="AN31" s="290" t="s">
        <v>360</v>
      </c>
      <c r="AO31" s="290" t="s">
        <v>360</v>
      </c>
      <c r="AP31" s="290" t="s">
        <v>360</v>
      </c>
      <c r="AQ31" s="290"/>
      <c r="AR31" s="290">
        <v>2018</v>
      </c>
      <c r="AS31" s="290" t="s">
        <v>360</v>
      </c>
      <c r="AT31" s="290" t="s">
        <v>360</v>
      </c>
      <c r="AU31" s="290" t="s">
        <v>360</v>
      </c>
      <c r="AV31" s="290" t="s">
        <v>360</v>
      </c>
      <c r="AW31" s="290" t="s">
        <v>360</v>
      </c>
      <c r="AX31" s="290" t="s">
        <v>360</v>
      </c>
      <c r="AZ31" s="300" t="s">
        <v>108</v>
      </c>
      <c r="BA31" s="300">
        <v>2018</v>
      </c>
      <c r="BB31" s="300">
        <v>2530</v>
      </c>
      <c r="BC31" s="300">
        <v>1559</v>
      </c>
      <c r="BD31" s="300">
        <v>1478</v>
      </c>
      <c r="BE31" s="300">
        <v>1236</v>
      </c>
      <c r="BF31" s="300">
        <v>858</v>
      </c>
      <c r="BG31" s="300">
        <v>7661</v>
      </c>
      <c r="BH31" s="300"/>
      <c r="BI31" s="300">
        <v>2018</v>
      </c>
      <c r="BJ31" s="300">
        <v>324</v>
      </c>
      <c r="BK31" s="300">
        <v>0</v>
      </c>
      <c r="BL31" s="300">
        <v>0</v>
      </c>
      <c r="BM31" s="300">
        <v>0</v>
      </c>
      <c r="BN31" s="300">
        <v>0</v>
      </c>
      <c r="BO31" s="300">
        <v>324</v>
      </c>
      <c r="BQ31" s="309" t="s">
        <v>1370</v>
      </c>
      <c r="BR31" s="309">
        <v>2019</v>
      </c>
      <c r="BS31" s="309" t="s">
        <v>792</v>
      </c>
      <c r="BT31" s="309" t="s">
        <v>792</v>
      </c>
      <c r="BU31" s="309" t="s">
        <v>792</v>
      </c>
      <c r="BV31" s="309" t="s">
        <v>792</v>
      </c>
      <c r="BW31" s="309" t="s">
        <v>792</v>
      </c>
      <c r="BX31" s="309" t="s">
        <v>792</v>
      </c>
      <c r="BY31" s="309"/>
      <c r="BZ31" s="309">
        <v>2019</v>
      </c>
      <c r="CA31" s="309" t="s">
        <v>792</v>
      </c>
      <c r="CB31" s="309" t="s">
        <v>792</v>
      </c>
      <c r="CC31" s="309" t="s">
        <v>792</v>
      </c>
      <c r="CD31" s="309" t="s">
        <v>792</v>
      </c>
      <c r="CE31" s="309" t="s">
        <v>792</v>
      </c>
      <c r="CF31" s="309" t="s">
        <v>792</v>
      </c>
      <c r="CH31" s="237" t="s">
        <v>249</v>
      </c>
      <c r="CI31" s="237">
        <v>2018</v>
      </c>
      <c r="CJ31" s="237">
        <v>62</v>
      </c>
      <c r="CK31" s="237">
        <v>66</v>
      </c>
      <c r="CL31" s="237">
        <v>169</v>
      </c>
      <c r="CM31" s="237">
        <v>239</v>
      </c>
      <c r="CN31" s="237">
        <v>297</v>
      </c>
      <c r="CO31" s="237">
        <v>833</v>
      </c>
      <c r="CP31" s="237"/>
      <c r="CQ31" s="237">
        <v>2018</v>
      </c>
      <c r="CR31" s="237">
        <v>12</v>
      </c>
      <c r="CS31" s="237">
        <v>0</v>
      </c>
      <c r="CT31" s="237">
        <v>0</v>
      </c>
      <c r="CU31" s="237">
        <v>0</v>
      </c>
      <c r="CV31" s="237">
        <v>0</v>
      </c>
      <c r="CW31" s="237">
        <v>12</v>
      </c>
      <c r="CY31" s="346" t="s">
        <v>867</v>
      </c>
      <c r="CZ31" s="346">
        <v>2020</v>
      </c>
      <c r="DA31" s="346">
        <v>208</v>
      </c>
      <c r="DB31" s="346">
        <v>333</v>
      </c>
      <c r="DC31" s="346">
        <v>453</v>
      </c>
      <c r="DD31" s="346">
        <v>538</v>
      </c>
      <c r="DE31" s="346">
        <v>480</v>
      </c>
      <c r="DF31" s="346">
        <v>2012</v>
      </c>
      <c r="DG31" s="346"/>
      <c r="DH31" s="346">
        <v>2020</v>
      </c>
      <c r="DI31" s="346">
        <v>27</v>
      </c>
      <c r="DJ31" s="346">
        <v>5</v>
      </c>
      <c r="DK31" s="346">
        <v>1</v>
      </c>
      <c r="DL31" s="346">
        <v>3</v>
      </c>
      <c r="DM31" s="346">
        <v>1</v>
      </c>
      <c r="DN31" s="346">
        <v>37</v>
      </c>
      <c r="DP31" s="349" t="s">
        <v>803</v>
      </c>
      <c r="DQ31" s="349">
        <v>2019</v>
      </c>
      <c r="DR31" s="349">
        <v>230</v>
      </c>
      <c r="DS31" s="349">
        <v>212</v>
      </c>
      <c r="DT31" s="349">
        <v>257</v>
      </c>
      <c r="DU31" s="349">
        <v>305</v>
      </c>
      <c r="DV31" s="349">
        <v>245</v>
      </c>
      <c r="DW31" s="349">
        <v>1249</v>
      </c>
      <c r="DX31" s="349"/>
      <c r="DY31" s="349">
        <v>2019</v>
      </c>
      <c r="DZ31" s="349">
        <v>15</v>
      </c>
      <c r="EA31" s="349">
        <v>5</v>
      </c>
      <c r="EB31" s="349">
        <v>0</v>
      </c>
      <c r="EC31" s="349">
        <v>0</v>
      </c>
      <c r="ED31" s="349">
        <v>0</v>
      </c>
      <c r="EE31" s="349">
        <v>20</v>
      </c>
      <c r="EG31" s="237" t="s">
        <v>1296</v>
      </c>
      <c r="EH31" s="237">
        <v>2018</v>
      </c>
      <c r="EI31" s="237" t="s">
        <v>792</v>
      </c>
      <c r="EJ31" s="237" t="s">
        <v>792</v>
      </c>
      <c r="EK31" s="237" t="s">
        <v>792</v>
      </c>
      <c r="EL31" s="237" t="s">
        <v>792</v>
      </c>
      <c r="EM31" s="237" t="s">
        <v>792</v>
      </c>
      <c r="EN31" s="237" t="s">
        <v>792</v>
      </c>
      <c r="EO31" s="237"/>
      <c r="EP31" s="237">
        <v>2018</v>
      </c>
      <c r="EQ31" s="237" t="s">
        <v>792</v>
      </c>
      <c r="ER31" s="237" t="s">
        <v>792</v>
      </c>
      <c r="ES31" s="237" t="s">
        <v>792</v>
      </c>
      <c r="ET31" s="237" t="s">
        <v>792</v>
      </c>
      <c r="EU31" s="237" t="s">
        <v>792</v>
      </c>
      <c r="EV31" s="237" t="s">
        <v>792</v>
      </c>
      <c r="EX31" s="309" t="s">
        <v>1198</v>
      </c>
      <c r="EY31" s="309">
        <v>2018</v>
      </c>
      <c r="EZ31" s="309">
        <v>940</v>
      </c>
      <c r="FA31" s="309">
        <v>841</v>
      </c>
      <c r="FB31" s="309">
        <v>787</v>
      </c>
      <c r="FC31" s="309">
        <v>815</v>
      </c>
      <c r="FD31" s="309">
        <v>916</v>
      </c>
      <c r="FE31" s="309">
        <v>4299</v>
      </c>
      <c r="FF31" s="309"/>
      <c r="FG31" s="309">
        <v>2018</v>
      </c>
      <c r="FH31" s="309">
        <v>99</v>
      </c>
      <c r="FI31" s="309">
        <v>0</v>
      </c>
      <c r="FJ31" s="309">
        <v>0</v>
      </c>
      <c r="FK31" s="309">
        <v>0</v>
      </c>
      <c r="FL31" s="309">
        <v>0</v>
      </c>
      <c r="FM31" s="309">
        <v>99</v>
      </c>
    </row>
    <row r="32" spans="1:169">
      <c r="A32" s="288" t="s">
        <v>709</v>
      </c>
      <c r="B32" s="288">
        <v>2018</v>
      </c>
      <c r="C32" s="288">
        <v>51</v>
      </c>
      <c r="D32" s="288">
        <v>10</v>
      </c>
      <c r="E32" s="288">
        <v>2</v>
      </c>
      <c r="F32" s="288">
        <v>3</v>
      </c>
      <c r="G32" s="288">
        <v>1</v>
      </c>
      <c r="H32" s="288">
        <v>67</v>
      </c>
      <c r="J32" s="288">
        <v>2018</v>
      </c>
      <c r="K32" s="288">
        <v>289</v>
      </c>
      <c r="L32" s="288">
        <v>387</v>
      </c>
      <c r="M32" s="288">
        <v>656</v>
      </c>
      <c r="N32" s="288">
        <v>973</v>
      </c>
      <c r="O32" s="288">
        <v>760</v>
      </c>
      <c r="P32" s="288">
        <v>3065</v>
      </c>
      <c r="AI32" s="290" t="s">
        <v>2040</v>
      </c>
      <c r="AJ32" s="290">
        <v>2018</v>
      </c>
      <c r="AK32" s="290" t="s">
        <v>360</v>
      </c>
      <c r="AL32" s="290" t="s">
        <v>360</v>
      </c>
      <c r="AM32" s="290" t="s">
        <v>360</v>
      </c>
      <c r="AN32" s="290" t="s">
        <v>360</v>
      </c>
      <c r="AO32" s="290" t="s">
        <v>360</v>
      </c>
      <c r="AP32" s="290" t="s">
        <v>360</v>
      </c>
      <c r="AQ32" s="290"/>
      <c r="AR32" s="290">
        <v>2018</v>
      </c>
      <c r="AS32" s="290" t="s">
        <v>360</v>
      </c>
      <c r="AT32" s="290" t="s">
        <v>360</v>
      </c>
      <c r="AU32" s="290" t="s">
        <v>360</v>
      </c>
      <c r="AV32" s="290" t="s">
        <v>360</v>
      </c>
      <c r="AW32" s="290" t="s">
        <v>360</v>
      </c>
      <c r="AX32" s="290" t="s">
        <v>360</v>
      </c>
      <c r="AZ32" s="300" t="s">
        <v>159</v>
      </c>
      <c r="BA32" s="300">
        <v>2018</v>
      </c>
      <c r="BB32" s="300">
        <v>149</v>
      </c>
      <c r="BC32" s="300">
        <v>130</v>
      </c>
      <c r="BD32" s="300">
        <v>180</v>
      </c>
      <c r="BE32" s="300">
        <v>268</v>
      </c>
      <c r="BF32" s="300">
        <v>229</v>
      </c>
      <c r="BG32" s="300">
        <v>956</v>
      </c>
      <c r="BH32" s="300"/>
      <c r="BI32" s="300">
        <v>2018</v>
      </c>
      <c r="BJ32" s="300">
        <v>27</v>
      </c>
      <c r="BK32" s="300">
        <v>0</v>
      </c>
      <c r="BL32" s="300">
        <v>0</v>
      </c>
      <c r="BM32" s="300">
        <v>0</v>
      </c>
      <c r="BN32" s="300">
        <v>0</v>
      </c>
      <c r="BO32" s="300">
        <v>27</v>
      </c>
      <c r="BQ32" s="309" t="s">
        <v>568</v>
      </c>
      <c r="BR32" s="309">
        <v>2019</v>
      </c>
      <c r="BS32" s="309">
        <v>1794</v>
      </c>
      <c r="BT32" s="309">
        <v>1053</v>
      </c>
      <c r="BU32" s="309">
        <v>1048</v>
      </c>
      <c r="BV32" s="309">
        <v>998</v>
      </c>
      <c r="BW32" s="309">
        <v>696</v>
      </c>
      <c r="BX32" s="309">
        <v>5589</v>
      </c>
      <c r="BY32" s="309"/>
      <c r="BZ32" s="309">
        <v>2019</v>
      </c>
      <c r="CA32" s="309">
        <v>541</v>
      </c>
      <c r="CB32" s="309">
        <v>5</v>
      </c>
      <c r="CC32" s="309">
        <v>0</v>
      </c>
      <c r="CD32" s="309">
        <v>0</v>
      </c>
      <c r="CE32" s="309">
        <v>0</v>
      </c>
      <c r="CF32" s="309">
        <v>546</v>
      </c>
      <c r="CH32" s="237" t="s">
        <v>281</v>
      </c>
      <c r="CI32" s="237">
        <v>2018</v>
      </c>
      <c r="CJ32" s="237">
        <v>161</v>
      </c>
      <c r="CK32" s="237">
        <v>189</v>
      </c>
      <c r="CL32" s="237">
        <v>326</v>
      </c>
      <c r="CM32" s="237">
        <v>448</v>
      </c>
      <c r="CN32" s="237">
        <v>427</v>
      </c>
      <c r="CO32" s="237">
        <v>1551</v>
      </c>
      <c r="CP32" s="237"/>
      <c r="CQ32" s="237">
        <v>2018</v>
      </c>
      <c r="CR32" s="237">
        <v>23</v>
      </c>
      <c r="CS32" s="237">
        <v>1</v>
      </c>
      <c r="CT32" s="237">
        <v>0</v>
      </c>
      <c r="CU32" s="237">
        <v>0</v>
      </c>
      <c r="CV32" s="237">
        <v>0</v>
      </c>
      <c r="CW32" s="237">
        <v>24</v>
      </c>
      <c r="CY32" s="346" t="s">
        <v>874</v>
      </c>
      <c r="CZ32" s="346">
        <v>2020</v>
      </c>
      <c r="DA32" s="346">
        <v>203</v>
      </c>
      <c r="DB32" s="346">
        <v>379</v>
      </c>
      <c r="DC32" s="346">
        <v>499</v>
      </c>
      <c r="DD32" s="346">
        <v>628</v>
      </c>
      <c r="DE32" s="346">
        <v>590</v>
      </c>
      <c r="DF32" s="346">
        <v>2299</v>
      </c>
      <c r="DG32" s="346"/>
      <c r="DH32" s="346">
        <v>2020</v>
      </c>
      <c r="DI32" s="346">
        <v>18</v>
      </c>
      <c r="DJ32" s="346">
        <v>11</v>
      </c>
      <c r="DK32" s="346">
        <v>6</v>
      </c>
      <c r="DL32" s="346">
        <v>1</v>
      </c>
      <c r="DM32" s="346">
        <v>0</v>
      </c>
      <c r="DN32" s="346">
        <v>36</v>
      </c>
      <c r="DP32" s="349" t="s">
        <v>805</v>
      </c>
      <c r="DQ32" s="349">
        <v>2019</v>
      </c>
      <c r="DR32" s="349">
        <v>272</v>
      </c>
      <c r="DS32" s="349">
        <v>324</v>
      </c>
      <c r="DT32" s="349">
        <v>398</v>
      </c>
      <c r="DU32" s="349">
        <v>466</v>
      </c>
      <c r="DV32" s="349">
        <v>444</v>
      </c>
      <c r="DW32" s="349">
        <v>1904</v>
      </c>
      <c r="DX32" s="349"/>
      <c r="DY32" s="349">
        <v>2019</v>
      </c>
      <c r="DZ32" s="349">
        <v>24</v>
      </c>
      <c r="EA32" s="349">
        <v>0</v>
      </c>
      <c r="EB32" s="349">
        <v>0</v>
      </c>
      <c r="EC32" s="349">
        <v>0</v>
      </c>
      <c r="ED32" s="349">
        <v>0</v>
      </c>
      <c r="EE32" s="349">
        <v>24</v>
      </c>
      <c r="EG32" s="237" t="s">
        <v>1137</v>
      </c>
      <c r="EH32" s="237">
        <v>2018</v>
      </c>
      <c r="EI32" s="237">
        <v>223</v>
      </c>
      <c r="EJ32" s="237">
        <v>296</v>
      </c>
      <c r="EK32" s="237">
        <v>370</v>
      </c>
      <c r="EL32" s="237">
        <v>543</v>
      </c>
      <c r="EM32" s="237">
        <v>663</v>
      </c>
      <c r="EN32" s="237">
        <v>2095</v>
      </c>
      <c r="EO32" s="237"/>
      <c r="EP32" s="237">
        <v>2018</v>
      </c>
      <c r="EQ32" s="237">
        <v>47</v>
      </c>
      <c r="ER32" s="237">
        <v>17</v>
      </c>
      <c r="ES32" s="237">
        <v>12</v>
      </c>
      <c r="ET32" s="237">
        <v>16</v>
      </c>
      <c r="EU32" s="237">
        <v>7</v>
      </c>
      <c r="EV32" s="237">
        <v>99</v>
      </c>
      <c r="EX32" s="309" t="s">
        <v>1200</v>
      </c>
      <c r="EY32" s="309">
        <v>2018</v>
      </c>
      <c r="EZ32" s="309">
        <v>626</v>
      </c>
      <c r="FA32" s="309">
        <v>606</v>
      </c>
      <c r="FB32" s="309">
        <v>486</v>
      </c>
      <c r="FC32" s="309">
        <v>540</v>
      </c>
      <c r="FD32" s="309">
        <v>585</v>
      </c>
      <c r="FE32" s="309">
        <v>2843</v>
      </c>
      <c r="FF32" s="309"/>
      <c r="FG32" s="309">
        <v>2018</v>
      </c>
      <c r="FH32" s="309">
        <v>49</v>
      </c>
      <c r="FI32" s="309">
        <v>0</v>
      </c>
      <c r="FJ32" s="309">
        <v>0</v>
      </c>
      <c r="FK32" s="309">
        <v>0</v>
      </c>
      <c r="FL32" s="309">
        <v>0</v>
      </c>
      <c r="FM32" s="309">
        <v>49</v>
      </c>
    </row>
    <row r="33" spans="1:169">
      <c r="A33" s="288" t="s">
        <v>712</v>
      </c>
      <c r="B33" s="288">
        <v>2018</v>
      </c>
      <c r="C33" s="288" t="s">
        <v>792</v>
      </c>
      <c r="D33" s="288" t="s">
        <v>792</v>
      </c>
      <c r="E33" s="288" t="s">
        <v>792</v>
      </c>
      <c r="F33" s="288" t="s">
        <v>792</v>
      </c>
      <c r="G33" s="288" t="s">
        <v>792</v>
      </c>
      <c r="H33" s="288" t="s">
        <v>792</v>
      </c>
      <c r="J33" s="288">
        <v>2018</v>
      </c>
      <c r="K33" s="288" t="s">
        <v>792</v>
      </c>
      <c r="L33" s="288" t="s">
        <v>792</v>
      </c>
      <c r="M33" s="288" t="s">
        <v>792</v>
      </c>
      <c r="N33" s="288" t="s">
        <v>792</v>
      </c>
      <c r="O33" s="288" t="s">
        <v>792</v>
      </c>
      <c r="P33" s="288" t="s">
        <v>792</v>
      </c>
      <c r="R33" s="289" t="s">
        <v>893</v>
      </c>
      <c r="S33" s="289">
        <v>2019</v>
      </c>
      <c r="T33" s="289">
        <v>1241</v>
      </c>
      <c r="U33" s="289">
        <v>1151</v>
      </c>
      <c r="V33" s="289">
        <v>1295</v>
      </c>
      <c r="W33" s="289">
        <v>1231</v>
      </c>
      <c r="X33" s="289">
        <v>814</v>
      </c>
      <c r="Y33" s="289">
        <v>5732</v>
      </c>
      <c r="Z33" s="289"/>
      <c r="AA33" s="289">
        <v>2019</v>
      </c>
      <c r="AB33" s="289">
        <v>128</v>
      </c>
      <c r="AC33" s="289">
        <v>10</v>
      </c>
      <c r="AD33" s="289">
        <v>1</v>
      </c>
      <c r="AE33" s="289">
        <v>3</v>
      </c>
      <c r="AF33" s="289">
        <v>1</v>
      </c>
      <c r="AG33" s="289">
        <v>143</v>
      </c>
      <c r="AI33" s="290" t="s">
        <v>426</v>
      </c>
      <c r="AJ33" s="290">
        <v>2018</v>
      </c>
      <c r="AK33" s="290">
        <v>129</v>
      </c>
      <c r="AL33" s="290">
        <v>133</v>
      </c>
      <c r="AM33" s="290">
        <v>240</v>
      </c>
      <c r="AN33" s="290">
        <v>338</v>
      </c>
      <c r="AO33" s="290">
        <v>312</v>
      </c>
      <c r="AP33" s="290">
        <v>1152</v>
      </c>
      <c r="AQ33" s="290"/>
      <c r="AR33" s="290">
        <v>2018</v>
      </c>
      <c r="AS33" s="290">
        <v>40</v>
      </c>
      <c r="AT33" s="290">
        <v>0</v>
      </c>
      <c r="AU33" s="290">
        <v>0</v>
      </c>
      <c r="AV33" s="290">
        <v>1</v>
      </c>
      <c r="AW33" s="290">
        <v>0</v>
      </c>
      <c r="AX33" s="290">
        <v>41</v>
      </c>
      <c r="AZ33" s="300" t="s">
        <v>161</v>
      </c>
      <c r="BA33" s="300">
        <v>2018</v>
      </c>
      <c r="BB33" s="300">
        <v>242</v>
      </c>
      <c r="BC33" s="300">
        <v>385</v>
      </c>
      <c r="BD33" s="300">
        <v>552</v>
      </c>
      <c r="BE33" s="300">
        <v>610</v>
      </c>
      <c r="BF33" s="300">
        <v>371</v>
      </c>
      <c r="BG33" s="300">
        <v>2160</v>
      </c>
      <c r="BH33" s="300"/>
      <c r="BI33" s="300">
        <v>2018</v>
      </c>
      <c r="BJ33" s="300">
        <v>25</v>
      </c>
      <c r="BK33" s="300">
        <v>3</v>
      </c>
      <c r="BL33" s="300">
        <v>0</v>
      </c>
      <c r="BM33" s="300">
        <v>0</v>
      </c>
      <c r="BN33" s="300">
        <v>0</v>
      </c>
      <c r="BO33" s="300">
        <v>28</v>
      </c>
      <c r="BQ33" s="309" t="s">
        <v>570</v>
      </c>
      <c r="BR33" s="309">
        <v>2019</v>
      </c>
      <c r="BS33" s="309">
        <v>69</v>
      </c>
      <c r="BT33" s="309">
        <v>61</v>
      </c>
      <c r="BU33" s="309">
        <v>87</v>
      </c>
      <c r="BV33" s="309">
        <v>113</v>
      </c>
      <c r="BW33" s="309">
        <v>95</v>
      </c>
      <c r="BX33" s="309">
        <v>425</v>
      </c>
      <c r="BY33" s="309"/>
      <c r="BZ33" s="309">
        <v>2019</v>
      </c>
      <c r="CA33" s="309">
        <v>10</v>
      </c>
      <c r="CB33" s="309">
        <v>0</v>
      </c>
      <c r="CC33" s="309">
        <v>0</v>
      </c>
      <c r="CD33" s="309">
        <v>0</v>
      </c>
      <c r="CE33" s="309">
        <v>0</v>
      </c>
      <c r="CF33" s="309">
        <v>10</v>
      </c>
      <c r="CH33" s="237" t="s">
        <v>1343</v>
      </c>
      <c r="CI33" s="237">
        <v>2018</v>
      </c>
      <c r="CJ33" s="237" t="s">
        <v>792</v>
      </c>
      <c r="CK33" s="237" t="s">
        <v>792</v>
      </c>
      <c r="CL33" s="237" t="s">
        <v>792</v>
      </c>
      <c r="CM33" s="237" t="s">
        <v>792</v>
      </c>
      <c r="CN33" s="237" t="s">
        <v>792</v>
      </c>
      <c r="CO33" s="237" t="s">
        <v>792</v>
      </c>
      <c r="CP33" s="237"/>
      <c r="CQ33" s="237">
        <v>2018</v>
      </c>
      <c r="CR33" s="237" t="s">
        <v>792</v>
      </c>
      <c r="CS33" s="237" t="s">
        <v>792</v>
      </c>
      <c r="CT33" s="237" t="s">
        <v>792</v>
      </c>
      <c r="CU33" s="237" t="s">
        <v>792</v>
      </c>
      <c r="CV33" s="237" t="s">
        <v>792</v>
      </c>
      <c r="CW33" s="237" t="s">
        <v>792</v>
      </c>
      <c r="CY33" s="346" t="s">
        <v>875</v>
      </c>
      <c r="CZ33" s="346">
        <v>2020</v>
      </c>
      <c r="DA33" s="346">
        <v>169</v>
      </c>
      <c r="DB33" s="346">
        <v>236</v>
      </c>
      <c r="DC33" s="346">
        <v>264</v>
      </c>
      <c r="DD33" s="346">
        <v>387</v>
      </c>
      <c r="DE33" s="346">
        <v>364</v>
      </c>
      <c r="DF33" s="346">
        <v>1420</v>
      </c>
      <c r="DG33" s="346"/>
      <c r="DH33" s="346">
        <v>2020</v>
      </c>
      <c r="DI33" s="346">
        <v>20</v>
      </c>
      <c r="DJ33" s="346">
        <v>5</v>
      </c>
      <c r="DK33" s="346">
        <v>0</v>
      </c>
      <c r="DL33" s="346">
        <v>1</v>
      </c>
      <c r="DM33" s="346">
        <v>0</v>
      </c>
      <c r="DN33" s="346">
        <v>26</v>
      </c>
      <c r="DP33" s="349" t="s">
        <v>807</v>
      </c>
      <c r="DQ33" s="349">
        <v>2019</v>
      </c>
      <c r="DR33" s="349">
        <v>366</v>
      </c>
      <c r="DS33" s="349">
        <v>329</v>
      </c>
      <c r="DT33" s="349">
        <v>442</v>
      </c>
      <c r="DU33" s="349">
        <v>504</v>
      </c>
      <c r="DV33" s="349">
        <v>460</v>
      </c>
      <c r="DW33" s="349">
        <v>2101</v>
      </c>
      <c r="DX33" s="349"/>
      <c r="DY33" s="349">
        <v>2019</v>
      </c>
      <c r="DZ33" s="349">
        <v>17</v>
      </c>
      <c r="EA33" s="349">
        <v>0</v>
      </c>
      <c r="EB33" s="349">
        <v>0</v>
      </c>
      <c r="EC33" s="349">
        <v>0</v>
      </c>
      <c r="ED33" s="349">
        <v>0</v>
      </c>
      <c r="EE33" s="349">
        <v>17</v>
      </c>
      <c r="EG33" s="237" t="s">
        <v>1306</v>
      </c>
      <c r="EH33" s="237">
        <v>2018</v>
      </c>
      <c r="EI33" s="237" t="s">
        <v>792</v>
      </c>
      <c r="EJ33" s="237" t="s">
        <v>792</v>
      </c>
      <c r="EK33" s="237" t="s">
        <v>792</v>
      </c>
      <c r="EL33" s="237" t="s">
        <v>792</v>
      </c>
      <c r="EM33" s="237" t="s">
        <v>792</v>
      </c>
      <c r="EN33" s="237" t="s">
        <v>792</v>
      </c>
      <c r="EO33" s="237"/>
      <c r="EP33" s="237">
        <v>2018</v>
      </c>
      <c r="EQ33" s="237" t="s">
        <v>792</v>
      </c>
      <c r="ER33" s="237" t="s">
        <v>792</v>
      </c>
      <c r="ES33" s="237" t="s">
        <v>792</v>
      </c>
      <c r="ET33" s="237" t="s">
        <v>792</v>
      </c>
      <c r="EU33" s="237" t="s">
        <v>792</v>
      </c>
      <c r="EV33" s="237" t="s">
        <v>792</v>
      </c>
      <c r="EX33" s="309" t="s">
        <v>1202</v>
      </c>
      <c r="EY33" s="309">
        <v>2018</v>
      </c>
      <c r="EZ33" s="309">
        <v>113</v>
      </c>
      <c r="FA33" s="309">
        <v>217</v>
      </c>
      <c r="FB33" s="309">
        <v>318</v>
      </c>
      <c r="FC33" s="309">
        <v>372</v>
      </c>
      <c r="FD33" s="309">
        <v>502</v>
      </c>
      <c r="FE33" s="309">
        <v>1522</v>
      </c>
      <c r="FF33" s="309"/>
      <c r="FG33" s="309">
        <v>2018</v>
      </c>
      <c r="FH33" s="309">
        <v>20</v>
      </c>
      <c r="FI33" s="309">
        <v>18</v>
      </c>
      <c r="FJ33" s="309">
        <v>15</v>
      </c>
      <c r="FK33" s="309">
        <v>8</v>
      </c>
      <c r="FL33" s="309">
        <v>22</v>
      </c>
      <c r="FM33" s="309">
        <v>83</v>
      </c>
    </row>
    <row r="34" spans="1:169">
      <c r="A34" s="288" t="s">
        <v>715</v>
      </c>
      <c r="B34" s="288">
        <v>2018</v>
      </c>
      <c r="C34" s="288" t="s">
        <v>792</v>
      </c>
      <c r="D34" s="288" t="s">
        <v>792</v>
      </c>
      <c r="E34" s="288" t="s">
        <v>792</v>
      </c>
      <c r="F34" s="288" t="s">
        <v>792</v>
      </c>
      <c r="G34" s="288" t="s">
        <v>792</v>
      </c>
      <c r="H34" s="288" t="s">
        <v>792</v>
      </c>
      <c r="J34" s="288">
        <v>2018</v>
      </c>
      <c r="K34" s="288" t="s">
        <v>792</v>
      </c>
      <c r="L34" s="288" t="s">
        <v>792</v>
      </c>
      <c r="M34" s="288" t="s">
        <v>792</v>
      </c>
      <c r="N34" s="288" t="s">
        <v>792</v>
      </c>
      <c r="O34" s="288" t="s">
        <v>792</v>
      </c>
      <c r="P34" s="288" t="s">
        <v>792</v>
      </c>
      <c r="R34" s="289" t="s">
        <v>894</v>
      </c>
      <c r="S34" s="289">
        <v>2019</v>
      </c>
      <c r="T34" s="289" t="s">
        <v>792</v>
      </c>
      <c r="U34" s="289" t="s">
        <v>792</v>
      </c>
      <c r="V34" s="289" t="s">
        <v>792</v>
      </c>
      <c r="W34" s="289" t="s">
        <v>792</v>
      </c>
      <c r="X34" s="289" t="s">
        <v>792</v>
      </c>
      <c r="Y34" s="289" t="s">
        <v>792</v>
      </c>
      <c r="Z34" s="289"/>
      <c r="AA34" s="289">
        <v>2019</v>
      </c>
      <c r="AB34" s="289" t="s">
        <v>792</v>
      </c>
      <c r="AC34" s="289" t="s">
        <v>792</v>
      </c>
      <c r="AD34" s="289" t="s">
        <v>792</v>
      </c>
      <c r="AE34" s="289" t="s">
        <v>792</v>
      </c>
      <c r="AF34" s="289" t="s">
        <v>792</v>
      </c>
      <c r="AG34" s="289" t="s">
        <v>792</v>
      </c>
      <c r="AI34" s="290" t="s">
        <v>427</v>
      </c>
      <c r="AJ34" s="290">
        <v>2018</v>
      </c>
      <c r="AK34" s="290">
        <v>153</v>
      </c>
      <c r="AL34" s="290">
        <v>208</v>
      </c>
      <c r="AM34" s="290">
        <v>469</v>
      </c>
      <c r="AN34" s="290">
        <v>741</v>
      </c>
      <c r="AO34" s="290">
        <v>520</v>
      </c>
      <c r="AP34" s="290">
        <v>2091</v>
      </c>
      <c r="AQ34" s="290"/>
      <c r="AR34" s="290">
        <v>2018</v>
      </c>
      <c r="AS34" s="290">
        <v>17</v>
      </c>
      <c r="AT34" s="290">
        <v>0</v>
      </c>
      <c r="AU34" s="290">
        <v>0</v>
      </c>
      <c r="AV34" s="290">
        <v>1</v>
      </c>
      <c r="AW34" s="290">
        <v>0</v>
      </c>
      <c r="AX34" s="290">
        <v>18</v>
      </c>
      <c r="AZ34" s="300" t="s">
        <v>163</v>
      </c>
      <c r="BA34" s="300">
        <v>2018</v>
      </c>
      <c r="BB34" s="300">
        <v>208</v>
      </c>
      <c r="BC34" s="300">
        <v>215</v>
      </c>
      <c r="BD34" s="300">
        <v>429</v>
      </c>
      <c r="BE34" s="300">
        <v>508</v>
      </c>
      <c r="BF34" s="300">
        <v>400</v>
      </c>
      <c r="BG34" s="300">
        <v>1760</v>
      </c>
      <c r="BH34" s="300"/>
      <c r="BI34" s="300">
        <v>2018</v>
      </c>
      <c r="BJ34" s="300">
        <v>25</v>
      </c>
      <c r="BK34" s="300">
        <v>0</v>
      </c>
      <c r="BL34" s="300">
        <v>0</v>
      </c>
      <c r="BM34" s="300">
        <v>0</v>
      </c>
      <c r="BN34" s="300">
        <v>0</v>
      </c>
      <c r="BO34" s="300">
        <v>25</v>
      </c>
      <c r="BQ34" s="309" t="s">
        <v>1374</v>
      </c>
      <c r="BR34" s="309">
        <v>2019</v>
      </c>
      <c r="BS34" s="309" t="s">
        <v>792</v>
      </c>
      <c r="BT34" s="309" t="s">
        <v>792</v>
      </c>
      <c r="BU34" s="309" t="s">
        <v>792</v>
      </c>
      <c r="BV34" s="309" t="s">
        <v>792</v>
      </c>
      <c r="BW34" s="309" t="s">
        <v>792</v>
      </c>
      <c r="BX34" s="309" t="s">
        <v>792</v>
      </c>
      <c r="BY34" s="309"/>
      <c r="BZ34" s="309">
        <v>2019</v>
      </c>
      <c r="CA34" s="309" t="s">
        <v>792</v>
      </c>
      <c r="CB34" s="309" t="s">
        <v>792</v>
      </c>
      <c r="CC34" s="309" t="s">
        <v>792</v>
      </c>
      <c r="CD34" s="309" t="s">
        <v>792</v>
      </c>
      <c r="CE34" s="309" t="s">
        <v>792</v>
      </c>
      <c r="CF34" s="309" t="s">
        <v>792</v>
      </c>
      <c r="CH34" s="237" t="s">
        <v>253</v>
      </c>
      <c r="CI34" s="237">
        <v>2018</v>
      </c>
      <c r="CJ34" s="237">
        <v>175</v>
      </c>
      <c r="CK34" s="237">
        <v>61</v>
      </c>
      <c r="CL34" s="237">
        <v>112</v>
      </c>
      <c r="CM34" s="237">
        <v>158</v>
      </c>
      <c r="CN34" s="237">
        <v>157</v>
      </c>
      <c r="CO34" s="237">
        <v>663</v>
      </c>
      <c r="CP34" s="237"/>
      <c r="CQ34" s="237">
        <v>2018</v>
      </c>
      <c r="CR34" s="237">
        <v>56</v>
      </c>
      <c r="CS34" s="237">
        <v>0</v>
      </c>
      <c r="CT34" s="237">
        <v>0</v>
      </c>
      <c r="CU34" s="237">
        <v>0</v>
      </c>
      <c r="CV34" s="237">
        <v>0</v>
      </c>
      <c r="CW34" s="237">
        <v>56</v>
      </c>
      <c r="CY34" s="346" t="s">
        <v>876</v>
      </c>
      <c r="CZ34" s="346">
        <v>2020</v>
      </c>
      <c r="DA34" s="346">
        <v>573</v>
      </c>
      <c r="DB34" s="346">
        <v>822</v>
      </c>
      <c r="DC34" s="346">
        <v>1039</v>
      </c>
      <c r="DD34" s="346">
        <v>1159</v>
      </c>
      <c r="DE34" s="346">
        <v>1032</v>
      </c>
      <c r="DF34" s="346">
        <v>4625</v>
      </c>
      <c r="DG34" s="346"/>
      <c r="DH34" s="346">
        <v>2020</v>
      </c>
      <c r="DI34" s="346">
        <v>75</v>
      </c>
      <c r="DJ34" s="346">
        <v>42</v>
      </c>
      <c r="DK34" s="346">
        <v>15</v>
      </c>
      <c r="DL34" s="346">
        <v>0</v>
      </c>
      <c r="DM34" s="346">
        <v>0</v>
      </c>
      <c r="DN34" s="346">
        <v>132</v>
      </c>
      <c r="DP34" s="349" t="s">
        <v>809</v>
      </c>
      <c r="DQ34" s="349">
        <v>2019</v>
      </c>
      <c r="DR34" s="349">
        <v>1503</v>
      </c>
      <c r="DS34" s="349">
        <v>1036</v>
      </c>
      <c r="DT34" s="349">
        <v>1291</v>
      </c>
      <c r="DU34" s="349">
        <v>1419</v>
      </c>
      <c r="DV34" s="349">
        <v>1098</v>
      </c>
      <c r="DW34" s="349">
        <v>6347</v>
      </c>
      <c r="DX34" s="349"/>
      <c r="DY34" s="349">
        <v>2019</v>
      </c>
      <c r="DZ34" s="349">
        <v>40</v>
      </c>
      <c r="EA34" s="349">
        <v>0</v>
      </c>
      <c r="EB34" s="349">
        <v>0</v>
      </c>
      <c r="EC34" s="349">
        <v>0</v>
      </c>
      <c r="ED34" s="349">
        <v>0</v>
      </c>
      <c r="EE34" s="349">
        <v>40</v>
      </c>
      <c r="EG34" s="237" t="s">
        <v>1308</v>
      </c>
      <c r="EH34" s="237">
        <v>2018</v>
      </c>
      <c r="EI34" s="237" t="s">
        <v>792</v>
      </c>
      <c r="EJ34" s="237" t="s">
        <v>792</v>
      </c>
      <c r="EK34" s="237" t="s">
        <v>792</v>
      </c>
      <c r="EL34" s="237" t="s">
        <v>792</v>
      </c>
      <c r="EM34" s="237" t="s">
        <v>792</v>
      </c>
      <c r="EN34" s="237" t="s">
        <v>792</v>
      </c>
      <c r="EO34" s="237"/>
      <c r="EP34" s="237">
        <v>2018</v>
      </c>
      <c r="EQ34" s="237" t="s">
        <v>792</v>
      </c>
      <c r="ER34" s="237" t="s">
        <v>792</v>
      </c>
      <c r="ES34" s="237" t="s">
        <v>792</v>
      </c>
      <c r="ET34" s="237" t="s">
        <v>792</v>
      </c>
      <c r="EU34" s="237" t="s">
        <v>792</v>
      </c>
      <c r="EV34" s="237" t="s">
        <v>792</v>
      </c>
      <c r="EX34" s="309" t="s">
        <v>1204</v>
      </c>
      <c r="EY34" s="309">
        <v>2018</v>
      </c>
      <c r="EZ34" s="309">
        <v>256</v>
      </c>
      <c r="FA34" s="309">
        <v>454</v>
      </c>
      <c r="FB34" s="309">
        <v>529</v>
      </c>
      <c r="FC34" s="309">
        <v>607</v>
      </c>
      <c r="FD34" s="309">
        <v>799</v>
      </c>
      <c r="FE34" s="309">
        <v>2645</v>
      </c>
      <c r="FF34" s="309"/>
      <c r="FG34" s="309">
        <v>2018</v>
      </c>
      <c r="FH34" s="309">
        <v>62</v>
      </c>
      <c r="FI34" s="309">
        <v>0</v>
      </c>
      <c r="FJ34" s="309">
        <v>0</v>
      </c>
      <c r="FK34" s="309">
        <v>0</v>
      </c>
      <c r="FL34" s="309">
        <v>0</v>
      </c>
      <c r="FM34" s="309">
        <v>62</v>
      </c>
    </row>
    <row r="35" spans="1:169">
      <c r="A35" s="288" t="s">
        <v>718</v>
      </c>
      <c r="B35" s="288">
        <v>2018</v>
      </c>
      <c r="C35" s="288" t="s">
        <v>792</v>
      </c>
      <c r="D35" s="288" t="s">
        <v>792</v>
      </c>
      <c r="E35" s="288" t="s">
        <v>792</v>
      </c>
      <c r="F35" s="288" t="s">
        <v>792</v>
      </c>
      <c r="G35" s="288" t="s">
        <v>792</v>
      </c>
      <c r="H35" s="288" t="s">
        <v>792</v>
      </c>
      <c r="J35" s="288">
        <v>2018</v>
      </c>
      <c r="K35" s="288" t="s">
        <v>792</v>
      </c>
      <c r="L35" s="288" t="s">
        <v>792</v>
      </c>
      <c r="M35" s="288" t="s">
        <v>792</v>
      </c>
      <c r="N35" s="288" t="s">
        <v>792</v>
      </c>
      <c r="O35" s="288" t="s">
        <v>792</v>
      </c>
      <c r="P35" s="288" t="s">
        <v>792</v>
      </c>
      <c r="R35" s="289" t="s">
        <v>895</v>
      </c>
      <c r="S35" s="289">
        <v>2019</v>
      </c>
      <c r="T35" s="289" t="s">
        <v>792</v>
      </c>
      <c r="U35" s="289" t="s">
        <v>792</v>
      </c>
      <c r="V35" s="289" t="s">
        <v>792</v>
      </c>
      <c r="W35" s="289" t="s">
        <v>792</v>
      </c>
      <c r="X35" s="289" t="s">
        <v>792</v>
      </c>
      <c r="Y35" s="289" t="s">
        <v>792</v>
      </c>
      <c r="Z35" s="289"/>
      <c r="AA35" s="289">
        <v>2019</v>
      </c>
      <c r="AB35" s="289" t="s">
        <v>792</v>
      </c>
      <c r="AC35" s="289" t="s">
        <v>792</v>
      </c>
      <c r="AD35" s="289" t="s">
        <v>792</v>
      </c>
      <c r="AE35" s="289" t="s">
        <v>792</v>
      </c>
      <c r="AF35" s="289" t="s">
        <v>792</v>
      </c>
      <c r="AG35" s="289" t="s">
        <v>792</v>
      </c>
      <c r="AI35" s="290" t="s">
        <v>428</v>
      </c>
      <c r="AJ35" s="290">
        <v>2018</v>
      </c>
      <c r="AK35" s="290" t="s">
        <v>360</v>
      </c>
      <c r="AL35" s="290" t="s">
        <v>360</v>
      </c>
      <c r="AM35" s="290" t="s">
        <v>360</v>
      </c>
      <c r="AN35" s="290" t="s">
        <v>360</v>
      </c>
      <c r="AO35" s="290" t="s">
        <v>360</v>
      </c>
      <c r="AP35" s="290" t="s">
        <v>360</v>
      </c>
      <c r="AQ35" s="290"/>
      <c r="AR35" s="290">
        <v>2018</v>
      </c>
      <c r="AS35" s="290" t="s">
        <v>360</v>
      </c>
      <c r="AT35" s="290" t="s">
        <v>360</v>
      </c>
      <c r="AU35" s="290" t="s">
        <v>360</v>
      </c>
      <c r="AV35" s="290" t="s">
        <v>360</v>
      </c>
      <c r="AW35" s="290" t="s">
        <v>360</v>
      </c>
      <c r="AX35" s="290" t="s">
        <v>360</v>
      </c>
      <c r="AZ35" s="300" t="s">
        <v>165</v>
      </c>
      <c r="BA35" s="300">
        <v>2018</v>
      </c>
      <c r="BB35" s="300">
        <v>158</v>
      </c>
      <c r="BC35" s="300">
        <v>188</v>
      </c>
      <c r="BD35" s="300">
        <v>331</v>
      </c>
      <c r="BE35" s="300">
        <v>421</v>
      </c>
      <c r="BF35" s="300">
        <v>314</v>
      </c>
      <c r="BG35" s="300">
        <v>1412</v>
      </c>
      <c r="BH35" s="300"/>
      <c r="BI35" s="300">
        <v>2018</v>
      </c>
      <c r="BJ35" s="300">
        <v>28</v>
      </c>
      <c r="BK35" s="300">
        <v>0</v>
      </c>
      <c r="BL35" s="300">
        <v>0</v>
      </c>
      <c r="BM35" s="300">
        <v>0</v>
      </c>
      <c r="BN35" s="300">
        <v>0</v>
      </c>
      <c r="BO35" s="300">
        <v>28</v>
      </c>
      <c r="BQ35" s="309" t="s">
        <v>572</v>
      </c>
      <c r="BR35" s="309">
        <v>2019</v>
      </c>
      <c r="BS35" s="309">
        <v>1129</v>
      </c>
      <c r="BT35" s="309">
        <v>427</v>
      </c>
      <c r="BU35" s="309">
        <v>595</v>
      </c>
      <c r="BV35" s="309">
        <v>856</v>
      </c>
      <c r="BW35" s="309">
        <v>719</v>
      </c>
      <c r="BX35" s="309">
        <v>3726</v>
      </c>
      <c r="BY35" s="309"/>
      <c r="BZ35" s="309">
        <v>2019</v>
      </c>
      <c r="CA35" s="309">
        <v>301</v>
      </c>
      <c r="CB35" s="309">
        <v>0</v>
      </c>
      <c r="CC35" s="309">
        <v>0</v>
      </c>
      <c r="CD35" s="309">
        <v>0</v>
      </c>
      <c r="CE35" s="309">
        <v>0</v>
      </c>
      <c r="CF35" s="309">
        <v>301</v>
      </c>
      <c r="CH35" s="237" t="s">
        <v>275</v>
      </c>
      <c r="CI35" s="237">
        <v>2018</v>
      </c>
      <c r="CJ35" s="237">
        <v>1153</v>
      </c>
      <c r="CK35" s="237">
        <v>1123</v>
      </c>
      <c r="CL35" s="237">
        <v>1279</v>
      </c>
      <c r="CM35" s="237">
        <v>1326</v>
      </c>
      <c r="CN35" s="237">
        <v>962</v>
      </c>
      <c r="CO35" s="237">
        <v>5843</v>
      </c>
      <c r="CP35" s="237"/>
      <c r="CQ35" s="237">
        <v>2018</v>
      </c>
      <c r="CR35" s="237">
        <v>301</v>
      </c>
      <c r="CS35" s="237">
        <v>1</v>
      </c>
      <c r="CT35" s="237">
        <v>0</v>
      </c>
      <c r="CU35" s="237">
        <v>0</v>
      </c>
      <c r="CV35" s="237">
        <v>0</v>
      </c>
      <c r="CW35" s="237">
        <v>302</v>
      </c>
      <c r="CY35" s="346" t="s">
        <v>868</v>
      </c>
      <c r="CZ35" s="346">
        <v>2020</v>
      </c>
      <c r="DA35" s="346">
        <v>95</v>
      </c>
      <c r="DB35" s="346">
        <v>161</v>
      </c>
      <c r="DC35" s="346">
        <v>204</v>
      </c>
      <c r="DD35" s="346">
        <v>240</v>
      </c>
      <c r="DE35" s="346">
        <v>213</v>
      </c>
      <c r="DF35" s="346">
        <v>913</v>
      </c>
      <c r="DG35" s="346"/>
      <c r="DH35" s="346">
        <v>2020</v>
      </c>
      <c r="DI35" s="346">
        <v>14</v>
      </c>
      <c r="DJ35" s="346">
        <v>4</v>
      </c>
      <c r="DK35" s="346">
        <v>0</v>
      </c>
      <c r="DL35" s="346">
        <v>2</v>
      </c>
      <c r="DM35" s="346">
        <v>2</v>
      </c>
      <c r="DN35" s="346">
        <v>22</v>
      </c>
      <c r="DP35" s="349" t="s">
        <v>1483</v>
      </c>
      <c r="DQ35" s="349">
        <v>2019</v>
      </c>
      <c r="DR35" s="349">
        <v>349</v>
      </c>
      <c r="DS35" s="349">
        <v>359</v>
      </c>
      <c r="DT35" s="349">
        <v>526</v>
      </c>
      <c r="DU35" s="349">
        <v>503</v>
      </c>
      <c r="DV35" s="349">
        <v>354</v>
      </c>
      <c r="DW35" s="349">
        <v>2091</v>
      </c>
      <c r="DX35" s="349"/>
      <c r="DY35" s="349">
        <v>2019</v>
      </c>
      <c r="DZ35" s="349">
        <v>9</v>
      </c>
      <c r="EA35" s="349">
        <v>1</v>
      </c>
      <c r="EB35" s="349">
        <v>0</v>
      </c>
      <c r="EC35" s="349">
        <v>0</v>
      </c>
      <c r="ED35" s="349">
        <v>0</v>
      </c>
      <c r="EE35" s="349">
        <v>10</v>
      </c>
      <c r="EG35" s="237" t="s">
        <v>1140</v>
      </c>
      <c r="EH35" s="237">
        <v>2018</v>
      </c>
      <c r="EI35" s="237" t="s">
        <v>792</v>
      </c>
      <c r="EJ35" s="237" t="s">
        <v>792</v>
      </c>
      <c r="EK35" s="237" t="s">
        <v>792</v>
      </c>
      <c r="EL35" s="237" t="s">
        <v>792</v>
      </c>
      <c r="EM35" s="237" t="s">
        <v>792</v>
      </c>
      <c r="EN35" s="237" t="s">
        <v>792</v>
      </c>
      <c r="EO35" s="237"/>
      <c r="EP35" s="237">
        <v>2018</v>
      </c>
      <c r="EQ35" s="237" t="s">
        <v>792</v>
      </c>
      <c r="ER35" s="237" t="s">
        <v>792</v>
      </c>
      <c r="ES35" s="237" t="s">
        <v>792</v>
      </c>
      <c r="ET35" s="237" t="s">
        <v>792</v>
      </c>
      <c r="EU35" s="237" t="s">
        <v>792</v>
      </c>
      <c r="EV35" s="237" t="s">
        <v>792</v>
      </c>
      <c r="EX35" s="309" t="s">
        <v>1206</v>
      </c>
      <c r="EY35" s="309">
        <v>2018</v>
      </c>
      <c r="EZ35" s="309">
        <v>496</v>
      </c>
      <c r="FA35" s="309">
        <v>462</v>
      </c>
      <c r="FB35" s="309">
        <v>534</v>
      </c>
      <c r="FC35" s="309">
        <v>542</v>
      </c>
      <c r="FD35" s="309">
        <v>554</v>
      </c>
      <c r="FE35" s="309">
        <v>2588</v>
      </c>
      <c r="FF35" s="309"/>
      <c r="FG35" s="309">
        <v>2018</v>
      </c>
      <c r="FH35" s="309">
        <v>82</v>
      </c>
      <c r="FI35" s="309">
        <v>12</v>
      </c>
      <c r="FJ35" s="309">
        <v>0</v>
      </c>
      <c r="FK35" s="309">
        <v>0</v>
      </c>
      <c r="FL35" s="309">
        <v>0</v>
      </c>
      <c r="FM35" s="309">
        <v>94</v>
      </c>
    </row>
    <row r="36" spans="1:169">
      <c r="A36" s="288" t="s">
        <v>712</v>
      </c>
      <c r="B36" s="288">
        <v>2018</v>
      </c>
      <c r="C36" s="288" t="s">
        <v>792</v>
      </c>
      <c r="D36" s="288" t="s">
        <v>792</v>
      </c>
      <c r="E36" s="288" t="s">
        <v>792</v>
      </c>
      <c r="F36" s="288" t="s">
        <v>792</v>
      </c>
      <c r="G36" s="288" t="s">
        <v>792</v>
      </c>
      <c r="H36" s="288" t="s">
        <v>792</v>
      </c>
      <c r="J36" s="288">
        <v>2018</v>
      </c>
      <c r="K36" s="288" t="s">
        <v>792</v>
      </c>
      <c r="L36" s="288" t="s">
        <v>792</v>
      </c>
      <c r="M36" s="288" t="s">
        <v>792</v>
      </c>
      <c r="N36" s="288" t="s">
        <v>792</v>
      </c>
      <c r="O36" s="288" t="s">
        <v>792</v>
      </c>
      <c r="P36" s="288" t="s">
        <v>792</v>
      </c>
      <c r="R36" s="289" t="s">
        <v>896</v>
      </c>
      <c r="S36" s="289">
        <v>2019</v>
      </c>
      <c r="T36" s="289" t="s">
        <v>792</v>
      </c>
      <c r="U36" s="289" t="s">
        <v>792</v>
      </c>
      <c r="V36" s="289" t="s">
        <v>792</v>
      </c>
      <c r="W36" s="289" t="s">
        <v>792</v>
      </c>
      <c r="X36" s="289" t="s">
        <v>792</v>
      </c>
      <c r="Y36" s="289" t="s">
        <v>792</v>
      </c>
      <c r="Z36" s="289"/>
      <c r="AA36" s="289">
        <v>2019</v>
      </c>
      <c r="AB36" s="289" t="s">
        <v>792</v>
      </c>
      <c r="AC36" s="289" t="s">
        <v>792</v>
      </c>
      <c r="AD36" s="289" t="s">
        <v>792</v>
      </c>
      <c r="AE36" s="289" t="s">
        <v>792</v>
      </c>
      <c r="AF36" s="289" t="s">
        <v>792</v>
      </c>
      <c r="AG36" s="289" t="s">
        <v>792</v>
      </c>
      <c r="AI36" s="290" t="s">
        <v>429</v>
      </c>
      <c r="AJ36" s="290">
        <v>2018</v>
      </c>
      <c r="AK36" s="290" t="s">
        <v>360</v>
      </c>
      <c r="AL36" s="290" t="s">
        <v>360</v>
      </c>
      <c r="AM36" s="290" t="s">
        <v>360</v>
      </c>
      <c r="AN36" s="290" t="s">
        <v>360</v>
      </c>
      <c r="AO36" s="290" t="s">
        <v>360</v>
      </c>
      <c r="AP36" s="290" t="s">
        <v>360</v>
      </c>
      <c r="AQ36" s="290"/>
      <c r="AR36" s="290">
        <v>2018</v>
      </c>
      <c r="AS36" s="290" t="s">
        <v>360</v>
      </c>
      <c r="AT36" s="290" t="s">
        <v>360</v>
      </c>
      <c r="AU36" s="290" t="s">
        <v>360</v>
      </c>
      <c r="AV36" s="290" t="s">
        <v>360</v>
      </c>
      <c r="AW36" s="290" t="s">
        <v>360</v>
      </c>
      <c r="AX36" s="290" t="s">
        <v>360</v>
      </c>
      <c r="AZ36" s="300" t="s">
        <v>187</v>
      </c>
      <c r="BA36" s="300">
        <v>2018</v>
      </c>
      <c r="BB36" s="300" t="s">
        <v>792</v>
      </c>
      <c r="BC36" s="300" t="s">
        <v>792</v>
      </c>
      <c r="BD36" s="300" t="s">
        <v>792</v>
      </c>
      <c r="BE36" s="300" t="s">
        <v>792</v>
      </c>
      <c r="BF36" s="300" t="s">
        <v>792</v>
      </c>
      <c r="BG36" s="300" t="s">
        <v>792</v>
      </c>
      <c r="BH36" s="300"/>
      <c r="BI36" s="300">
        <v>2018</v>
      </c>
      <c r="BJ36" s="300" t="s">
        <v>792</v>
      </c>
      <c r="BK36" s="300" t="s">
        <v>792</v>
      </c>
      <c r="BL36" s="300" t="s">
        <v>792</v>
      </c>
      <c r="BM36" s="300" t="s">
        <v>792</v>
      </c>
      <c r="BN36" s="300" t="s">
        <v>792</v>
      </c>
      <c r="BO36" s="300" t="s">
        <v>792</v>
      </c>
      <c r="BQ36" s="309" t="s">
        <v>575</v>
      </c>
      <c r="BR36" s="309">
        <v>2019</v>
      </c>
      <c r="BS36" s="309">
        <v>63</v>
      </c>
      <c r="BT36" s="309">
        <v>112</v>
      </c>
      <c r="BU36" s="309">
        <v>174</v>
      </c>
      <c r="BV36" s="309">
        <v>341</v>
      </c>
      <c r="BW36" s="309">
        <v>282</v>
      </c>
      <c r="BX36" s="309">
        <v>972</v>
      </c>
      <c r="BY36" s="309"/>
      <c r="BZ36" s="309">
        <v>2019</v>
      </c>
      <c r="CA36" s="309">
        <v>14</v>
      </c>
      <c r="CB36" s="309">
        <v>0</v>
      </c>
      <c r="CC36" s="309">
        <v>0</v>
      </c>
      <c r="CD36" s="309">
        <v>0</v>
      </c>
      <c r="CE36" s="309">
        <v>0</v>
      </c>
      <c r="CF36" s="309">
        <v>14</v>
      </c>
      <c r="CH36" s="237" t="s">
        <v>251</v>
      </c>
      <c r="CI36" s="237">
        <v>2018</v>
      </c>
      <c r="CJ36" s="237">
        <v>591</v>
      </c>
      <c r="CK36" s="237">
        <v>505</v>
      </c>
      <c r="CL36" s="237">
        <v>982</v>
      </c>
      <c r="CM36" s="237">
        <v>1470</v>
      </c>
      <c r="CN36" s="237">
        <v>1463</v>
      </c>
      <c r="CO36" s="237">
        <v>5011</v>
      </c>
      <c r="CP36" s="237"/>
      <c r="CQ36" s="237">
        <v>2018</v>
      </c>
      <c r="CR36" s="237">
        <v>139</v>
      </c>
      <c r="CS36" s="237">
        <v>0</v>
      </c>
      <c r="CT36" s="237">
        <v>0</v>
      </c>
      <c r="CU36" s="237">
        <v>0</v>
      </c>
      <c r="CV36" s="237">
        <v>0</v>
      </c>
      <c r="CW36" s="237">
        <v>139</v>
      </c>
      <c r="CY36" s="346" t="s">
        <v>869</v>
      </c>
      <c r="CZ36" s="346">
        <v>2020</v>
      </c>
      <c r="DA36" s="346">
        <v>303</v>
      </c>
      <c r="DB36" s="346">
        <v>432</v>
      </c>
      <c r="DC36" s="346">
        <v>599</v>
      </c>
      <c r="DD36" s="346">
        <v>770</v>
      </c>
      <c r="DE36" s="346">
        <v>609</v>
      </c>
      <c r="DF36" s="346">
        <v>2713</v>
      </c>
      <c r="DG36" s="346"/>
      <c r="DH36" s="346">
        <v>2020</v>
      </c>
      <c r="DI36" s="346">
        <v>21</v>
      </c>
      <c r="DJ36" s="346">
        <v>3</v>
      </c>
      <c r="DK36" s="346">
        <v>1</v>
      </c>
      <c r="DL36" s="346">
        <v>0</v>
      </c>
      <c r="DM36" s="346">
        <v>1</v>
      </c>
      <c r="DN36" s="346">
        <v>26</v>
      </c>
      <c r="DP36" s="349" t="s">
        <v>811</v>
      </c>
      <c r="DQ36" s="349">
        <v>2019</v>
      </c>
      <c r="DR36" s="349">
        <v>191</v>
      </c>
      <c r="DS36" s="349">
        <v>261</v>
      </c>
      <c r="DT36" s="349">
        <v>376</v>
      </c>
      <c r="DU36" s="349">
        <v>460</v>
      </c>
      <c r="DV36" s="349">
        <v>352</v>
      </c>
      <c r="DW36" s="349">
        <v>1640</v>
      </c>
      <c r="DX36" s="349"/>
      <c r="DY36" s="349">
        <v>2019</v>
      </c>
      <c r="DZ36" s="349">
        <v>9</v>
      </c>
      <c r="EA36" s="349">
        <v>0</v>
      </c>
      <c r="EB36" s="349">
        <v>0</v>
      </c>
      <c r="EC36" s="349">
        <v>0</v>
      </c>
      <c r="ED36" s="349">
        <v>0</v>
      </c>
      <c r="EE36" s="349">
        <v>9</v>
      </c>
      <c r="EG36" s="237" t="s">
        <v>1143</v>
      </c>
      <c r="EH36" s="237">
        <v>2018</v>
      </c>
      <c r="EI36" s="237" t="s">
        <v>792</v>
      </c>
      <c r="EJ36" s="237" t="s">
        <v>792</v>
      </c>
      <c r="EK36" s="237" t="s">
        <v>792</v>
      </c>
      <c r="EL36" s="237" t="s">
        <v>792</v>
      </c>
      <c r="EM36" s="237" t="s">
        <v>792</v>
      </c>
      <c r="EN36" s="237" t="s">
        <v>792</v>
      </c>
      <c r="EO36" s="237"/>
      <c r="EP36" s="237">
        <v>2018</v>
      </c>
      <c r="EQ36" s="237" t="s">
        <v>792</v>
      </c>
      <c r="ER36" s="237" t="s">
        <v>792</v>
      </c>
      <c r="ES36" s="237" t="s">
        <v>792</v>
      </c>
      <c r="ET36" s="237" t="s">
        <v>792</v>
      </c>
      <c r="EU36" s="237" t="s">
        <v>792</v>
      </c>
      <c r="EV36" s="237" t="s">
        <v>792</v>
      </c>
      <c r="EX36" s="309" t="s">
        <v>1208</v>
      </c>
      <c r="EY36" s="309">
        <v>2018</v>
      </c>
      <c r="EZ36" s="309">
        <v>517</v>
      </c>
      <c r="FA36" s="309">
        <v>545</v>
      </c>
      <c r="FB36" s="309">
        <v>646</v>
      </c>
      <c r="FC36" s="309">
        <v>734</v>
      </c>
      <c r="FD36" s="309">
        <v>773</v>
      </c>
      <c r="FE36" s="309">
        <v>3215</v>
      </c>
      <c r="FF36" s="309"/>
      <c r="FG36" s="309">
        <v>2018</v>
      </c>
      <c r="FH36" s="309">
        <v>66</v>
      </c>
      <c r="FI36" s="309">
        <v>23</v>
      </c>
      <c r="FJ36" s="309">
        <v>0</v>
      </c>
      <c r="FK36" s="309">
        <v>0</v>
      </c>
      <c r="FL36" s="309">
        <v>0</v>
      </c>
      <c r="FM36" s="309">
        <v>89</v>
      </c>
    </row>
    <row r="37" spans="1:169">
      <c r="A37" s="288" t="s">
        <v>1269</v>
      </c>
      <c r="B37" s="288">
        <v>2018</v>
      </c>
      <c r="C37" s="288" t="s">
        <v>792</v>
      </c>
      <c r="D37" s="288" t="s">
        <v>792</v>
      </c>
      <c r="E37" s="288" t="s">
        <v>792</v>
      </c>
      <c r="F37" s="288" t="s">
        <v>792</v>
      </c>
      <c r="G37" s="288" t="s">
        <v>792</v>
      </c>
      <c r="H37" s="288" t="s">
        <v>792</v>
      </c>
      <c r="J37" s="288">
        <v>2018</v>
      </c>
      <c r="K37" s="288" t="s">
        <v>792</v>
      </c>
      <c r="L37" s="288" t="s">
        <v>792</v>
      </c>
      <c r="M37" s="288" t="s">
        <v>792</v>
      </c>
      <c r="N37" s="288" t="s">
        <v>792</v>
      </c>
      <c r="O37" s="288" t="s">
        <v>792</v>
      </c>
      <c r="P37" s="288" t="s">
        <v>792</v>
      </c>
      <c r="R37" s="289" t="s">
        <v>897</v>
      </c>
      <c r="S37" s="289">
        <v>2019</v>
      </c>
      <c r="T37" s="289" t="s">
        <v>792</v>
      </c>
      <c r="U37" s="289" t="s">
        <v>792</v>
      </c>
      <c r="V37" s="289" t="s">
        <v>792</v>
      </c>
      <c r="W37" s="289" t="s">
        <v>792</v>
      </c>
      <c r="X37" s="289" t="s">
        <v>792</v>
      </c>
      <c r="Y37" s="289" t="s">
        <v>792</v>
      </c>
      <c r="Z37" s="289"/>
      <c r="AA37" s="289">
        <v>2019</v>
      </c>
      <c r="AB37" s="289" t="s">
        <v>792</v>
      </c>
      <c r="AC37" s="289" t="s">
        <v>792</v>
      </c>
      <c r="AD37" s="289" t="s">
        <v>792</v>
      </c>
      <c r="AE37" s="289" t="s">
        <v>792</v>
      </c>
      <c r="AF37" s="289" t="s">
        <v>792</v>
      </c>
      <c r="AG37" s="289" t="s">
        <v>792</v>
      </c>
      <c r="AI37" s="290" t="s">
        <v>430</v>
      </c>
      <c r="AJ37" s="290">
        <v>2018</v>
      </c>
      <c r="AK37" s="290" t="s">
        <v>360</v>
      </c>
      <c r="AL37" s="290" t="s">
        <v>360</v>
      </c>
      <c r="AM37" s="290" t="s">
        <v>360</v>
      </c>
      <c r="AN37" s="290" t="s">
        <v>360</v>
      </c>
      <c r="AO37" s="290" t="s">
        <v>360</v>
      </c>
      <c r="AP37" s="290" t="s">
        <v>360</v>
      </c>
      <c r="AQ37" s="290"/>
      <c r="AR37" s="290">
        <v>2018</v>
      </c>
      <c r="AS37" s="290" t="s">
        <v>360</v>
      </c>
      <c r="AT37" s="290" t="s">
        <v>360</v>
      </c>
      <c r="AU37" s="290" t="s">
        <v>360</v>
      </c>
      <c r="AV37" s="290" t="s">
        <v>360</v>
      </c>
      <c r="AW37" s="290" t="s">
        <v>360</v>
      </c>
      <c r="AX37" s="290" t="s">
        <v>360</v>
      </c>
      <c r="AZ37" s="300" t="s">
        <v>109</v>
      </c>
      <c r="BA37" s="300">
        <v>2018</v>
      </c>
      <c r="BB37" s="300">
        <v>396</v>
      </c>
      <c r="BC37" s="300">
        <v>52</v>
      </c>
      <c r="BD37" s="300">
        <v>126</v>
      </c>
      <c r="BE37" s="300">
        <v>154</v>
      </c>
      <c r="BF37" s="300">
        <v>266</v>
      </c>
      <c r="BG37" s="300">
        <v>994</v>
      </c>
      <c r="BH37" s="300"/>
      <c r="BI37" s="300">
        <v>2018</v>
      </c>
      <c r="BJ37" s="300">
        <v>126</v>
      </c>
      <c r="BK37" s="300">
        <v>0</v>
      </c>
      <c r="BL37" s="300">
        <v>0</v>
      </c>
      <c r="BM37" s="300">
        <v>0</v>
      </c>
      <c r="BN37" s="300">
        <v>0</v>
      </c>
      <c r="BO37" s="300">
        <v>126</v>
      </c>
      <c r="BQ37" s="309" t="s">
        <v>578</v>
      </c>
      <c r="BR37" s="309">
        <v>2019</v>
      </c>
      <c r="BS37" s="309">
        <v>139</v>
      </c>
      <c r="BT37" s="309">
        <v>103</v>
      </c>
      <c r="BU37" s="309">
        <v>179</v>
      </c>
      <c r="BV37" s="309">
        <v>294</v>
      </c>
      <c r="BW37" s="309">
        <v>266</v>
      </c>
      <c r="BX37" s="309">
        <v>981</v>
      </c>
      <c r="BY37" s="309"/>
      <c r="BZ37" s="309">
        <v>2019</v>
      </c>
      <c r="CA37" s="309">
        <v>45</v>
      </c>
      <c r="CB37" s="309">
        <v>0</v>
      </c>
      <c r="CC37" s="309">
        <v>0</v>
      </c>
      <c r="CD37" s="309">
        <v>0</v>
      </c>
      <c r="CE37" s="309">
        <v>0</v>
      </c>
      <c r="CF37" s="309">
        <v>45</v>
      </c>
      <c r="CH37" s="237" t="s">
        <v>255</v>
      </c>
      <c r="CI37" s="237">
        <v>2018</v>
      </c>
      <c r="CJ37" s="237">
        <v>319</v>
      </c>
      <c r="CK37" s="237">
        <v>366</v>
      </c>
      <c r="CL37" s="237">
        <v>746</v>
      </c>
      <c r="CM37" s="237">
        <v>1068</v>
      </c>
      <c r="CN37" s="237">
        <v>1065</v>
      </c>
      <c r="CO37" s="237">
        <v>3564</v>
      </c>
      <c r="CP37" s="237"/>
      <c r="CQ37" s="237">
        <v>2018</v>
      </c>
      <c r="CR37" s="237">
        <v>33</v>
      </c>
      <c r="CS37" s="237">
        <v>0</v>
      </c>
      <c r="CT37" s="237">
        <v>0</v>
      </c>
      <c r="CU37" s="237">
        <v>0</v>
      </c>
      <c r="CV37" s="237">
        <v>0</v>
      </c>
      <c r="CW37" s="237">
        <v>33</v>
      </c>
      <c r="CY37" s="346" t="s">
        <v>870</v>
      </c>
      <c r="CZ37" s="346">
        <v>2020</v>
      </c>
      <c r="DA37" s="346">
        <v>331</v>
      </c>
      <c r="DB37" s="346">
        <v>388</v>
      </c>
      <c r="DC37" s="346">
        <v>546</v>
      </c>
      <c r="DD37" s="346">
        <v>582</v>
      </c>
      <c r="DE37" s="346">
        <v>443</v>
      </c>
      <c r="DF37" s="346">
        <v>2290</v>
      </c>
      <c r="DG37" s="346"/>
      <c r="DH37" s="346">
        <v>2020</v>
      </c>
      <c r="DI37" s="346">
        <v>28</v>
      </c>
      <c r="DJ37" s="346">
        <v>4</v>
      </c>
      <c r="DK37" s="346">
        <v>2</v>
      </c>
      <c r="DL37" s="346">
        <v>1</v>
      </c>
      <c r="DM37" s="346">
        <v>0</v>
      </c>
      <c r="DN37" s="346">
        <v>35</v>
      </c>
      <c r="DP37" s="349" t="s">
        <v>813</v>
      </c>
      <c r="DQ37" s="349">
        <v>2019</v>
      </c>
      <c r="DR37" s="349">
        <v>181</v>
      </c>
      <c r="DS37" s="349">
        <v>309</v>
      </c>
      <c r="DT37" s="349">
        <v>423</v>
      </c>
      <c r="DU37" s="349">
        <v>514</v>
      </c>
      <c r="DV37" s="349">
        <v>489</v>
      </c>
      <c r="DW37" s="349">
        <v>1916</v>
      </c>
      <c r="DX37" s="349"/>
      <c r="DY37" s="349">
        <v>2019</v>
      </c>
      <c r="DZ37" s="349">
        <v>17</v>
      </c>
      <c r="EA37" s="349">
        <v>1</v>
      </c>
      <c r="EB37" s="349">
        <v>0</v>
      </c>
      <c r="EC37" s="349">
        <v>0</v>
      </c>
      <c r="ED37" s="349">
        <v>0</v>
      </c>
      <c r="EE37" s="349">
        <v>18</v>
      </c>
      <c r="EX37" s="309" t="s">
        <v>1210</v>
      </c>
      <c r="EY37" s="309">
        <v>2018</v>
      </c>
      <c r="EZ37" s="309">
        <v>180</v>
      </c>
      <c r="FA37" s="309">
        <v>252</v>
      </c>
      <c r="FB37" s="309">
        <v>314</v>
      </c>
      <c r="FC37" s="309">
        <v>404</v>
      </c>
      <c r="FD37" s="309">
        <v>501</v>
      </c>
      <c r="FE37" s="309">
        <v>1651</v>
      </c>
      <c r="FF37" s="309"/>
      <c r="FG37" s="309">
        <v>2018</v>
      </c>
      <c r="FH37" s="309">
        <v>39</v>
      </c>
      <c r="FI37" s="309">
        <v>8</v>
      </c>
      <c r="FJ37" s="309">
        <v>0</v>
      </c>
      <c r="FK37" s="309">
        <v>0</v>
      </c>
      <c r="FL37" s="309">
        <v>0</v>
      </c>
      <c r="FM37" s="309">
        <v>47</v>
      </c>
    </row>
    <row r="38" spans="1:169">
      <c r="A38" s="288" t="s">
        <v>1266</v>
      </c>
      <c r="B38" s="288">
        <v>2018</v>
      </c>
      <c r="C38" s="288">
        <v>103</v>
      </c>
      <c r="D38" s="288">
        <v>11</v>
      </c>
      <c r="E38" s="288">
        <v>1</v>
      </c>
      <c r="F38" s="288">
        <v>3</v>
      </c>
      <c r="G38" s="288">
        <v>0</v>
      </c>
      <c r="H38" s="288">
        <v>118</v>
      </c>
      <c r="J38" s="288">
        <v>2018</v>
      </c>
      <c r="K38" s="288">
        <v>574</v>
      </c>
      <c r="L38" s="288">
        <v>650</v>
      </c>
      <c r="M38" s="288">
        <v>792</v>
      </c>
      <c r="N38" s="288">
        <v>910</v>
      </c>
      <c r="O38" s="288">
        <v>678</v>
      </c>
      <c r="P38" s="288">
        <v>3604</v>
      </c>
      <c r="R38" s="289" t="s">
        <v>898</v>
      </c>
      <c r="S38" s="289">
        <v>2019</v>
      </c>
      <c r="T38" s="289" t="s">
        <v>792</v>
      </c>
      <c r="U38" s="289" t="s">
        <v>792</v>
      </c>
      <c r="V38" s="289" t="s">
        <v>792</v>
      </c>
      <c r="W38" s="289" t="s">
        <v>792</v>
      </c>
      <c r="X38" s="289" t="s">
        <v>792</v>
      </c>
      <c r="Y38" s="289" t="s">
        <v>792</v>
      </c>
      <c r="Z38" s="289"/>
      <c r="AA38" s="289">
        <v>2019</v>
      </c>
      <c r="AB38" s="289" t="s">
        <v>792</v>
      </c>
      <c r="AC38" s="289" t="s">
        <v>792</v>
      </c>
      <c r="AD38" s="289" t="s">
        <v>792</v>
      </c>
      <c r="AE38" s="289" t="s">
        <v>792</v>
      </c>
      <c r="AF38" s="289" t="s">
        <v>792</v>
      </c>
      <c r="AG38" s="289" t="s">
        <v>792</v>
      </c>
      <c r="AI38" s="290" t="s">
        <v>431</v>
      </c>
      <c r="AJ38" s="290">
        <v>2018</v>
      </c>
      <c r="AK38" s="290" t="s">
        <v>360</v>
      </c>
      <c r="AL38" s="290" t="s">
        <v>360</v>
      </c>
      <c r="AM38" s="290" t="s">
        <v>360</v>
      </c>
      <c r="AN38" s="290" t="s">
        <v>360</v>
      </c>
      <c r="AO38" s="290" t="s">
        <v>360</v>
      </c>
      <c r="AP38" s="290" t="s">
        <v>360</v>
      </c>
      <c r="AQ38" s="290"/>
      <c r="AR38" s="290">
        <v>2018</v>
      </c>
      <c r="AS38" s="290" t="s">
        <v>360</v>
      </c>
      <c r="AT38" s="290" t="s">
        <v>360</v>
      </c>
      <c r="AU38" s="290" t="s">
        <v>360</v>
      </c>
      <c r="AV38" s="290" t="s">
        <v>360</v>
      </c>
      <c r="AW38" s="290" t="s">
        <v>360</v>
      </c>
      <c r="AX38" s="290" t="s">
        <v>360</v>
      </c>
      <c r="AZ38" s="300" t="s">
        <v>110</v>
      </c>
      <c r="BA38" s="300">
        <v>2018</v>
      </c>
      <c r="BB38" s="300">
        <v>61</v>
      </c>
      <c r="BC38" s="300">
        <v>16</v>
      </c>
      <c r="BD38" s="300">
        <v>30</v>
      </c>
      <c r="BE38" s="300">
        <v>33</v>
      </c>
      <c r="BF38" s="300">
        <v>99</v>
      </c>
      <c r="BG38" s="300">
        <v>239</v>
      </c>
      <c r="BH38" s="300"/>
      <c r="BI38" s="300">
        <v>2018</v>
      </c>
      <c r="BJ38" s="300">
        <v>29</v>
      </c>
      <c r="BK38" s="300">
        <v>0</v>
      </c>
      <c r="BL38" s="300">
        <v>0</v>
      </c>
      <c r="BM38" s="300">
        <v>0</v>
      </c>
      <c r="BN38" s="300">
        <v>0</v>
      </c>
      <c r="BO38" s="300">
        <v>29</v>
      </c>
      <c r="BQ38" s="309" t="s">
        <v>581</v>
      </c>
      <c r="BR38" s="309">
        <v>2019</v>
      </c>
      <c r="BS38" s="309">
        <v>104</v>
      </c>
      <c r="BT38" s="309">
        <v>57</v>
      </c>
      <c r="BU38" s="309">
        <v>98</v>
      </c>
      <c r="BV38" s="309">
        <v>136</v>
      </c>
      <c r="BW38" s="309">
        <v>214</v>
      </c>
      <c r="BX38" s="309">
        <v>609</v>
      </c>
      <c r="BY38" s="309"/>
      <c r="BZ38" s="309">
        <v>2019</v>
      </c>
      <c r="CA38" s="309">
        <v>20</v>
      </c>
      <c r="CB38" s="309">
        <v>0</v>
      </c>
      <c r="CC38" s="309">
        <v>0</v>
      </c>
      <c r="CD38" s="309">
        <v>0</v>
      </c>
      <c r="CE38" s="309">
        <v>0</v>
      </c>
      <c r="CF38" s="309">
        <v>20</v>
      </c>
      <c r="CH38" s="237" t="s">
        <v>265</v>
      </c>
      <c r="CI38" s="237">
        <v>2018</v>
      </c>
      <c r="CJ38" s="237">
        <v>137</v>
      </c>
      <c r="CK38" s="237">
        <v>69</v>
      </c>
      <c r="CL38" s="237">
        <v>123</v>
      </c>
      <c r="CM38" s="237">
        <v>158</v>
      </c>
      <c r="CN38" s="237">
        <v>187</v>
      </c>
      <c r="CO38" s="237">
        <v>674</v>
      </c>
      <c r="CP38" s="237"/>
      <c r="CQ38" s="237">
        <v>2018</v>
      </c>
      <c r="CR38" s="237">
        <v>51</v>
      </c>
      <c r="CS38" s="237">
        <v>0</v>
      </c>
      <c r="CT38" s="237">
        <v>0</v>
      </c>
      <c r="CU38" s="237">
        <v>0</v>
      </c>
      <c r="CV38" s="237">
        <v>0</v>
      </c>
      <c r="CW38" s="237">
        <v>51</v>
      </c>
      <c r="CY38" s="346" t="s">
        <v>871</v>
      </c>
      <c r="CZ38" s="346">
        <v>2020</v>
      </c>
      <c r="DA38" s="346">
        <v>506</v>
      </c>
      <c r="DB38" s="346">
        <v>485</v>
      </c>
      <c r="DC38" s="346">
        <v>449</v>
      </c>
      <c r="DD38" s="346">
        <v>582</v>
      </c>
      <c r="DE38" s="346">
        <v>496</v>
      </c>
      <c r="DF38" s="346">
        <v>2518</v>
      </c>
      <c r="DG38" s="346"/>
      <c r="DH38" s="346">
        <v>2020</v>
      </c>
      <c r="DI38" s="346">
        <v>26</v>
      </c>
      <c r="DJ38" s="346">
        <v>3</v>
      </c>
      <c r="DK38" s="346">
        <v>2</v>
      </c>
      <c r="DL38" s="346">
        <v>1</v>
      </c>
      <c r="DM38" s="346">
        <v>1</v>
      </c>
      <c r="DN38" s="346">
        <v>33</v>
      </c>
      <c r="DP38" s="349" t="s">
        <v>815</v>
      </c>
      <c r="DQ38" s="349">
        <v>2019</v>
      </c>
      <c r="DR38" s="349">
        <v>169</v>
      </c>
      <c r="DS38" s="349">
        <v>286</v>
      </c>
      <c r="DT38" s="349">
        <v>387</v>
      </c>
      <c r="DU38" s="349">
        <v>495</v>
      </c>
      <c r="DV38" s="349">
        <v>342</v>
      </c>
      <c r="DW38" s="349">
        <v>1679</v>
      </c>
      <c r="DX38" s="349"/>
      <c r="DY38" s="349">
        <v>2019</v>
      </c>
      <c r="DZ38" s="349">
        <v>10</v>
      </c>
      <c r="EA38" s="349">
        <v>6</v>
      </c>
      <c r="EB38" s="349">
        <v>0</v>
      </c>
      <c r="EC38" s="349">
        <v>0</v>
      </c>
      <c r="ED38" s="349">
        <v>0</v>
      </c>
      <c r="EE38" s="349">
        <v>16</v>
      </c>
      <c r="EG38" s="237" t="s">
        <v>1054</v>
      </c>
      <c r="EH38" s="237">
        <v>2019</v>
      </c>
      <c r="EI38" s="237">
        <v>665</v>
      </c>
      <c r="EJ38" s="237">
        <v>1005</v>
      </c>
      <c r="EK38" s="237">
        <v>1233</v>
      </c>
      <c r="EL38" s="237">
        <v>1478</v>
      </c>
      <c r="EM38" s="237">
        <v>1547</v>
      </c>
      <c r="EN38" s="237">
        <v>5928</v>
      </c>
      <c r="EO38" s="237"/>
      <c r="EP38" s="237">
        <v>2019</v>
      </c>
      <c r="EQ38" s="237">
        <v>173</v>
      </c>
      <c r="ER38" s="237">
        <v>93</v>
      </c>
      <c r="ES38" s="237">
        <v>62</v>
      </c>
      <c r="ET38" s="237">
        <v>53</v>
      </c>
      <c r="EU38" s="237">
        <v>63</v>
      </c>
      <c r="EV38" s="237">
        <v>444</v>
      </c>
      <c r="EX38" s="309" t="s">
        <v>1212</v>
      </c>
      <c r="EY38" s="309">
        <v>2018</v>
      </c>
      <c r="EZ38" s="309">
        <v>563</v>
      </c>
      <c r="FA38" s="309">
        <v>497</v>
      </c>
      <c r="FB38" s="309">
        <v>556</v>
      </c>
      <c r="FC38" s="309">
        <v>735</v>
      </c>
      <c r="FD38" s="309">
        <v>851</v>
      </c>
      <c r="FE38" s="309">
        <v>3202</v>
      </c>
      <c r="FF38" s="309"/>
      <c r="FG38" s="309">
        <v>2018</v>
      </c>
      <c r="FH38" s="309">
        <v>63</v>
      </c>
      <c r="FI38" s="309">
        <v>22</v>
      </c>
      <c r="FJ38" s="309">
        <v>12</v>
      </c>
      <c r="FK38" s="309">
        <v>0</v>
      </c>
      <c r="FL38" s="309">
        <v>0</v>
      </c>
      <c r="FM38" s="309">
        <v>97</v>
      </c>
    </row>
    <row r="39" spans="1:169">
      <c r="A39" s="288" t="s">
        <v>724</v>
      </c>
      <c r="B39" s="288">
        <v>2018</v>
      </c>
      <c r="C39" s="288">
        <v>36</v>
      </c>
      <c r="D39" s="288">
        <v>6</v>
      </c>
      <c r="E39" s="288">
        <v>2</v>
      </c>
      <c r="F39" s="288">
        <v>0</v>
      </c>
      <c r="G39" s="288">
        <v>0</v>
      </c>
      <c r="H39" s="288">
        <v>44</v>
      </c>
      <c r="J39" s="288">
        <v>2018</v>
      </c>
      <c r="K39" s="288">
        <v>293</v>
      </c>
      <c r="L39" s="288">
        <v>492</v>
      </c>
      <c r="M39" s="288">
        <v>651</v>
      </c>
      <c r="N39" s="288">
        <v>665</v>
      </c>
      <c r="O39" s="288">
        <v>469</v>
      </c>
      <c r="P39" s="288">
        <v>2570</v>
      </c>
      <c r="R39" s="289" t="s">
        <v>899</v>
      </c>
      <c r="S39" s="289">
        <v>2019</v>
      </c>
      <c r="T39" s="289" t="s">
        <v>792</v>
      </c>
      <c r="U39" s="289" t="s">
        <v>792</v>
      </c>
      <c r="V39" s="289" t="s">
        <v>792</v>
      </c>
      <c r="W39" s="289" t="s">
        <v>792</v>
      </c>
      <c r="X39" s="289" t="s">
        <v>792</v>
      </c>
      <c r="Y39" s="289" t="s">
        <v>792</v>
      </c>
      <c r="Z39" s="289"/>
      <c r="AA39" s="289">
        <v>2019</v>
      </c>
      <c r="AB39" s="289" t="s">
        <v>792</v>
      </c>
      <c r="AC39" s="289" t="s">
        <v>792</v>
      </c>
      <c r="AD39" s="289" t="s">
        <v>792</v>
      </c>
      <c r="AE39" s="289" t="s">
        <v>792</v>
      </c>
      <c r="AF39" s="289" t="s">
        <v>792</v>
      </c>
      <c r="AG39" s="289" t="s">
        <v>792</v>
      </c>
      <c r="AI39" s="290" t="s">
        <v>1676</v>
      </c>
      <c r="AJ39" s="290">
        <v>2018</v>
      </c>
      <c r="AK39" s="290" t="s">
        <v>360</v>
      </c>
      <c r="AL39" s="290" t="s">
        <v>360</v>
      </c>
      <c r="AM39" s="290" t="s">
        <v>360</v>
      </c>
      <c r="AN39" s="290" t="s">
        <v>360</v>
      </c>
      <c r="AO39" s="290" t="s">
        <v>360</v>
      </c>
      <c r="AP39" s="290" t="s">
        <v>360</v>
      </c>
      <c r="AQ39" s="290"/>
      <c r="AR39" s="290">
        <v>2018</v>
      </c>
      <c r="AS39" s="290" t="s">
        <v>360</v>
      </c>
      <c r="AT39" s="290" t="s">
        <v>360</v>
      </c>
      <c r="AU39" s="290" t="s">
        <v>360</v>
      </c>
      <c r="AV39" s="290" t="s">
        <v>360</v>
      </c>
      <c r="AW39" s="290" t="s">
        <v>360</v>
      </c>
      <c r="AX39" s="290" t="s">
        <v>360</v>
      </c>
      <c r="AZ39" s="300" t="s">
        <v>111</v>
      </c>
      <c r="BA39" s="300">
        <v>2018</v>
      </c>
      <c r="BB39" s="300">
        <v>732</v>
      </c>
      <c r="BC39" s="300">
        <v>646</v>
      </c>
      <c r="BD39" s="300">
        <v>954</v>
      </c>
      <c r="BE39" s="300">
        <v>948</v>
      </c>
      <c r="BF39" s="300">
        <v>785</v>
      </c>
      <c r="BG39" s="300">
        <v>4065</v>
      </c>
      <c r="BH39" s="300"/>
      <c r="BI39" s="300">
        <v>2018</v>
      </c>
      <c r="BJ39" s="300">
        <v>166</v>
      </c>
      <c r="BK39" s="300">
        <v>0</v>
      </c>
      <c r="BL39" s="300">
        <v>0</v>
      </c>
      <c r="BM39" s="300">
        <v>0</v>
      </c>
      <c r="BN39" s="300">
        <v>0</v>
      </c>
      <c r="BO39" s="300">
        <v>166</v>
      </c>
      <c r="BQ39" s="309" t="s">
        <v>584</v>
      </c>
      <c r="BR39" s="309">
        <v>2019</v>
      </c>
      <c r="BS39" s="309">
        <v>96</v>
      </c>
      <c r="BT39" s="309">
        <v>77</v>
      </c>
      <c r="BU39" s="309">
        <v>162</v>
      </c>
      <c r="BV39" s="309">
        <v>215</v>
      </c>
      <c r="BW39" s="309">
        <v>202</v>
      </c>
      <c r="BX39" s="309">
        <v>752</v>
      </c>
      <c r="BY39" s="309"/>
      <c r="BZ39" s="309">
        <v>2019</v>
      </c>
      <c r="CA39" s="309">
        <v>40</v>
      </c>
      <c r="CB39" s="309">
        <v>0</v>
      </c>
      <c r="CC39" s="309">
        <v>0</v>
      </c>
      <c r="CD39" s="309">
        <v>0</v>
      </c>
      <c r="CE39" s="309">
        <v>0</v>
      </c>
      <c r="CF39" s="309">
        <v>40</v>
      </c>
      <c r="CH39" s="237" t="s">
        <v>267</v>
      </c>
      <c r="CI39" s="237">
        <v>2018</v>
      </c>
      <c r="CJ39" s="237">
        <v>83</v>
      </c>
      <c r="CK39" s="237">
        <v>133</v>
      </c>
      <c r="CL39" s="237">
        <v>283</v>
      </c>
      <c r="CM39" s="237">
        <v>434</v>
      </c>
      <c r="CN39" s="237">
        <v>455</v>
      </c>
      <c r="CO39" s="237">
        <v>1388</v>
      </c>
      <c r="CP39" s="237"/>
      <c r="CQ39" s="237">
        <v>2018</v>
      </c>
      <c r="CR39" s="237">
        <v>11</v>
      </c>
      <c r="CS39" s="237">
        <v>0</v>
      </c>
      <c r="CT39" s="237">
        <v>0</v>
      </c>
      <c r="CU39" s="237">
        <v>0</v>
      </c>
      <c r="CV39" s="237">
        <v>0</v>
      </c>
      <c r="CW39" s="237">
        <v>11</v>
      </c>
      <c r="CY39" s="346" t="s">
        <v>872</v>
      </c>
      <c r="CZ39" s="346">
        <v>2020</v>
      </c>
      <c r="DA39" s="346">
        <v>270</v>
      </c>
      <c r="DB39" s="346">
        <v>371</v>
      </c>
      <c r="DC39" s="346">
        <v>432</v>
      </c>
      <c r="DD39" s="346">
        <v>421</v>
      </c>
      <c r="DE39" s="346">
        <v>328</v>
      </c>
      <c r="DF39" s="346">
        <v>1822</v>
      </c>
      <c r="DG39" s="346"/>
      <c r="DH39" s="346">
        <v>2020</v>
      </c>
      <c r="DI39" s="346">
        <v>26</v>
      </c>
      <c r="DJ39" s="346">
        <v>0</v>
      </c>
      <c r="DK39" s="346">
        <v>2</v>
      </c>
      <c r="DL39" s="346">
        <v>0</v>
      </c>
      <c r="DM39" s="346">
        <v>0</v>
      </c>
      <c r="DN39" s="346">
        <v>28</v>
      </c>
      <c r="DP39" s="349" t="s">
        <v>817</v>
      </c>
      <c r="DQ39" s="349">
        <v>2019</v>
      </c>
      <c r="DR39" s="349">
        <v>140</v>
      </c>
      <c r="DS39" s="349">
        <v>209</v>
      </c>
      <c r="DT39" s="349">
        <v>260</v>
      </c>
      <c r="DU39" s="349">
        <v>357</v>
      </c>
      <c r="DV39" s="349">
        <v>255</v>
      </c>
      <c r="DW39" s="349">
        <v>1221</v>
      </c>
      <c r="DX39" s="349"/>
      <c r="DY39" s="349">
        <v>2019</v>
      </c>
      <c r="DZ39" s="349">
        <v>10</v>
      </c>
      <c r="EA39" s="349">
        <v>5</v>
      </c>
      <c r="EB39" s="349">
        <v>0</v>
      </c>
      <c r="EC39" s="349">
        <v>0</v>
      </c>
      <c r="ED39" s="349">
        <v>0</v>
      </c>
      <c r="EE39" s="349">
        <v>15</v>
      </c>
      <c r="EG39" s="237" t="s">
        <v>1056</v>
      </c>
      <c r="EH39" s="237">
        <v>2019</v>
      </c>
      <c r="EI39" s="237">
        <v>196</v>
      </c>
      <c r="EJ39" s="237">
        <v>289</v>
      </c>
      <c r="EK39" s="237">
        <v>359</v>
      </c>
      <c r="EL39" s="237">
        <v>463</v>
      </c>
      <c r="EM39" s="237">
        <v>562</v>
      </c>
      <c r="EN39" s="237">
        <v>1869</v>
      </c>
      <c r="EO39" s="237"/>
      <c r="EP39" s="237">
        <v>2019</v>
      </c>
      <c r="EQ39" s="237">
        <v>49</v>
      </c>
      <c r="ER39" s="237">
        <v>25</v>
      </c>
      <c r="ES39" s="237">
        <v>12</v>
      </c>
      <c r="ET39" s="237">
        <v>9</v>
      </c>
      <c r="EU39" s="237">
        <v>18</v>
      </c>
      <c r="EV39" s="237">
        <v>113</v>
      </c>
      <c r="EX39" s="309" t="s">
        <v>1214</v>
      </c>
      <c r="EY39" s="309">
        <v>2018</v>
      </c>
      <c r="EZ39" s="309">
        <v>275</v>
      </c>
      <c r="FA39" s="309">
        <v>376</v>
      </c>
      <c r="FB39" s="309">
        <v>482</v>
      </c>
      <c r="FC39" s="309">
        <v>537</v>
      </c>
      <c r="FD39" s="309">
        <v>749</v>
      </c>
      <c r="FE39" s="309">
        <v>2419</v>
      </c>
      <c r="FF39" s="309"/>
      <c r="FG39" s="309">
        <v>2018</v>
      </c>
      <c r="FH39" s="309">
        <v>54</v>
      </c>
      <c r="FI39" s="309">
        <v>23</v>
      </c>
      <c r="FJ39" s="309">
        <v>7</v>
      </c>
      <c r="FK39" s="309">
        <v>4</v>
      </c>
      <c r="FL39" s="309">
        <v>10</v>
      </c>
      <c r="FM39" s="309">
        <v>98</v>
      </c>
    </row>
    <row r="40" spans="1:169">
      <c r="A40" s="288" t="s">
        <v>727</v>
      </c>
      <c r="B40" s="288">
        <v>2018</v>
      </c>
      <c r="C40" s="288">
        <v>78</v>
      </c>
      <c r="D40" s="288">
        <v>8</v>
      </c>
      <c r="E40" s="288">
        <v>1</v>
      </c>
      <c r="F40" s="288">
        <v>0</v>
      </c>
      <c r="G40" s="288">
        <v>0</v>
      </c>
      <c r="H40" s="288">
        <v>87</v>
      </c>
      <c r="J40" s="288">
        <v>2018</v>
      </c>
      <c r="K40" s="288">
        <v>650</v>
      </c>
      <c r="L40" s="288">
        <v>646</v>
      </c>
      <c r="M40" s="288">
        <v>695</v>
      </c>
      <c r="N40" s="288">
        <v>673</v>
      </c>
      <c r="O40" s="288">
        <v>498</v>
      </c>
      <c r="P40" s="288">
        <v>3162</v>
      </c>
      <c r="R40" s="289" t="s">
        <v>900</v>
      </c>
      <c r="S40" s="289">
        <v>2019</v>
      </c>
      <c r="T40" s="289">
        <v>281</v>
      </c>
      <c r="U40" s="289">
        <v>118</v>
      </c>
      <c r="V40" s="289">
        <v>212</v>
      </c>
      <c r="W40" s="289">
        <v>231</v>
      </c>
      <c r="X40" s="289">
        <v>241</v>
      </c>
      <c r="Y40" s="289">
        <v>1083</v>
      </c>
      <c r="Z40" s="289"/>
      <c r="AA40" s="289">
        <v>2019</v>
      </c>
      <c r="AB40" s="289">
        <v>14</v>
      </c>
      <c r="AC40" s="289">
        <v>0</v>
      </c>
      <c r="AD40" s="289">
        <v>0</v>
      </c>
      <c r="AE40" s="289">
        <v>0</v>
      </c>
      <c r="AF40" s="289">
        <v>0</v>
      </c>
      <c r="AG40" s="289">
        <v>14</v>
      </c>
      <c r="AI40" s="290" t="s">
        <v>432</v>
      </c>
      <c r="AJ40" s="290">
        <v>2018</v>
      </c>
      <c r="AK40" s="290">
        <v>723</v>
      </c>
      <c r="AL40" s="290">
        <v>497</v>
      </c>
      <c r="AM40" s="290">
        <v>550</v>
      </c>
      <c r="AN40" s="290">
        <v>539</v>
      </c>
      <c r="AO40" s="290">
        <v>333</v>
      </c>
      <c r="AP40" s="290">
        <v>2642</v>
      </c>
      <c r="AQ40" s="290"/>
      <c r="AR40" s="290">
        <v>2018</v>
      </c>
      <c r="AS40" s="290">
        <v>66</v>
      </c>
      <c r="AT40" s="290">
        <v>3</v>
      </c>
      <c r="AU40" s="290">
        <v>1</v>
      </c>
      <c r="AV40" s="290">
        <v>0</v>
      </c>
      <c r="AW40" s="290">
        <v>0</v>
      </c>
      <c r="AX40" s="290">
        <v>70</v>
      </c>
      <c r="AZ40" s="300" t="s">
        <v>113</v>
      </c>
      <c r="BA40" s="300">
        <v>2018</v>
      </c>
      <c r="BB40" s="300">
        <v>91</v>
      </c>
      <c r="BC40" s="300">
        <v>89</v>
      </c>
      <c r="BD40" s="300">
        <v>185</v>
      </c>
      <c r="BE40" s="300">
        <v>293</v>
      </c>
      <c r="BF40" s="300">
        <v>310</v>
      </c>
      <c r="BG40" s="300">
        <v>968</v>
      </c>
      <c r="BH40" s="300"/>
      <c r="BI40" s="300">
        <v>2018</v>
      </c>
      <c r="BJ40" s="300">
        <v>29</v>
      </c>
      <c r="BK40" s="300">
        <v>0</v>
      </c>
      <c r="BL40" s="300">
        <v>0</v>
      </c>
      <c r="BM40" s="300">
        <v>0</v>
      </c>
      <c r="BN40" s="300">
        <v>0</v>
      </c>
      <c r="BO40" s="300">
        <v>29</v>
      </c>
      <c r="BQ40" s="309" t="s">
        <v>587</v>
      </c>
      <c r="BR40" s="309">
        <v>2019</v>
      </c>
      <c r="BS40" s="309">
        <v>90</v>
      </c>
      <c r="BT40" s="309">
        <v>165</v>
      </c>
      <c r="BU40" s="309">
        <v>374</v>
      </c>
      <c r="BV40" s="309">
        <v>537</v>
      </c>
      <c r="BW40" s="309">
        <v>515</v>
      </c>
      <c r="BX40" s="309">
        <v>1681</v>
      </c>
      <c r="BY40" s="309"/>
      <c r="BZ40" s="309">
        <v>2019</v>
      </c>
      <c r="CA40" s="309">
        <v>16</v>
      </c>
      <c r="CB40" s="309">
        <v>0</v>
      </c>
      <c r="CC40" s="309">
        <v>0</v>
      </c>
      <c r="CD40" s="309">
        <v>0</v>
      </c>
      <c r="CE40" s="309">
        <v>0</v>
      </c>
      <c r="CF40" s="309">
        <v>16</v>
      </c>
      <c r="CH40" s="237" t="s">
        <v>232</v>
      </c>
      <c r="CI40" s="237">
        <v>2018</v>
      </c>
      <c r="CJ40" s="237" t="s">
        <v>792</v>
      </c>
      <c r="CK40" s="237" t="s">
        <v>792</v>
      </c>
      <c r="CL40" s="237" t="s">
        <v>792</v>
      </c>
      <c r="CM40" s="237" t="s">
        <v>792</v>
      </c>
      <c r="CN40" s="237" t="s">
        <v>792</v>
      </c>
      <c r="CO40" s="237" t="s">
        <v>792</v>
      </c>
      <c r="CP40" s="237"/>
      <c r="CQ40" s="237">
        <v>2018</v>
      </c>
      <c r="CR40" s="237" t="s">
        <v>792</v>
      </c>
      <c r="CS40" s="237" t="s">
        <v>792</v>
      </c>
      <c r="CT40" s="237" t="s">
        <v>792</v>
      </c>
      <c r="CU40" s="237" t="s">
        <v>792</v>
      </c>
      <c r="CV40" s="237" t="s">
        <v>792</v>
      </c>
      <c r="CW40" s="237" t="s">
        <v>792</v>
      </c>
      <c r="DP40" s="349" t="s">
        <v>819</v>
      </c>
      <c r="DQ40" s="349">
        <v>2019</v>
      </c>
      <c r="DR40" s="349">
        <v>308</v>
      </c>
      <c r="DS40" s="349">
        <v>331</v>
      </c>
      <c r="DT40" s="349">
        <v>427</v>
      </c>
      <c r="DU40" s="349">
        <v>561</v>
      </c>
      <c r="DV40" s="349">
        <v>457</v>
      </c>
      <c r="DW40" s="349">
        <v>2084</v>
      </c>
      <c r="DX40" s="349"/>
      <c r="DY40" s="349">
        <v>2019</v>
      </c>
      <c r="DZ40" s="349">
        <v>21</v>
      </c>
      <c r="EA40" s="349">
        <v>0</v>
      </c>
      <c r="EB40" s="349">
        <v>0</v>
      </c>
      <c r="EC40" s="349">
        <v>0</v>
      </c>
      <c r="ED40" s="349">
        <v>0</v>
      </c>
      <c r="EE40" s="349">
        <v>21</v>
      </c>
      <c r="EG40" s="237" t="s">
        <v>1059</v>
      </c>
      <c r="EH40" s="237">
        <v>2019</v>
      </c>
      <c r="EI40" s="237">
        <v>275</v>
      </c>
      <c r="EJ40" s="237">
        <v>419</v>
      </c>
      <c r="EK40" s="237">
        <v>578</v>
      </c>
      <c r="EL40" s="237">
        <v>715</v>
      </c>
      <c r="EM40" s="237">
        <v>813</v>
      </c>
      <c r="EN40" s="237">
        <v>2800</v>
      </c>
      <c r="EO40" s="237"/>
      <c r="EP40" s="237">
        <v>2019</v>
      </c>
      <c r="EQ40" s="237">
        <v>65</v>
      </c>
      <c r="ER40" s="237">
        <v>32</v>
      </c>
      <c r="ES40" s="237">
        <v>18</v>
      </c>
      <c r="ET40" s="237">
        <v>18</v>
      </c>
      <c r="EU40" s="237">
        <v>19</v>
      </c>
      <c r="EV40" s="237">
        <v>152</v>
      </c>
      <c r="EX40" s="309" t="s">
        <v>1216</v>
      </c>
      <c r="EY40" s="309">
        <v>2018</v>
      </c>
      <c r="EZ40" s="309">
        <v>241</v>
      </c>
      <c r="FA40" s="309">
        <v>279</v>
      </c>
      <c r="FB40" s="309">
        <v>381</v>
      </c>
      <c r="FC40" s="309">
        <v>439</v>
      </c>
      <c r="FD40" s="309">
        <v>572</v>
      </c>
      <c r="FE40" s="309">
        <v>1912</v>
      </c>
      <c r="FF40" s="309"/>
      <c r="FG40" s="309">
        <v>2018</v>
      </c>
      <c r="FH40" s="309">
        <v>34</v>
      </c>
      <c r="FI40" s="309">
        <v>17</v>
      </c>
      <c r="FJ40" s="309">
        <v>23</v>
      </c>
      <c r="FK40" s="309">
        <v>8</v>
      </c>
      <c r="FL40" s="309">
        <v>0</v>
      </c>
      <c r="FM40" s="309">
        <v>82</v>
      </c>
    </row>
    <row r="41" spans="1:169">
      <c r="A41" s="288" t="s">
        <v>730</v>
      </c>
      <c r="B41" s="288">
        <v>2018</v>
      </c>
      <c r="C41" s="288">
        <v>149</v>
      </c>
      <c r="D41" s="288">
        <v>13</v>
      </c>
      <c r="E41" s="288">
        <v>4</v>
      </c>
      <c r="F41" s="288">
        <v>1</v>
      </c>
      <c r="G41" s="288">
        <v>0</v>
      </c>
      <c r="H41" s="288">
        <v>167</v>
      </c>
      <c r="J41" s="288">
        <v>2018</v>
      </c>
      <c r="K41" s="288">
        <v>854</v>
      </c>
      <c r="L41" s="288">
        <v>771</v>
      </c>
      <c r="M41" s="288">
        <v>830</v>
      </c>
      <c r="N41" s="288">
        <v>882</v>
      </c>
      <c r="O41" s="288">
        <v>531</v>
      </c>
      <c r="P41" s="288">
        <v>3868</v>
      </c>
      <c r="R41" s="289" t="s">
        <v>901</v>
      </c>
      <c r="S41" s="289">
        <v>2019</v>
      </c>
      <c r="T41" s="289">
        <v>415</v>
      </c>
      <c r="U41" s="289">
        <v>372</v>
      </c>
      <c r="V41" s="289">
        <v>396</v>
      </c>
      <c r="W41" s="289">
        <v>468</v>
      </c>
      <c r="X41" s="289">
        <v>324</v>
      </c>
      <c r="Y41" s="289">
        <v>1975</v>
      </c>
      <c r="Z41" s="289"/>
      <c r="AA41" s="289">
        <v>2019</v>
      </c>
      <c r="AB41" s="289">
        <v>33</v>
      </c>
      <c r="AC41" s="289">
        <v>4</v>
      </c>
      <c r="AD41" s="289">
        <v>0</v>
      </c>
      <c r="AE41" s="289">
        <v>0</v>
      </c>
      <c r="AF41" s="289">
        <v>0</v>
      </c>
      <c r="AG41" s="289">
        <v>37</v>
      </c>
      <c r="AI41" s="290" t="s">
        <v>433</v>
      </c>
      <c r="AJ41" s="290">
        <v>2018</v>
      </c>
      <c r="AK41" s="290" t="s">
        <v>360</v>
      </c>
      <c r="AL41" s="290" t="s">
        <v>360</v>
      </c>
      <c r="AM41" s="290" t="s">
        <v>360</v>
      </c>
      <c r="AN41" s="290" t="s">
        <v>360</v>
      </c>
      <c r="AO41" s="290" t="s">
        <v>360</v>
      </c>
      <c r="AP41" s="290" t="s">
        <v>360</v>
      </c>
      <c r="AQ41" s="290"/>
      <c r="AR41" s="290">
        <v>2018</v>
      </c>
      <c r="AS41" s="290" t="s">
        <v>360</v>
      </c>
      <c r="AT41" s="290" t="s">
        <v>360</v>
      </c>
      <c r="AU41" s="290" t="s">
        <v>360</v>
      </c>
      <c r="AV41" s="290" t="s">
        <v>360</v>
      </c>
      <c r="AW41" s="290" t="s">
        <v>360</v>
      </c>
      <c r="AX41" s="290" t="s">
        <v>360</v>
      </c>
      <c r="AZ41" s="300" t="s">
        <v>115</v>
      </c>
      <c r="BA41" s="300">
        <v>2018</v>
      </c>
      <c r="BB41" s="300">
        <v>77</v>
      </c>
      <c r="BC41" s="300">
        <v>127</v>
      </c>
      <c r="BD41" s="300">
        <v>274</v>
      </c>
      <c r="BE41" s="300">
        <v>439</v>
      </c>
      <c r="BF41" s="300">
        <v>412</v>
      </c>
      <c r="BG41" s="300">
        <v>1329</v>
      </c>
      <c r="BH41" s="300"/>
      <c r="BI41" s="300">
        <v>2018</v>
      </c>
      <c r="BJ41" s="300">
        <v>19</v>
      </c>
      <c r="BK41" s="300">
        <v>5</v>
      </c>
      <c r="BL41" s="300">
        <v>0</v>
      </c>
      <c r="BM41" s="300">
        <v>0</v>
      </c>
      <c r="BN41" s="300">
        <v>0</v>
      </c>
      <c r="BO41" s="300">
        <v>24</v>
      </c>
      <c r="BQ41" s="309" t="s">
        <v>590</v>
      </c>
      <c r="BR41" s="309">
        <v>2019</v>
      </c>
      <c r="BS41" s="309">
        <v>121</v>
      </c>
      <c r="BT41" s="309">
        <v>179</v>
      </c>
      <c r="BU41" s="309">
        <v>376</v>
      </c>
      <c r="BV41" s="309">
        <v>587</v>
      </c>
      <c r="BW41" s="309">
        <v>570</v>
      </c>
      <c r="BX41" s="309">
        <v>1833</v>
      </c>
      <c r="BY41" s="309"/>
      <c r="BZ41" s="309">
        <v>2019</v>
      </c>
      <c r="CA41" s="309">
        <v>30</v>
      </c>
      <c r="CB41" s="309">
        <v>0</v>
      </c>
      <c r="CC41" s="309">
        <v>0</v>
      </c>
      <c r="CD41" s="309">
        <v>0</v>
      </c>
      <c r="CE41" s="309">
        <v>0</v>
      </c>
      <c r="CF41" s="309">
        <v>30</v>
      </c>
      <c r="CH41" s="237" t="s">
        <v>234</v>
      </c>
      <c r="CI41" s="237">
        <v>2018</v>
      </c>
      <c r="CJ41" s="237" t="s">
        <v>792</v>
      </c>
      <c r="CK41" s="237" t="s">
        <v>792</v>
      </c>
      <c r="CL41" s="237" t="s">
        <v>792</v>
      </c>
      <c r="CM41" s="237" t="s">
        <v>792</v>
      </c>
      <c r="CN41" s="237" t="s">
        <v>792</v>
      </c>
      <c r="CO41" s="237" t="s">
        <v>792</v>
      </c>
      <c r="CP41" s="237"/>
      <c r="CQ41" s="237">
        <v>2018</v>
      </c>
      <c r="CR41" s="237" t="s">
        <v>792</v>
      </c>
      <c r="CS41" s="237" t="s">
        <v>792</v>
      </c>
      <c r="CT41" s="237" t="s">
        <v>792</v>
      </c>
      <c r="CU41" s="237" t="s">
        <v>792</v>
      </c>
      <c r="CV41" s="237" t="s">
        <v>792</v>
      </c>
      <c r="CW41" s="237" t="s">
        <v>792</v>
      </c>
      <c r="DP41" s="349" t="s">
        <v>821</v>
      </c>
      <c r="DQ41" s="349">
        <v>2019</v>
      </c>
      <c r="DR41" s="349">
        <v>138</v>
      </c>
      <c r="DS41" s="349">
        <v>144</v>
      </c>
      <c r="DT41" s="349">
        <v>146</v>
      </c>
      <c r="DU41" s="349">
        <v>165</v>
      </c>
      <c r="DV41" s="349">
        <v>161</v>
      </c>
      <c r="DW41" s="349">
        <v>754</v>
      </c>
      <c r="DX41" s="349"/>
      <c r="DY41" s="349">
        <v>2019</v>
      </c>
      <c r="DZ41" s="349">
        <v>12</v>
      </c>
      <c r="EA41" s="349">
        <v>1</v>
      </c>
      <c r="EB41" s="349">
        <v>0</v>
      </c>
      <c r="EC41" s="349">
        <v>0</v>
      </c>
      <c r="ED41" s="349">
        <v>0</v>
      </c>
      <c r="EE41" s="349">
        <v>13</v>
      </c>
      <c r="EG41" s="237" t="s">
        <v>1062</v>
      </c>
      <c r="EH41" s="237">
        <v>2019</v>
      </c>
      <c r="EI41" s="237">
        <v>74</v>
      </c>
      <c r="EJ41" s="237">
        <v>118</v>
      </c>
      <c r="EK41" s="237">
        <v>175</v>
      </c>
      <c r="EL41" s="237">
        <v>256</v>
      </c>
      <c r="EM41" s="237">
        <v>316</v>
      </c>
      <c r="EN41" s="237">
        <v>939</v>
      </c>
      <c r="EO41" s="237"/>
      <c r="EP41" s="237">
        <v>2019</v>
      </c>
      <c r="EQ41" s="237">
        <v>18</v>
      </c>
      <c r="ER41" s="237">
        <v>8</v>
      </c>
      <c r="ES41" s="237">
        <v>6</v>
      </c>
      <c r="ET41" s="237">
        <v>7</v>
      </c>
      <c r="EU41" s="237">
        <v>3</v>
      </c>
      <c r="EV41" s="237">
        <v>42</v>
      </c>
      <c r="EX41" s="309" t="s">
        <v>1218</v>
      </c>
      <c r="EY41" s="309">
        <v>2018</v>
      </c>
      <c r="EZ41" s="309">
        <v>162</v>
      </c>
      <c r="FA41" s="309">
        <v>227</v>
      </c>
      <c r="FB41" s="309">
        <v>292</v>
      </c>
      <c r="FC41" s="309">
        <v>333</v>
      </c>
      <c r="FD41" s="309">
        <v>452</v>
      </c>
      <c r="FE41" s="309">
        <v>1466</v>
      </c>
      <c r="FF41" s="309"/>
      <c r="FG41" s="309">
        <v>2018</v>
      </c>
      <c r="FH41" s="309">
        <v>43</v>
      </c>
      <c r="FI41" s="309">
        <v>9</v>
      </c>
      <c r="FJ41" s="309">
        <v>4</v>
      </c>
      <c r="FK41" s="309">
        <v>4</v>
      </c>
      <c r="FL41" s="309">
        <v>7</v>
      </c>
      <c r="FM41" s="309">
        <v>67</v>
      </c>
    </row>
    <row r="42" spans="1:169">
      <c r="A42" s="288" t="s">
        <v>733</v>
      </c>
      <c r="B42" s="288">
        <v>2018</v>
      </c>
      <c r="C42" s="288">
        <v>25</v>
      </c>
      <c r="D42" s="288">
        <v>6</v>
      </c>
      <c r="E42" s="288">
        <v>2</v>
      </c>
      <c r="F42" s="288">
        <v>1</v>
      </c>
      <c r="G42" s="288">
        <v>1</v>
      </c>
      <c r="H42" s="288">
        <v>35</v>
      </c>
      <c r="J42" s="288">
        <v>2018</v>
      </c>
      <c r="K42" s="288">
        <v>214</v>
      </c>
      <c r="L42" s="288">
        <v>316</v>
      </c>
      <c r="M42" s="288">
        <v>434</v>
      </c>
      <c r="N42" s="288">
        <v>490</v>
      </c>
      <c r="O42" s="288">
        <v>379</v>
      </c>
      <c r="P42" s="288">
        <v>1833</v>
      </c>
      <c r="R42" s="289" t="s">
        <v>902</v>
      </c>
      <c r="S42" s="289">
        <v>2019</v>
      </c>
      <c r="T42" s="289">
        <v>203</v>
      </c>
      <c r="U42" s="289">
        <v>140</v>
      </c>
      <c r="V42" s="289">
        <v>185</v>
      </c>
      <c r="W42" s="289">
        <v>186</v>
      </c>
      <c r="X42" s="289">
        <v>194</v>
      </c>
      <c r="Y42" s="289">
        <v>908</v>
      </c>
      <c r="Z42" s="289"/>
      <c r="AA42" s="289">
        <v>2019</v>
      </c>
      <c r="AB42" s="289">
        <v>7</v>
      </c>
      <c r="AC42" s="289">
        <v>0</v>
      </c>
      <c r="AD42" s="289">
        <v>0</v>
      </c>
      <c r="AE42" s="289">
        <v>0</v>
      </c>
      <c r="AF42" s="289">
        <v>0</v>
      </c>
      <c r="AG42" s="289">
        <v>7</v>
      </c>
      <c r="AI42" s="290" t="s">
        <v>434</v>
      </c>
      <c r="AJ42" s="290">
        <v>2018</v>
      </c>
      <c r="AK42" s="290">
        <v>823</v>
      </c>
      <c r="AL42" s="290">
        <v>1079</v>
      </c>
      <c r="AM42" s="290">
        <v>1656</v>
      </c>
      <c r="AN42" s="290">
        <v>1892</v>
      </c>
      <c r="AO42" s="290">
        <v>1175</v>
      </c>
      <c r="AP42" s="290">
        <v>6625</v>
      </c>
      <c r="AQ42" s="290"/>
      <c r="AR42" s="290">
        <v>2018</v>
      </c>
      <c r="AS42" s="290">
        <v>36</v>
      </c>
      <c r="AT42" s="290">
        <v>3</v>
      </c>
      <c r="AU42" s="290">
        <v>0</v>
      </c>
      <c r="AV42" s="290">
        <v>0</v>
      </c>
      <c r="AW42" s="290">
        <v>0</v>
      </c>
      <c r="AX42" s="290">
        <v>39</v>
      </c>
      <c r="AZ42" s="300" t="s">
        <v>117</v>
      </c>
      <c r="BA42" s="300">
        <v>2018</v>
      </c>
      <c r="BB42" s="300">
        <v>166</v>
      </c>
      <c r="BC42" s="300">
        <v>142</v>
      </c>
      <c r="BD42" s="300">
        <v>280</v>
      </c>
      <c r="BE42" s="300">
        <v>389</v>
      </c>
      <c r="BF42" s="300">
        <v>378</v>
      </c>
      <c r="BG42" s="300">
        <v>1355</v>
      </c>
      <c r="BH42" s="300"/>
      <c r="BI42" s="300">
        <v>2018</v>
      </c>
      <c r="BJ42" s="300">
        <v>22</v>
      </c>
      <c r="BK42" s="300">
        <v>0</v>
      </c>
      <c r="BL42" s="300">
        <v>0</v>
      </c>
      <c r="BM42" s="300">
        <v>0</v>
      </c>
      <c r="BN42" s="300">
        <v>0</v>
      </c>
      <c r="BO42" s="300">
        <v>22</v>
      </c>
      <c r="BQ42" s="309" t="s">
        <v>593</v>
      </c>
      <c r="BR42" s="309">
        <v>2019</v>
      </c>
      <c r="BS42" s="309">
        <v>31</v>
      </c>
      <c r="BT42" s="309">
        <v>52</v>
      </c>
      <c r="BU42" s="309">
        <v>113</v>
      </c>
      <c r="BV42" s="309">
        <v>220</v>
      </c>
      <c r="BW42" s="309">
        <v>209</v>
      </c>
      <c r="BX42" s="309">
        <v>625</v>
      </c>
      <c r="BY42" s="309"/>
      <c r="BZ42" s="309">
        <v>2019</v>
      </c>
      <c r="CA42" s="309">
        <v>7</v>
      </c>
      <c r="CB42" s="309">
        <v>0</v>
      </c>
      <c r="CC42" s="309">
        <v>0</v>
      </c>
      <c r="CD42" s="309">
        <v>0</v>
      </c>
      <c r="CE42" s="309">
        <v>0</v>
      </c>
      <c r="CF42" s="309">
        <v>7</v>
      </c>
      <c r="CH42" s="237" t="s">
        <v>236</v>
      </c>
      <c r="CI42" s="237">
        <v>2018</v>
      </c>
      <c r="CJ42" s="237" t="s">
        <v>792</v>
      </c>
      <c r="CK42" s="237" t="s">
        <v>792</v>
      </c>
      <c r="CL42" s="237" t="s">
        <v>792</v>
      </c>
      <c r="CM42" s="237" t="s">
        <v>792</v>
      </c>
      <c r="CN42" s="237" t="s">
        <v>792</v>
      </c>
      <c r="CO42" s="237" t="s">
        <v>792</v>
      </c>
      <c r="CP42" s="237"/>
      <c r="CQ42" s="237">
        <v>2018</v>
      </c>
      <c r="CR42" s="237" t="s">
        <v>792</v>
      </c>
      <c r="CS42" s="237" t="s">
        <v>792</v>
      </c>
      <c r="CT42" s="237" t="s">
        <v>792</v>
      </c>
      <c r="CU42" s="237" t="s">
        <v>792</v>
      </c>
      <c r="CV42" s="237" t="s">
        <v>792</v>
      </c>
      <c r="CW42" s="237" t="s">
        <v>792</v>
      </c>
      <c r="DP42" s="349" t="s">
        <v>823</v>
      </c>
      <c r="DQ42" s="349">
        <v>2019</v>
      </c>
      <c r="DR42" s="349">
        <v>296</v>
      </c>
      <c r="DS42" s="349">
        <v>431</v>
      </c>
      <c r="DT42" s="349">
        <v>493</v>
      </c>
      <c r="DU42" s="349">
        <v>479</v>
      </c>
      <c r="DV42" s="349">
        <v>284</v>
      </c>
      <c r="DW42" s="349">
        <v>1983</v>
      </c>
      <c r="DX42" s="349"/>
      <c r="DY42" s="349">
        <v>2019</v>
      </c>
      <c r="DZ42" s="349">
        <v>14</v>
      </c>
      <c r="EA42" s="349">
        <v>2</v>
      </c>
      <c r="EB42" s="349">
        <v>0</v>
      </c>
      <c r="EC42" s="349">
        <v>0</v>
      </c>
      <c r="ED42" s="349">
        <v>0</v>
      </c>
      <c r="EE42" s="349">
        <v>16</v>
      </c>
      <c r="EG42" s="237" t="s">
        <v>1065</v>
      </c>
      <c r="EH42" s="237">
        <v>2019</v>
      </c>
      <c r="EI42" s="237">
        <v>70</v>
      </c>
      <c r="EJ42" s="237">
        <v>128</v>
      </c>
      <c r="EK42" s="237">
        <v>215</v>
      </c>
      <c r="EL42" s="237">
        <v>270</v>
      </c>
      <c r="EM42" s="237">
        <v>349</v>
      </c>
      <c r="EN42" s="237">
        <v>1032</v>
      </c>
      <c r="EO42" s="237"/>
      <c r="EP42" s="237">
        <v>2019</v>
      </c>
      <c r="EQ42" s="237">
        <v>9</v>
      </c>
      <c r="ER42" s="237">
        <v>6</v>
      </c>
      <c r="ES42" s="237">
        <v>3</v>
      </c>
      <c r="ET42" s="237">
        <v>2</v>
      </c>
      <c r="EU42" s="237">
        <v>0</v>
      </c>
      <c r="EV42" s="237">
        <v>20</v>
      </c>
      <c r="EX42" s="309" t="s">
        <v>1220</v>
      </c>
      <c r="EY42" s="309">
        <v>2018</v>
      </c>
      <c r="EZ42" s="309">
        <v>563</v>
      </c>
      <c r="FA42" s="309">
        <v>498</v>
      </c>
      <c r="FB42" s="309">
        <v>446</v>
      </c>
      <c r="FC42" s="309">
        <v>467</v>
      </c>
      <c r="FD42" s="309">
        <v>574</v>
      </c>
      <c r="FE42" s="309">
        <v>2548</v>
      </c>
      <c r="FF42" s="309"/>
      <c r="FG42" s="309">
        <v>2018</v>
      </c>
      <c r="FH42" s="309">
        <v>49</v>
      </c>
      <c r="FI42" s="309">
        <v>0</v>
      </c>
      <c r="FJ42" s="309">
        <v>0</v>
      </c>
      <c r="FK42" s="309">
        <v>0</v>
      </c>
      <c r="FL42" s="309">
        <v>0</v>
      </c>
      <c r="FM42" s="309">
        <v>49</v>
      </c>
    </row>
    <row r="43" spans="1:169">
      <c r="A43" s="288" t="s">
        <v>736</v>
      </c>
      <c r="B43" s="288">
        <v>2018</v>
      </c>
      <c r="C43" s="288">
        <v>99</v>
      </c>
      <c r="D43" s="288">
        <v>16</v>
      </c>
      <c r="E43" s="288">
        <v>3</v>
      </c>
      <c r="F43" s="288">
        <v>3</v>
      </c>
      <c r="G43" s="288">
        <v>1</v>
      </c>
      <c r="H43" s="288">
        <v>122</v>
      </c>
      <c r="J43" s="288">
        <v>2018</v>
      </c>
      <c r="K43" s="288">
        <v>451</v>
      </c>
      <c r="L43" s="288">
        <v>525</v>
      </c>
      <c r="M43" s="288">
        <v>718</v>
      </c>
      <c r="N43" s="288">
        <v>843</v>
      </c>
      <c r="O43" s="288">
        <v>611</v>
      </c>
      <c r="P43" s="288">
        <v>3148</v>
      </c>
      <c r="R43" s="289" t="s">
        <v>903</v>
      </c>
      <c r="S43" s="289">
        <v>2019</v>
      </c>
      <c r="T43" s="289">
        <v>718</v>
      </c>
      <c r="U43" s="289">
        <v>626</v>
      </c>
      <c r="V43" s="289">
        <v>713</v>
      </c>
      <c r="W43" s="289">
        <v>855</v>
      </c>
      <c r="X43" s="289">
        <v>571</v>
      </c>
      <c r="Y43" s="289">
        <v>3483</v>
      </c>
      <c r="Z43" s="289"/>
      <c r="AA43" s="289">
        <v>2019</v>
      </c>
      <c r="AB43" s="289">
        <v>28</v>
      </c>
      <c r="AC43" s="289">
        <v>3</v>
      </c>
      <c r="AD43" s="289">
        <v>0</v>
      </c>
      <c r="AE43" s="289">
        <v>0</v>
      </c>
      <c r="AF43" s="289">
        <v>0</v>
      </c>
      <c r="AG43" s="289">
        <v>31</v>
      </c>
      <c r="AI43" s="290" t="s">
        <v>435</v>
      </c>
      <c r="AJ43" s="290">
        <v>2018</v>
      </c>
      <c r="AK43" s="290">
        <v>559</v>
      </c>
      <c r="AL43" s="290">
        <v>623</v>
      </c>
      <c r="AM43" s="290">
        <v>754</v>
      </c>
      <c r="AN43" s="290">
        <v>963</v>
      </c>
      <c r="AO43" s="290">
        <v>672</v>
      </c>
      <c r="AP43" s="290">
        <v>3571</v>
      </c>
      <c r="AQ43" s="290"/>
      <c r="AR43" s="290">
        <v>2018</v>
      </c>
      <c r="AS43" s="290">
        <v>76</v>
      </c>
      <c r="AT43" s="290">
        <v>1</v>
      </c>
      <c r="AU43" s="290">
        <v>0</v>
      </c>
      <c r="AV43" s="290">
        <v>2</v>
      </c>
      <c r="AW43" s="290">
        <v>0</v>
      </c>
      <c r="AX43" s="290">
        <v>79</v>
      </c>
      <c r="AZ43" s="300" t="s">
        <v>169</v>
      </c>
      <c r="BA43" s="300">
        <v>2018</v>
      </c>
      <c r="BB43" s="300">
        <v>136</v>
      </c>
      <c r="BC43" s="300">
        <v>182</v>
      </c>
      <c r="BD43" s="300">
        <v>387</v>
      </c>
      <c r="BE43" s="300">
        <v>540</v>
      </c>
      <c r="BF43" s="300">
        <v>432</v>
      </c>
      <c r="BG43" s="300">
        <v>1677</v>
      </c>
      <c r="BH43" s="300"/>
      <c r="BI43" s="300">
        <v>2018</v>
      </c>
      <c r="BJ43" s="300">
        <v>21</v>
      </c>
      <c r="BK43" s="300">
        <v>0</v>
      </c>
      <c r="BL43" s="300">
        <v>0</v>
      </c>
      <c r="BM43" s="300">
        <v>0</v>
      </c>
      <c r="BN43" s="300">
        <v>0</v>
      </c>
      <c r="BO43" s="300">
        <v>21</v>
      </c>
      <c r="BQ43" s="309" t="s">
        <v>596</v>
      </c>
      <c r="BR43" s="309">
        <v>2019</v>
      </c>
      <c r="BS43" s="309">
        <v>207</v>
      </c>
      <c r="BT43" s="309">
        <v>179</v>
      </c>
      <c r="BU43" s="309">
        <v>263</v>
      </c>
      <c r="BV43" s="309">
        <v>350</v>
      </c>
      <c r="BW43" s="309">
        <v>311</v>
      </c>
      <c r="BX43" s="309">
        <v>1310</v>
      </c>
      <c r="BY43" s="309"/>
      <c r="BZ43" s="309">
        <v>2019</v>
      </c>
      <c r="CA43" s="309">
        <v>80</v>
      </c>
      <c r="CB43" s="309">
        <v>0</v>
      </c>
      <c r="CC43" s="309">
        <v>0</v>
      </c>
      <c r="CD43" s="309">
        <v>0</v>
      </c>
      <c r="CE43" s="309">
        <v>0</v>
      </c>
      <c r="CF43" s="309">
        <v>80</v>
      </c>
      <c r="CH43" s="237" t="s">
        <v>238</v>
      </c>
      <c r="CI43" s="237">
        <v>2018</v>
      </c>
      <c r="CJ43" s="237" t="s">
        <v>792</v>
      </c>
      <c r="CK43" s="237" t="s">
        <v>792</v>
      </c>
      <c r="CL43" s="237" t="s">
        <v>792</v>
      </c>
      <c r="CM43" s="237" t="s">
        <v>792</v>
      </c>
      <c r="CN43" s="237" t="s">
        <v>792</v>
      </c>
      <c r="CO43" s="237" t="s">
        <v>792</v>
      </c>
      <c r="CP43" s="237"/>
      <c r="CQ43" s="237">
        <v>2018</v>
      </c>
      <c r="CR43" s="237" t="s">
        <v>792</v>
      </c>
      <c r="CS43" s="237" t="s">
        <v>792</v>
      </c>
      <c r="CT43" s="237" t="s">
        <v>792</v>
      </c>
      <c r="CU43" s="237" t="s">
        <v>792</v>
      </c>
      <c r="CV43" s="237" t="s">
        <v>792</v>
      </c>
      <c r="CW43" s="237" t="s">
        <v>792</v>
      </c>
      <c r="DP43" s="349" t="s">
        <v>825</v>
      </c>
      <c r="DQ43" s="349">
        <v>2019</v>
      </c>
      <c r="DR43" s="349">
        <v>573</v>
      </c>
      <c r="DS43" s="349">
        <v>790</v>
      </c>
      <c r="DT43" s="349">
        <v>1219</v>
      </c>
      <c r="DU43" s="349">
        <v>1579</v>
      </c>
      <c r="DV43" s="349">
        <v>1315</v>
      </c>
      <c r="DW43" s="349">
        <v>5476</v>
      </c>
      <c r="DX43" s="349"/>
      <c r="DY43" s="349">
        <v>2019</v>
      </c>
      <c r="DZ43" s="349">
        <v>25</v>
      </c>
      <c r="EA43" s="349">
        <v>4</v>
      </c>
      <c r="EB43" s="349">
        <v>0</v>
      </c>
      <c r="EC43" s="349">
        <v>0</v>
      </c>
      <c r="ED43" s="349">
        <v>0</v>
      </c>
      <c r="EE43" s="349">
        <v>29</v>
      </c>
      <c r="EG43" s="237" t="s">
        <v>1068</v>
      </c>
      <c r="EH43" s="237">
        <v>2019</v>
      </c>
      <c r="EI43" s="237" t="s">
        <v>792</v>
      </c>
      <c r="EJ43" s="237" t="s">
        <v>792</v>
      </c>
      <c r="EK43" s="237" t="s">
        <v>792</v>
      </c>
      <c r="EL43" s="237" t="s">
        <v>792</v>
      </c>
      <c r="EM43" s="237" t="s">
        <v>792</v>
      </c>
      <c r="EN43" s="237" t="s">
        <v>792</v>
      </c>
      <c r="EO43" s="237"/>
      <c r="EP43" s="237">
        <v>2019</v>
      </c>
      <c r="EQ43" s="237" t="s">
        <v>792</v>
      </c>
      <c r="ER43" s="237" t="s">
        <v>792</v>
      </c>
      <c r="ES43" s="237" t="s">
        <v>792</v>
      </c>
      <c r="ET43" s="237" t="s">
        <v>792</v>
      </c>
      <c r="EU43" s="237" t="s">
        <v>792</v>
      </c>
      <c r="EV43" s="237" t="s">
        <v>792</v>
      </c>
      <c r="EX43" s="309" t="s">
        <v>1222</v>
      </c>
      <c r="EY43" s="309">
        <v>2018</v>
      </c>
      <c r="EZ43" s="309">
        <v>289</v>
      </c>
      <c r="FA43" s="309">
        <v>368</v>
      </c>
      <c r="FB43" s="309">
        <v>504</v>
      </c>
      <c r="FC43" s="309">
        <v>653</v>
      </c>
      <c r="FD43" s="309">
        <v>756</v>
      </c>
      <c r="FE43" s="309">
        <v>2570</v>
      </c>
      <c r="FF43" s="309"/>
      <c r="FG43" s="309">
        <v>2018</v>
      </c>
      <c r="FH43" s="309">
        <v>31</v>
      </c>
      <c r="FI43" s="309">
        <v>5</v>
      </c>
      <c r="FJ43" s="309">
        <v>0</v>
      </c>
      <c r="FK43" s="309">
        <v>0</v>
      </c>
      <c r="FL43" s="309">
        <v>0</v>
      </c>
      <c r="FM43" s="309">
        <v>36</v>
      </c>
    </row>
    <row r="44" spans="1:169">
      <c r="A44" s="288" t="s">
        <v>739</v>
      </c>
      <c r="B44" s="288">
        <v>2018</v>
      </c>
      <c r="C44" s="288">
        <v>23</v>
      </c>
      <c r="D44" s="288">
        <v>8</v>
      </c>
      <c r="E44" s="288">
        <v>2</v>
      </c>
      <c r="F44" s="288">
        <v>0</v>
      </c>
      <c r="G44" s="288">
        <v>0</v>
      </c>
      <c r="H44" s="288">
        <v>33</v>
      </c>
      <c r="J44" s="288">
        <v>2018</v>
      </c>
      <c r="K44" s="288">
        <v>156</v>
      </c>
      <c r="L44" s="288">
        <v>300</v>
      </c>
      <c r="M44" s="288">
        <v>405</v>
      </c>
      <c r="N44" s="288">
        <v>539</v>
      </c>
      <c r="O44" s="288">
        <v>408</v>
      </c>
      <c r="P44" s="288">
        <v>1808</v>
      </c>
      <c r="R44" s="289" t="s">
        <v>904</v>
      </c>
      <c r="S44" s="289">
        <v>2019</v>
      </c>
      <c r="T44" s="289">
        <v>684</v>
      </c>
      <c r="U44" s="289">
        <v>867</v>
      </c>
      <c r="V44" s="289">
        <v>1075</v>
      </c>
      <c r="W44" s="289">
        <v>1215</v>
      </c>
      <c r="X44" s="289">
        <v>743</v>
      </c>
      <c r="Y44" s="289">
        <v>4584</v>
      </c>
      <c r="Z44" s="289"/>
      <c r="AA44" s="289">
        <v>2019</v>
      </c>
      <c r="AB44" s="289">
        <v>18</v>
      </c>
      <c r="AC44" s="289">
        <v>2</v>
      </c>
      <c r="AD44" s="289">
        <v>0</v>
      </c>
      <c r="AE44" s="289">
        <v>2</v>
      </c>
      <c r="AF44" s="289">
        <v>0</v>
      </c>
      <c r="AG44" s="289">
        <v>22</v>
      </c>
      <c r="AI44" s="290" t="s">
        <v>436</v>
      </c>
      <c r="AJ44" s="290">
        <v>2018</v>
      </c>
      <c r="AK44" s="290">
        <v>340</v>
      </c>
      <c r="AL44" s="290">
        <v>575</v>
      </c>
      <c r="AM44" s="290">
        <v>857</v>
      </c>
      <c r="AN44" s="290">
        <v>1043</v>
      </c>
      <c r="AO44" s="290">
        <v>686</v>
      </c>
      <c r="AP44" s="290">
        <v>3501</v>
      </c>
      <c r="AQ44" s="290"/>
      <c r="AR44" s="290">
        <v>2018</v>
      </c>
      <c r="AS44" s="290">
        <v>18</v>
      </c>
      <c r="AT44" s="290">
        <v>1</v>
      </c>
      <c r="AU44" s="290">
        <v>1</v>
      </c>
      <c r="AV44" s="290">
        <v>0</v>
      </c>
      <c r="AW44" s="290">
        <v>0</v>
      </c>
      <c r="AX44" s="290">
        <v>20</v>
      </c>
      <c r="AZ44" s="300" t="s">
        <v>119</v>
      </c>
      <c r="BA44" s="300">
        <v>2018</v>
      </c>
      <c r="BB44" s="300">
        <v>2030</v>
      </c>
      <c r="BC44" s="300">
        <v>1233</v>
      </c>
      <c r="BD44" s="300">
        <v>1492</v>
      </c>
      <c r="BE44" s="300">
        <v>1427</v>
      </c>
      <c r="BF44" s="300">
        <v>947</v>
      </c>
      <c r="BG44" s="300">
        <v>7129</v>
      </c>
      <c r="BH44" s="300"/>
      <c r="BI44" s="300">
        <v>2018</v>
      </c>
      <c r="BJ44" s="300">
        <v>402</v>
      </c>
      <c r="BK44" s="300">
        <v>0</v>
      </c>
      <c r="BL44" s="300">
        <v>0</v>
      </c>
      <c r="BM44" s="300">
        <v>0</v>
      </c>
      <c r="BN44" s="300">
        <v>0</v>
      </c>
      <c r="BO44" s="300">
        <v>402</v>
      </c>
      <c r="BQ44" s="309" t="s">
        <v>599</v>
      </c>
      <c r="BR44" s="309">
        <v>2019</v>
      </c>
      <c r="BS44" s="309">
        <v>134</v>
      </c>
      <c r="BT44" s="309">
        <v>98</v>
      </c>
      <c r="BU44" s="309">
        <v>167</v>
      </c>
      <c r="BV44" s="309">
        <v>241</v>
      </c>
      <c r="BW44" s="309">
        <v>223</v>
      </c>
      <c r="BX44" s="309">
        <v>863</v>
      </c>
      <c r="BY44" s="309"/>
      <c r="BZ44" s="309">
        <v>2019</v>
      </c>
      <c r="CA44" s="309">
        <v>27</v>
      </c>
      <c r="CB44" s="309">
        <v>0</v>
      </c>
      <c r="CC44" s="309">
        <v>0</v>
      </c>
      <c r="CD44" s="309">
        <v>0</v>
      </c>
      <c r="CE44" s="309">
        <v>0</v>
      </c>
      <c r="CF44" s="309">
        <v>27</v>
      </c>
      <c r="CH44" s="237" t="s">
        <v>240</v>
      </c>
      <c r="CI44" s="237">
        <v>2018</v>
      </c>
      <c r="CJ44" s="237" t="s">
        <v>792</v>
      </c>
      <c r="CK44" s="237" t="s">
        <v>792</v>
      </c>
      <c r="CL44" s="237" t="s">
        <v>792</v>
      </c>
      <c r="CM44" s="237" t="s">
        <v>792</v>
      </c>
      <c r="CN44" s="237" t="s">
        <v>792</v>
      </c>
      <c r="CO44" s="237" t="s">
        <v>792</v>
      </c>
      <c r="CP44" s="237"/>
      <c r="CQ44" s="237">
        <v>2018</v>
      </c>
      <c r="CR44" s="237" t="s">
        <v>792</v>
      </c>
      <c r="CS44" s="237" t="s">
        <v>792</v>
      </c>
      <c r="CT44" s="237" t="s">
        <v>792</v>
      </c>
      <c r="CU44" s="237" t="s">
        <v>792</v>
      </c>
      <c r="CV44" s="237" t="s">
        <v>792</v>
      </c>
      <c r="CW44" s="237" t="s">
        <v>792</v>
      </c>
      <c r="DP44" s="349" t="s">
        <v>827</v>
      </c>
      <c r="DQ44" s="349">
        <v>2019</v>
      </c>
      <c r="DR44" s="349">
        <v>389</v>
      </c>
      <c r="DS44" s="349">
        <v>476</v>
      </c>
      <c r="DT44" s="349">
        <v>494</v>
      </c>
      <c r="DU44" s="349">
        <v>548</v>
      </c>
      <c r="DV44" s="349">
        <v>410</v>
      </c>
      <c r="DW44" s="349">
        <v>2317</v>
      </c>
      <c r="DX44" s="349"/>
      <c r="DY44" s="349">
        <v>2019</v>
      </c>
      <c r="DZ44" s="349">
        <v>19</v>
      </c>
      <c r="EA44" s="349">
        <v>0</v>
      </c>
      <c r="EB44" s="349">
        <v>0</v>
      </c>
      <c r="EC44" s="349">
        <v>0</v>
      </c>
      <c r="ED44" s="349">
        <v>0</v>
      </c>
      <c r="EE44" s="349">
        <v>19</v>
      </c>
      <c r="EG44" s="237" t="s">
        <v>1071</v>
      </c>
      <c r="EH44" s="237">
        <v>2019</v>
      </c>
      <c r="EI44" s="237" t="s">
        <v>792</v>
      </c>
      <c r="EJ44" s="237" t="s">
        <v>792</v>
      </c>
      <c r="EK44" s="237" t="s">
        <v>792</v>
      </c>
      <c r="EL44" s="237" t="s">
        <v>792</v>
      </c>
      <c r="EM44" s="237" t="s">
        <v>792</v>
      </c>
      <c r="EN44" s="237" t="s">
        <v>792</v>
      </c>
      <c r="EO44" s="237"/>
      <c r="EP44" s="237">
        <v>2019</v>
      </c>
      <c r="EQ44" s="237" t="s">
        <v>792</v>
      </c>
      <c r="ER44" s="237" t="s">
        <v>792</v>
      </c>
      <c r="ES44" s="237" t="s">
        <v>792</v>
      </c>
      <c r="ET44" s="237" t="s">
        <v>792</v>
      </c>
      <c r="EU44" s="237" t="s">
        <v>792</v>
      </c>
      <c r="EV44" s="237" t="s">
        <v>792</v>
      </c>
      <c r="EX44" s="309" t="s">
        <v>1224</v>
      </c>
      <c r="EY44" s="309">
        <v>2018</v>
      </c>
      <c r="EZ44" s="309">
        <v>276</v>
      </c>
      <c r="FA44" s="309">
        <v>359</v>
      </c>
      <c r="FB44" s="309">
        <v>411</v>
      </c>
      <c r="FC44" s="309">
        <v>505</v>
      </c>
      <c r="FD44" s="309">
        <v>640</v>
      </c>
      <c r="FE44" s="309">
        <v>2191</v>
      </c>
      <c r="FF44" s="309"/>
      <c r="FG44" s="309">
        <v>2018</v>
      </c>
      <c r="FH44" s="309">
        <v>41</v>
      </c>
      <c r="FI44" s="309">
        <v>9</v>
      </c>
      <c r="FJ44" s="309">
        <v>5</v>
      </c>
      <c r="FK44" s="309">
        <v>11</v>
      </c>
      <c r="FL44" s="309">
        <v>14</v>
      </c>
      <c r="FM44" s="309">
        <v>80</v>
      </c>
    </row>
    <row r="45" spans="1:169">
      <c r="A45" s="288" t="s">
        <v>740</v>
      </c>
      <c r="B45" s="288">
        <v>2018</v>
      </c>
      <c r="C45" s="288">
        <v>14</v>
      </c>
      <c r="D45" s="288">
        <v>8</v>
      </c>
      <c r="E45" s="288">
        <v>6</v>
      </c>
      <c r="F45" s="288">
        <v>2</v>
      </c>
      <c r="G45" s="288">
        <v>2</v>
      </c>
      <c r="H45" s="288">
        <v>32</v>
      </c>
      <c r="J45" s="288">
        <v>2018</v>
      </c>
      <c r="K45" s="288">
        <v>90</v>
      </c>
      <c r="L45" s="288">
        <v>145</v>
      </c>
      <c r="M45" s="288">
        <v>262</v>
      </c>
      <c r="N45" s="288">
        <v>375</v>
      </c>
      <c r="O45" s="288">
        <v>343</v>
      </c>
      <c r="P45" s="288">
        <v>1215</v>
      </c>
      <c r="R45" s="289" t="s">
        <v>905</v>
      </c>
      <c r="S45" s="289">
        <v>2019</v>
      </c>
      <c r="T45" s="289">
        <v>698</v>
      </c>
      <c r="U45" s="289">
        <v>780</v>
      </c>
      <c r="V45" s="289">
        <v>945</v>
      </c>
      <c r="W45" s="289">
        <v>1022</v>
      </c>
      <c r="X45" s="289">
        <v>739</v>
      </c>
      <c r="Y45" s="289">
        <v>4184</v>
      </c>
      <c r="Z45" s="289"/>
      <c r="AA45" s="289">
        <v>2019</v>
      </c>
      <c r="AB45" s="289">
        <v>16</v>
      </c>
      <c r="AC45" s="289">
        <v>0</v>
      </c>
      <c r="AD45" s="289">
        <v>0</v>
      </c>
      <c r="AE45" s="289">
        <v>0</v>
      </c>
      <c r="AF45" s="289">
        <v>0</v>
      </c>
      <c r="AG45" s="289">
        <v>16</v>
      </c>
      <c r="AI45" s="290" t="s">
        <v>437</v>
      </c>
      <c r="AJ45" s="290">
        <v>2018</v>
      </c>
      <c r="AK45" s="290">
        <v>263</v>
      </c>
      <c r="AL45" s="290">
        <v>421</v>
      </c>
      <c r="AM45" s="290">
        <v>673</v>
      </c>
      <c r="AN45" s="290">
        <v>841</v>
      </c>
      <c r="AO45" s="290">
        <v>583</v>
      </c>
      <c r="AP45" s="290">
        <v>2781</v>
      </c>
      <c r="AQ45" s="290"/>
      <c r="AR45" s="290">
        <v>2018</v>
      </c>
      <c r="AS45" s="290">
        <v>22</v>
      </c>
      <c r="AT45" s="290">
        <v>0</v>
      </c>
      <c r="AU45" s="290">
        <v>0</v>
      </c>
      <c r="AV45" s="290">
        <v>0</v>
      </c>
      <c r="AW45" s="290">
        <v>0</v>
      </c>
      <c r="AX45" s="290">
        <v>22</v>
      </c>
      <c r="AZ45" s="300" t="s">
        <v>171</v>
      </c>
      <c r="BA45" s="300">
        <v>2018</v>
      </c>
      <c r="BB45" s="300">
        <v>66</v>
      </c>
      <c r="BC45" s="300">
        <v>87</v>
      </c>
      <c r="BD45" s="300">
        <v>173</v>
      </c>
      <c r="BE45" s="300">
        <v>207</v>
      </c>
      <c r="BF45" s="300">
        <v>209</v>
      </c>
      <c r="BG45" s="300">
        <v>742</v>
      </c>
      <c r="BH45" s="300"/>
      <c r="BI45" s="300">
        <v>2018</v>
      </c>
      <c r="BJ45" s="300">
        <v>17</v>
      </c>
      <c r="BK45" s="300">
        <v>0</v>
      </c>
      <c r="BL45" s="300">
        <v>0</v>
      </c>
      <c r="BM45" s="300">
        <v>0</v>
      </c>
      <c r="BN45" s="300">
        <v>0</v>
      </c>
      <c r="BO45" s="300">
        <v>17</v>
      </c>
      <c r="BQ45" s="309" t="s">
        <v>602</v>
      </c>
      <c r="BR45" s="309">
        <v>2019</v>
      </c>
      <c r="BS45" s="309">
        <v>63</v>
      </c>
      <c r="BT45" s="309">
        <v>30</v>
      </c>
      <c r="BU45" s="309">
        <v>65</v>
      </c>
      <c r="BV45" s="309">
        <v>105</v>
      </c>
      <c r="BW45" s="309">
        <v>106</v>
      </c>
      <c r="BX45" s="309">
        <v>369</v>
      </c>
      <c r="BY45" s="309"/>
      <c r="BZ45" s="309">
        <v>2019</v>
      </c>
      <c r="CA45" s="309">
        <v>16</v>
      </c>
      <c r="CB45" s="309">
        <v>0</v>
      </c>
      <c r="CC45" s="309">
        <v>0</v>
      </c>
      <c r="CD45" s="309">
        <v>0</v>
      </c>
      <c r="CE45" s="309">
        <v>0</v>
      </c>
      <c r="CF45" s="309">
        <v>16</v>
      </c>
      <c r="DP45" s="349" t="s">
        <v>829</v>
      </c>
      <c r="DQ45" s="349">
        <v>2019</v>
      </c>
      <c r="DR45" s="349">
        <v>165</v>
      </c>
      <c r="DS45" s="349">
        <v>94</v>
      </c>
      <c r="DT45" s="349">
        <v>132</v>
      </c>
      <c r="DU45" s="349">
        <v>168</v>
      </c>
      <c r="DV45" s="349">
        <v>132</v>
      </c>
      <c r="DW45" s="349">
        <v>691</v>
      </c>
      <c r="DX45" s="349"/>
      <c r="DY45" s="349">
        <v>2019</v>
      </c>
      <c r="DZ45" s="349">
        <v>24</v>
      </c>
      <c r="EA45" s="349">
        <v>0</v>
      </c>
      <c r="EB45" s="349">
        <v>0</v>
      </c>
      <c r="EC45" s="349">
        <v>0</v>
      </c>
      <c r="ED45" s="349">
        <v>0</v>
      </c>
      <c r="EE45" s="349">
        <v>24</v>
      </c>
      <c r="EG45" s="237" t="s">
        <v>1074</v>
      </c>
      <c r="EH45" s="237">
        <v>2019</v>
      </c>
      <c r="EI45" s="237">
        <v>169</v>
      </c>
      <c r="EJ45" s="237">
        <v>250</v>
      </c>
      <c r="EK45" s="237">
        <v>290</v>
      </c>
      <c r="EL45" s="237">
        <v>467</v>
      </c>
      <c r="EM45" s="237">
        <v>522</v>
      </c>
      <c r="EN45" s="237">
        <v>1698</v>
      </c>
      <c r="EO45" s="237"/>
      <c r="EP45" s="237">
        <v>2019</v>
      </c>
      <c r="EQ45" s="237">
        <v>33</v>
      </c>
      <c r="ER45" s="237">
        <v>31</v>
      </c>
      <c r="ES45" s="237">
        <v>23</v>
      </c>
      <c r="ET45" s="237">
        <v>28</v>
      </c>
      <c r="EU45" s="237">
        <v>20</v>
      </c>
      <c r="EV45" s="237">
        <v>135</v>
      </c>
      <c r="EX45" s="309" t="s">
        <v>1967</v>
      </c>
      <c r="EY45" s="309">
        <v>2018</v>
      </c>
      <c r="EZ45" s="309" t="s">
        <v>792</v>
      </c>
      <c r="FA45" s="309" t="s">
        <v>792</v>
      </c>
      <c r="FB45" s="309" t="s">
        <v>792</v>
      </c>
      <c r="FC45" s="309" t="s">
        <v>792</v>
      </c>
      <c r="FD45" s="309" t="s">
        <v>792</v>
      </c>
      <c r="FE45" s="309" t="s">
        <v>792</v>
      </c>
      <c r="FF45" s="309"/>
      <c r="FG45" s="309">
        <v>2018</v>
      </c>
      <c r="FH45" s="309" t="s">
        <v>792</v>
      </c>
      <c r="FI45" s="309" t="s">
        <v>792</v>
      </c>
      <c r="FJ45" s="309" t="s">
        <v>792</v>
      </c>
      <c r="FK45" s="309" t="s">
        <v>792</v>
      </c>
      <c r="FL45" s="309" t="s">
        <v>792</v>
      </c>
      <c r="FM45" s="309" t="s">
        <v>792</v>
      </c>
    </row>
    <row r="46" spans="1:169">
      <c r="A46" s="288" t="s">
        <v>743</v>
      </c>
      <c r="B46" s="288">
        <v>2018</v>
      </c>
      <c r="C46" s="288" t="s">
        <v>792</v>
      </c>
      <c r="D46" s="288" t="s">
        <v>792</v>
      </c>
      <c r="E46" s="288" t="s">
        <v>792</v>
      </c>
      <c r="F46" s="288" t="s">
        <v>792</v>
      </c>
      <c r="G46" s="288" t="s">
        <v>792</v>
      </c>
      <c r="H46" s="288" t="s">
        <v>792</v>
      </c>
      <c r="J46" s="288">
        <v>2018</v>
      </c>
      <c r="K46" s="288" t="s">
        <v>792</v>
      </c>
      <c r="L46" s="288" t="s">
        <v>792</v>
      </c>
      <c r="M46" s="288" t="s">
        <v>792</v>
      </c>
      <c r="N46" s="288" t="s">
        <v>792</v>
      </c>
      <c r="O46" s="288" t="s">
        <v>792</v>
      </c>
      <c r="P46" s="288" t="s">
        <v>792</v>
      </c>
      <c r="R46" s="289" t="s">
        <v>906</v>
      </c>
      <c r="S46" s="289">
        <v>2019</v>
      </c>
      <c r="T46" s="289">
        <v>706</v>
      </c>
      <c r="U46" s="289">
        <v>519</v>
      </c>
      <c r="V46" s="289">
        <v>777</v>
      </c>
      <c r="W46" s="289">
        <v>792</v>
      </c>
      <c r="X46" s="289">
        <v>549</v>
      </c>
      <c r="Y46" s="289">
        <v>3343</v>
      </c>
      <c r="Z46" s="289"/>
      <c r="AA46" s="289">
        <v>2019</v>
      </c>
      <c r="AB46" s="289">
        <v>28</v>
      </c>
      <c r="AC46" s="289">
        <v>0</v>
      </c>
      <c r="AD46" s="289">
        <v>0</v>
      </c>
      <c r="AE46" s="289">
        <v>0</v>
      </c>
      <c r="AF46" s="289">
        <v>0</v>
      </c>
      <c r="AG46" s="289">
        <v>28</v>
      </c>
      <c r="AI46" s="290" t="s">
        <v>438</v>
      </c>
      <c r="AJ46" s="290">
        <v>2018</v>
      </c>
      <c r="AK46" s="290">
        <v>216</v>
      </c>
      <c r="AL46" s="290">
        <v>406</v>
      </c>
      <c r="AM46" s="290">
        <v>670</v>
      </c>
      <c r="AN46" s="290">
        <v>851</v>
      </c>
      <c r="AO46" s="290">
        <v>598</v>
      </c>
      <c r="AP46" s="290">
        <v>2741</v>
      </c>
      <c r="AQ46" s="290"/>
      <c r="AR46" s="290">
        <v>2018</v>
      </c>
      <c r="AS46" s="290">
        <v>17</v>
      </c>
      <c r="AT46" s="290">
        <v>3</v>
      </c>
      <c r="AU46" s="290">
        <v>0</v>
      </c>
      <c r="AV46" s="290">
        <v>0</v>
      </c>
      <c r="AW46" s="290">
        <v>0</v>
      </c>
      <c r="AX46" s="290">
        <v>20</v>
      </c>
      <c r="AZ46" s="300" t="s">
        <v>121</v>
      </c>
      <c r="BA46" s="300">
        <v>2018</v>
      </c>
      <c r="BB46" s="300">
        <v>103</v>
      </c>
      <c r="BC46" s="300">
        <v>76</v>
      </c>
      <c r="BD46" s="300">
        <v>139</v>
      </c>
      <c r="BE46" s="300">
        <v>167</v>
      </c>
      <c r="BF46" s="300">
        <v>166</v>
      </c>
      <c r="BG46" s="300">
        <v>651</v>
      </c>
      <c r="BH46" s="300"/>
      <c r="BI46" s="300">
        <v>2018</v>
      </c>
      <c r="BJ46" s="300">
        <v>32</v>
      </c>
      <c r="BK46" s="300">
        <v>0</v>
      </c>
      <c r="BL46" s="300">
        <v>0</v>
      </c>
      <c r="BM46" s="300">
        <v>0</v>
      </c>
      <c r="BN46" s="300">
        <v>0</v>
      </c>
      <c r="BO46" s="300">
        <v>32</v>
      </c>
      <c r="BQ46" s="309" t="s">
        <v>605</v>
      </c>
      <c r="BR46" s="309">
        <v>2019</v>
      </c>
      <c r="BS46" s="309">
        <v>182</v>
      </c>
      <c r="BT46" s="309">
        <v>112</v>
      </c>
      <c r="BU46" s="309">
        <v>157</v>
      </c>
      <c r="BV46" s="309">
        <v>234</v>
      </c>
      <c r="BW46" s="309">
        <v>194</v>
      </c>
      <c r="BX46" s="309">
        <v>879</v>
      </c>
      <c r="BY46" s="309"/>
      <c r="BZ46" s="309">
        <v>2019</v>
      </c>
      <c r="CA46" s="309">
        <v>50</v>
      </c>
      <c r="CB46" s="309">
        <v>2</v>
      </c>
      <c r="CC46" s="309">
        <v>0</v>
      </c>
      <c r="CD46" s="309">
        <v>0</v>
      </c>
      <c r="CE46" s="309">
        <v>0</v>
      </c>
      <c r="CF46" s="309">
        <v>52</v>
      </c>
      <c r="CH46" s="237" t="s">
        <v>206</v>
      </c>
      <c r="CI46" s="237">
        <v>2019</v>
      </c>
      <c r="CJ46" s="237">
        <v>147</v>
      </c>
      <c r="CK46" s="237">
        <v>63</v>
      </c>
      <c r="CL46" s="237">
        <v>149</v>
      </c>
      <c r="CM46" s="237">
        <v>212</v>
      </c>
      <c r="CN46" s="237">
        <v>224</v>
      </c>
      <c r="CO46" s="237">
        <v>795</v>
      </c>
      <c r="CP46" s="237"/>
      <c r="CQ46" s="237">
        <v>2019</v>
      </c>
      <c r="CR46" s="237">
        <v>43</v>
      </c>
      <c r="CS46" s="237">
        <v>0</v>
      </c>
      <c r="CT46" s="237">
        <v>0</v>
      </c>
      <c r="CU46" s="237">
        <v>0</v>
      </c>
      <c r="CV46" s="237">
        <v>0</v>
      </c>
      <c r="CW46" s="237">
        <v>43</v>
      </c>
      <c r="DP46" s="349" t="s">
        <v>831</v>
      </c>
      <c r="DQ46" s="349">
        <v>2019</v>
      </c>
      <c r="DR46" s="349">
        <v>286</v>
      </c>
      <c r="DS46" s="349">
        <v>289</v>
      </c>
      <c r="DT46" s="349">
        <v>329</v>
      </c>
      <c r="DU46" s="349">
        <v>371</v>
      </c>
      <c r="DV46" s="349">
        <v>249</v>
      </c>
      <c r="DW46" s="349">
        <v>1524</v>
      </c>
      <c r="DX46" s="349"/>
      <c r="DY46" s="349">
        <v>2019</v>
      </c>
      <c r="DZ46" s="349">
        <v>32</v>
      </c>
      <c r="EA46" s="349">
        <v>0</v>
      </c>
      <c r="EB46" s="349">
        <v>0</v>
      </c>
      <c r="EC46" s="349">
        <v>0</v>
      </c>
      <c r="ED46" s="349">
        <v>0</v>
      </c>
      <c r="EE46" s="349">
        <v>32</v>
      </c>
      <c r="EG46" s="237" t="s">
        <v>1077</v>
      </c>
      <c r="EH46" s="237">
        <v>2019</v>
      </c>
      <c r="EI46" s="237">
        <v>205</v>
      </c>
      <c r="EJ46" s="237">
        <v>302</v>
      </c>
      <c r="EK46" s="237">
        <v>460</v>
      </c>
      <c r="EL46" s="237">
        <v>571</v>
      </c>
      <c r="EM46" s="237">
        <v>651</v>
      </c>
      <c r="EN46" s="237">
        <v>2189</v>
      </c>
      <c r="EO46" s="237"/>
      <c r="EP46" s="237">
        <v>2019</v>
      </c>
      <c r="EQ46" s="237">
        <v>53</v>
      </c>
      <c r="ER46" s="237">
        <v>28</v>
      </c>
      <c r="ES46" s="237">
        <v>33</v>
      </c>
      <c r="ET46" s="237">
        <v>17</v>
      </c>
      <c r="EU46" s="237">
        <v>22</v>
      </c>
      <c r="EV46" s="237">
        <v>153</v>
      </c>
      <c r="EX46" s="309" t="s">
        <v>1970</v>
      </c>
      <c r="EY46" s="309">
        <v>2018</v>
      </c>
      <c r="EZ46" s="309" t="s">
        <v>792</v>
      </c>
      <c r="FA46" s="309" t="s">
        <v>792</v>
      </c>
      <c r="FB46" s="309" t="s">
        <v>792</v>
      </c>
      <c r="FC46" s="309" t="s">
        <v>792</v>
      </c>
      <c r="FD46" s="309" t="s">
        <v>792</v>
      </c>
      <c r="FE46" s="309" t="s">
        <v>792</v>
      </c>
      <c r="FF46" s="309"/>
      <c r="FG46" s="309">
        <v>2018</v>
      </c>
      <c r="FH46" s="309" t="s">
        <v>792</v>
      </c>
      <c r="FI46" s="309" t="s">
        <v>792</v>
      </c>
      <c r="FJ46" s="309" t="s">
        <v>792</v>
      </c>
      <c r="FK46" s="309" t="s">
        <v>792</v>
      </c>
      <c r="FL46" s="309" t="s">
        <v>792</v>
      </c>
      <c r="FM46" s="309" t="s">
        <v>792</v>
      </c>
    </row>
    <row r="47" spans="1:169">
      <c r="A47" s="288" t="s">
        <v>2182</v>
      </c>
      <c r="B47" s="288">
        <v>2018</v>
      </c>
      <c r="C47" s="288" t="s">
        <v>792</v>
      </c>
      <c r="D47" s="288" t="s">
        <v>792</v>
      </c>
      <c r="E47" s="288" t="s">
        <v>792</v>
      </c>
      <c r="F47" s="288" t="s">
        <v>792</v>
      </c>
      <c r="G47" s="288" t="s">
        <v>792</v>
      </c>
      <c r="H47" s="288" t="s">
        <v>792</v>
      </c>
      <c r="J47" s="288">
        <v>2018</v>
      </c>
      <c r="K47" s="288" t="s">
        <v>792</v>
      </c>
      <c r="L47" s="288" t="s">
        <v>792</v>
      </c>
      <c r="M47" s="288" t="s">
        <v>792</v>
      </c>
      <c r="N47" s="288" t="s">
        <v>792</v>
      </c>
      <c r="O47" s="288" t="s">
        <v>792</v>
      </c>
      <c r="P47" s="288" t="s">
        <v>792</v>
      </c>
      <c r="R47" s="289" t="s">
        <v>907</v>
      </c>
      <c r="S47" s="289">
        <v>2019</v>
      </c>
      <c r="T47" s="289" t="s">
        <v>792</v>
      </c>
      <c r="U47" s="289" t="s">
        <v>792</v>
      </c>
      <c r="V47" s="289" t="s">
        <v>792</v>
      </c>
      <c r="W47" s="289" t="s">
        <v>792</v>
      </c>
      <c r="X47" s="289" t="s">
        <v>792</v>
      </c>
      <c r="Y47" s="289" t="s">
        <v>792</v>
      </c>
      <c r="Z47" s="289"/>
      <c r="AA47" s="289">
        <v>2019</v>
      </c>
      <c r="AB47" s="289" t="s">
        <v>792</v>
      </c>
      <c r="AC47" s="289" t="s">
        <v>792</v>
      </c>
      <c r="AD47" s="289" t="s">
        <v>792</v>
      </c>
      <c r="AE47" s="289" t="s">
        <v>792</v>
      </c>
      <c r="AF47" s="289" t="s">
        <v>792</v>
      </c>
      <c r="AG47" s="289" t="s">
        <v>792</v>
      </c>
      <c r="AZ47" s="300" t="s">
        <v>122</v>
      </c>
      <c r="BA47" s="300">
        <v>2018</v>
      </c>
      <c r="BB47" s="300">
        <v>76</v>
      </c>
      <c r="BC47" s="300">
        <v>44</v>
      </c>
      <c r="BD47" s="300">
        <v>69</v>
      </c>
      <c r="BE47" s="300">
        <v>92</v>
      </c>
      <c r="BF47" s="300">
        <v>98</v>
      </c>
      <c r="BG47" s="300">
        <v>379</v>
      </c>
      <c r="BH47" s="300"/>
      <c r="BI47" s="300">
        <v>2018</v>
      </c>
      <c r="BJ47" s="300">
        <v>26</v>
      </c>
      <c r="BK47" s="300">
        <v>0</v>
      </c>
      <c r="BL47" s="300">
        <v>0</v>
      </c>
      <c r="BM47" s="300">
        <v>0</v>
      </c>
      <c r="BN47" s="300">
        <v>0</v>
      </c>
      <c r="BO47" s="300">
        <v>26</v>
      </c>
      <c r="BQ47" s="309" t="s">
        <v>608</v>
      </c>
      <c r="BR47" s="309">
        <v>2019</v>
      </c>
      <c r="BS47" s="309">
        <v>143</v>
      </c>
      <c r="BT47" s="309">
        <v>86</v>
      </c>
      <c r="BU47" s="309">
        <v>162</v>
      </c>
      <c r="BV47" s="309">
        <v>213</v>
      </c>
      <c r="BW47" s="309">
        <v>181</v>
      </c>
      <c r="BX47" s="309">
        <v>785</v>
      </c>
      <c r="BY47" s="309"/>
      <c r="BZ47" s="309">
        <v>2019</v>
      </c>
      <c r="CA47" s="309">
        <v>27</v>
      </c>
      <c r="CB47" s="309">
        <v>1</v>
      </c>
      <c r="CC47" s="309">
        <v>0</v>
      </c>
      <c r="CD47" s="309">
        <v>0</v>
      </c>
      <c r="CE47" s="309">
        <v>0</v>
      </c>
      <c r="CF47" s="309">
        <v>28</v>
      </c>
      <c r="CH47" s="237" t="s">
        <v>208</v>
      </c>
      <c r="CI47" s="237">
        <v>2019</v>
      </c>
      <c r="CJ47" s="237">
        <v>154</v>
      </c>
      <c r="CK47" s="237">
        <v>80</v>
      </c>
      <c r="CL47" s="237">
        <v>156</v>
      </c>
      <c r="CM47" s="237">
        <v>295</v>
      </c>
      <c r="CN47" s="237">
        <v>302</v>
      </c>
      <c r="CO47" s="237">
        <v>987</v>
      </c>
      <c r="CP47" s="237"/>
      <c r="CQ47" s="237">
        <v>2019</v>
      </c>
      <c r="CR47" s="237">
        <v>44</v>
      </c>
      <c r="CS47" s="237">
        <v>0</v>
      </c>
      <c r="CT47" s="237">
        <v>0</v>
      </c>
      <c r="CU47" s="237">
        <v>0</v>
      </c>
      <c r="CV47" s="237">
        <v>0</v>
      </c>
      <c r="CW47" s="237">
        <v>44</v>
      </c>
      <c r="DP47" s="349" t="s">
        <v>833</v>
      </c>
      <c r="DQ47" s="349">
        <v>2019</v>
      </c>
      <c r="DR47" s="349">
        <v>137</v>
      </c>
      <c r="DS47" s="349">
        <v>119</v>
      </c>
      <c r="DT47" s="349">
        <v>209</v>
      </c>
      <c r="DU47" s="349">
        <v>277</v>
      </c>
      <c r="DV47" s="349">
        <v>231</v>
      </c>
      <c r="DW47" s="349">
        <v>973</v>
      </c>
      <c r="DX47" s="349"/>
      <c r="DY47" s="349">
        <v>2019</v>
      </c>
      <c r="DZ47" s="349">
        <v>20</v>
      </c>
      <c r="EA47" s="349">
        <v>0</v>
      </c>
      <c r="EB47" s="349">
        <v>0</v>
      </c>
      <c r="EC47" s="349">
        <v>0</v>
      </c>
      <c r="ED47" s="349">
        <v>0</v>
      </c>
      <c r="EE47" s="349">
        <v>20</v>
      </c>
      <c r="EG47" s="237" t="s">
        <v>1080</v>
      </c>
      <c r="EH47" s="237">
        <v>2019</v>
      </c>
      <c r="EI47" s="237">
        <v>543</v>
      </c>
      <c r="EJ47" s="237">
        <v>779</v>
      </c>
      <c r="EK47" s="237">
        <v>952</v>
      </c>
      <c r="EL47" s="237">
        <v>1109</v>
      </c>
      <c r="EM47" s="237">
        <v>1104</v>
      </c>
      <c r="EN47" s="237">
        <v>4487</v>
      </c>
      <c r="EO47" s="237"/>
      <c r="EP47" s="237">
        <v>2019</v>
      </c>
      <c r="EQ47" s="237">
        <v>75</v>
      </c>
      <c r="ER47" s="237">
        <v>55</v>
      </c>
      <c r="ES47" s="237">
        <v>37</v>
      </c>
      <c r="ET47" s="237">
        <v>30</v>
      </c>
      <c r="EU47" s="237">
        <v>32</v>
      </c>
      <c r="EV47" s="237">
        <v>229</v>
      </c>
    </row>
    <row r="48" spans="1:169">
      <c r="A48" s="288" t="s">
        <v>747</v>
      </c>
      <c r="B48" s="288">
        <v>2018</v>
      </c>
      <c r="C48" s="288" t="s">
        <v>792</v>
      </c>
      <c r="D48" s="288" t="s">
        <v>792</v>
      </c>
      <c r="E48" s="288" t="s">
        <v>792</v>
      </c>
      <c r="F48" s="288" t="s">
        <v>792</v>
      </c>
      <c r="G48" s="288" t="s">
        <v>792</v>
      </c>
      <c r="H48" s="288" t="s">
        <v>792</v>
      </c>
      <c r="J48" s="288">
        <v>2018</v>
      </c>
      <c r="K48" s="288" t="s">
        <v>792</v>
      </c>
      <c r="L48" s="288" t="s">
        <v>792</v>
      </c>
      <c r="M48" s="288" t="s">
        <v>792</v>
      </c>
      <c r="N48" s="288" t="s">
        <v>792</v>
      </c>
      <c r="O48" s="288" t="s">
        <v>792</v>
      </c>
      <c r="P48" s="288" t="s">
        <v>792</v>
      </c>
      <c r="R48" s="289" t="s">
        <v>1261</v>
      </c>
      <c r="S48" s="289">
        <v>2019</v>
      </c>
      <c r="T48" s="289" t="s">
        <v>792</v>
      </c>
      <c r="U48" s="289" t="s">
        <v>792</v>
      </c>
      <c r="V48" s="289" t="s">
        <v>792</v>
      </c>
      <c r="W48" s="289" t="s">
        <v>792</v>
      </c>
      <c r="X48" s="289" t="s">
        <v>792</v>
      </c>
      <c r="Y48" s="289" t="s">
        <v>792</v>
      </c>
      <c r="Z48" s="289"/>
      <c r="AA48" s="289">
        <v>2019</v>
      </c>
      <c r="AB48" s="289" t="s">
        <v>792</v>
      </c>
      <c r="AC48" s="289" t="s">
        <v>792</v>
      </c>
      <c r="AD48" s="289" t="s">
        <v>792</v>
      </c>
      <c r="AE48" s="289" t="s">
        <v>792</v>
      </c>
      <c r="AF48" s="289" t="s">
        <v>792</v>
      </c>
      <c r="AG48" s="289" t="s">
        <v>792</v>
      </c>
      <c r="AI48" s="290" t="s">
        <v>439</v>
      </c>
      <c r="AJ48" s="290">
        <v>2018</v>
      </c>
      <c r="AK48" s="290">
        <v>409</v>
      </c>
      <c r="AL48" s="290">
        <v>435</v>
      </c>
      <c r="AM48" s="290">
        <v>447</v>
      </c>
      <c r="AN48" s="290">
        <v>481</v>
      </c>
      <c r="AO48" s="290">
        <v>505</v>
      </c>
      <c r="AP48" s="290">
        <v>2277</v>
      </c>
      <c r="AQ48" s="290"/>
      <c r="AR48" s="290">
        <v>2018</v>
      </c>
      <c r="AS48" s="290">
        <v>57</v>
      </c>
      <c r="AT48" s="290">
        <v>21</v>
      </c>
      <c r="AU48" s="290">
        <v>9</v>
      </c>
      <c r="AV48" s="290">
        <v>11</v>
      </c>
      <c r="AW48" s="290">
        <v>25</v>
      </c>
      <c r="AX48" s="290">
        <v>123</v>
      </c>
      <c r="AZ48" s="300" t="s">
        <v>123</v>
      </c>
      <c r="BA48" s="300">
        <v>2018</v>
      </c>
      <c r="BB48" s="300">
        <v>111</v>
      </c>
      <c r="BC48" s="300">
        <v>63</v>
      </c>
      <c r="BD48" s="300">
        <v>126</v>
      </c>
      <c r="BE48" s="300">
        <v>224</v>
      </c>
      <c r="BF48" s="300">
        <v>192</v>
      </c>
      <c r="BG48" s="300">
        <v>716</v>
      </c>
      <c r="BH48" s="300"/>
      <c r="BI48" s="300">
        <v>2018</v>
      </c>
      <c r="BJ48" s="300">
        <v>29</v>
      </c>
      <c r="BK48" s="300">
        <v>0</v>
      </c>
      <c r="BL48" s="300">
        <v>0</v>
      </c>
      <c r="BM48" s="300">
        <v>0</v>
      </c>
      <c r="BN48" s="300">
        <v>0</v>
      </c>
      <c r="BO48" s="300">
        <v>29</v>
      </c>
      <c r="BQ48" s="309" t="s">
        <v>611</v>
      </c>
      <c r="BR48" s="309">
        <v>2019</v>
      </c>
      <c r="BS48" s="309">
        <v>88</v>
      </c>
      <c r="BT48" s="309">
        <v>66</v>
      </c>
      <c r="BU48" s="309">
        <v>169</v>
      </c>
      <c r="BV48" s="309">
        <v>238</v>
      </c>
      <c r="BW48" s="309">
        <v>204</v>
      </c>
      <c r="BX48" s="309">
        <v>765</v>
      </c>
      <c r="BY48" s="309"/>
      <c r="BZ48" s="309">
        <v>2019</v>
      </c>
      <c r="CA48" s="309">
        <v>23</v>
      </c>
      <c r="CB48" s="309">
        <v>0</v>
      </c>
      <c r="CC48" s="309">
        <v>0</v>
      </c>
      <c r="CD48" s="309">
        <v>0</v>
      </c>
      <c r="CE48" s="309">
        <v>0</v>
      </c>
      <c r="CF48" s="309">
        <v>23</v>
      </c>
      <c r="CH48" s="237" t="s">
        <v>210</v>
      </c>
      <c r="CI48" s="237">
        <v>2019</v>
      </c>
      <c r="CJ48" s="237">
        <v>37</v>
      </c>
      <c r="CK48" s="237">
        <v>45</v>
      </c>
      <c r="CL48" s="237">
        <v>93</v>
      </c>
      <c r="CM48" s="237">
        <v>136</v>
      </c>
      <c r="CN48" s="237">
        <v>174</v>
      </c>
      <c r="CO48" s="237">
        <v>485</v>
      </c>
      <c r="CP48" s="237"/>
      <c r="CQ48" s="237">
        <v>2019</v>
      </c>
      <c r="CR48" s="237">
        <v>7</v>
      </c>
      <c r="CS48" s="237">
        <v>0</v>
      </c>
      <c r="CT48" s="237">
        <v>0</v>
      </c>
      <c r="CU48" s="237">
        <v>0</v>
      </c>
      <c r="CV48" s="237">
        <v>0</v>
      </c>
      <c r="CW48" s="237">
        <v>7</v>
      </c>
      <c r="DP48" s="349" t="s">
        <v>835</v>
      </c>
      <c r="DQ48" s="349">
        <v>2019</v>
      </c>
      <c r="DR48" s="349">
        <v>2837</v>
      </c>
      <c r="DS48" s="349">
        <v>1171</v>
      </c>
      <c r="DT48" s="349">
        <v>1044</v>
      </c>
      <c r="DU48" s="349">
        <v>1022</v>
      </c>
      <c r="DV48" s="349">
        <v>1266</v>
      </c>
      <c r="DW48" s="349">
        <v>7340</v>
      </c>
      <c r="DX48" s="349"/>
      <c r="DY48" s="349">
        <v>2019</v>
      </c>
      <c r="DZ48" s="349">
        <v>351</v>
      </c>
      <c r="EA48" s="349">
        <v>0</v>
      </c>
      <c r="EB48" s="349">
        <v>0</v>
      </c>
      <c r="EC48" s="349">
        <v>0</v>
      </c>
      <c r="ED48" s="349">
        <v>0</v>
      </c>
      <c r="EE48" s="349">
        <v>351</v>
      </c>
      <c r="EG48" s="237" t="s">
        <v>1083</v>
      </c>
      <c r="EH48" s="237">
        <v>2019</v>
      </c>
      <c r="EI48" s="237" t="s">
        <v>792</v>
      </c>
      <c r="EJ48" s="237" t="s">
        <v>792</v>
      </c>
      <c r="EK48" s="237" t="s">
        <v>792</v>
      </c>
      <c r="EL48" s="237" t="s">
        <v>792</v>
      </c>
      <c r="EM48" s="237" t="s">
        <v>792</v>
      </c>
      <c r="EN48" s="237" t="s">
        <v>792</v>
      </c>
      <c r="EO48" s="237"/>
      <c r="EP48" s="237">
        <v>2019</v>
      </c>
      <c r="EQ48" s="237" t="s">
        <v>792</v>
      </c>
      <c r="ER48" s="237" t="s">
        <v>792</v>
      </c>
      <c r="ES48" s="237" t="s">
        <v>792</v>
      </c>
      <c r="ET48" s="237" t="s">
        <v>792</v>
      </c>
      <c r="EU48" s="237" t="s">
        <v>792</v>
      </c>
      <c r="EV48" s="237" t="s">
        <v>792</v>
      </c>
      <c r="EX48" s="309" t="s">
        <v>1164</v>
      </c>
      <c r="EY48" s="309">
        <v>2019</v>
      </c>
      <c r="EZ48" s="309">
        <v>1982</v>
      </c>
      <c r="FA48" s="309">
        <v>1159</v>
      </c>
      <c r="FB48" s="309">
        <v>928</v>
      </c>
      <c r="FC48" s="309">
        <v>864</v>
      </c>
      <c r="FD48" s="309">
        <v>947</v>
      </c>
      <c r="FE48" s="309">
        <v>5880</v>
      </c>
      <c r="FF48" s="309"/>
      <c r="FG48" s="309">
        <v>2019</v>
      </c>
      <c r="FH48" s="309">
        <v>450</v>
      </c>
      <c r="FI48" s="309">
        <v>0</v>
      </c>
      <c r="FJ48" s="309">
        <v>0</v>
      </c>
      <c r="FK48" s="309">
        <v>0</v>
      </c>
      <c r="FL48" s="309">
        <v>0</v>
      </c>
      <c r="FM48" s="309">
        <v>450</v>
      </c>
    </row>
    <row r="49" spans="1:169">
      <c r="A49" s="288" t="s">
        <v>749</v>
      </c>
      <c r="B49" s="288">
        <v>2018</v>
      </c>
      <c r="C49" s="288" t="s">
        <v>792</v>
      </c>
      <c r="D49" s="288" t="s">
        <v>792</v>
      </c>
      <c r="E49" s="288" t="s">
        <v>792</v>
      </c>
      <c r="F49" s="288" t="s">
        <v>792</v>
      </c>
      <c r="G49" s="288" t="s">
        <v>792</v>
      </c>
      <c r="H49" s="288" t="s">
        <v>792</v>
      </c>
      <c r="J49" s="288">
        <v>2018</v>
      </c>
      <c r="K49" s="288" t="s">
        <v>792</v>
      </c>
      <c r="L49" s="288" t="s">
        <v>792</v>
      </c>
      <c r="M49" s="288" t="s">
        <v>792</v>
      </c>
      <c r="N49" s="288" t="s">
        <v>792</v>
      </c>
      <c r="O49" s="288" t="s">
        <v>792</v>
      </c>
      <c r="P49" s="288" t="s">
        <v>792</v>
      </c>
      <c r="R49" s="289" t="s">
        <v>1262</v>
      </c>
      <c r="S49" s="289">
        <v>2019</v>
      </c>
      <c r="T49" s="289" t="s">
        <v>792</v>
      </c>
      <c r="U49" s="289" t="s">
        <v>792</v>
      </c>
      <c r="V49" s="289" t="s">
        <v>792</v>
      </c>
      <c r="W49" s="289" t="s">
        <v>792</v>
      </c>
      <c r="X49" s="289" t="s">
        <v>792</v>
      </c>
      <c r="Y49" s="289" t="s">
        <v>792</v>
      </c>
      <c r="Z49" s="289"/>
      <c r="AA49" s="289">
        <v>2019</v>
      </c>
      <c r="AB49" s="289" t="s">
        <v>792</v>
      </c>
      <c r="AC49" s="289" t="s">
        <v>792</v>
      </c>
      <c r="AD49" s="289" t="s">
        <v>792</v>
      </c>
      <c r="AE49" s="289" t="s">
        <v>792</v>
      </c>
      <c r="AF49" s="289" t="s">
        <v>792</v>
      </c>
      <c r="AG49" s="289" t="s">
        <v>792</v>
      </c>
      <c r="AI49" s="290" t="s">
        <v>440</v>
      </c>
      <c r="AJ49" s="290">
        <v>2018</v>
      </c>
      <c r="AK49" s="290">
        <v>866</v>
      </c>
      <c r="AL49" s="290">
        <v>942</v>
      </c>
      <c r="AM49" s="290">
        <v>717</v>
      </c>
      <c r="AN49" s="290">
        <v>684</v>
      </c>
      <c r="AO49" s="290">
        <v>785</v>
      </c>
      <c r="AP49" s="290">
        <v>3994</v>
      </c>
      <c r="AQ49" s="290"/>
      <c r="AR49" s="290">
        <v>2018</v>
      </c>
      <c r="AS49" s="290">
        <v>68</v>
      </c>
      <c r="AT49" s="290">
        <v>22</v>
      </c>
      <c r="AU49" s="290">
        <v>3</v>
      </c>
      <c r="AV49" s="290">
        <v>5</v>
      </c>
      <c r="AW49" s="290">
        <v>8</v>
      </c>
      <c r="AX49" s="290">
        <v>106</v>
      </c>
      <c r="AZ49" s="300" t="s">
        <v>125</v>
      </c>
      <c r="BA49" s="300">
        <v>2018</v>
      </c>
      <c r="BB49" s="300">
        <v>474</v>
      </c>
      <c r="BC49" s="300">
        <v>483</v>
      </c>
      <c r="BD49" s="300">
        <v>998</v>
      </c>
      <c r="BE49" s="300">
        <v>1505</v>
      </c>
      <c r="BF49" s="300">
        <v>1343</v>
      </c>
      <c r="BG49" s="300">
        <v>4803</v>
      </c>
      <c r="BH49" s="300"/>
      <c r="BI49" s="300">
        <v>2018</v>
      </c>
      <c r="BJ49" s="300">
        <v>83</v>
      </c>
      <c r="BK49" s="300">
        <v>0</v>
      </c>
      <c r="BL49" s="300">
        <v>0</v>
      </c>
      <c r="BM49" s="300">
        <v>0</v>
      </c>
      <c r="BN49" s="300">
        <v>0</v>
      </c>
      <c r="BO49" s="300">
        <v>83</v>
      </c>
      <c r="BQ49" s="309" t="s">
        <v>614</v>
      </c>
      <c r="BR49" s="309">
        <v>2019</v>
      </c>
      <c r="BS49" s="309">
        <v>48</v>
      </c>
      <c r="BT49" s="309">
        <v>47</v>
      </c>
      <c r="BU49" s="309">
        <v>127</v>
      </c>
      <c r="BV49" s="309">
        <v>203</v>
      </c>
      <c r="BW49" s="309">
        <v>217</v>
      </c>
      <c r="BX49" s="309">
        <v>642</v>
      </c>
      <c r="BY49" s="309"/>
      <c r="BZ49" s="309">
        <v>2019</v>
      </c>
      <c r="CA49" s="309">
        <v>13</v>
      </c>
      <c r="CB49" s="309">
        <v>0</v>
      </c>
      <c r="CC49" s="309">
        <v>0</v>
      </c>
      <c r="CD49" s="309">
        <v>0</v>
      </c>
      <c r="CE49" s="309">
        <v>0</v>
      </c>
      <c r="CF49" s="309">
        <v>13</v>
      </c>
      <c r="CH49" s="237" t="s">
        <v>212</v>
      </c>
      <c r="CI49" s="237">
        <v>2019</v>
      </c>
      <c r="CJ49" s="237">
        <v>119</v>
      </c>
      <c r="CK49" s="237">
        <v>78</v>
      </c>
      <c r="CL49" s="237">
        <v>155</v>
      </c>
      <c r="CM49" s="237">
        <v>259</v>
      </c>
      <c r="CN49" s="237">
        <v>280</v>
      </c>
      <c r="CO49" s="237">
        <v>891</v>
      </c>
      <c r="CP49" s="237"/>
      <c r="CQ49" s="237">
        <v>2019</v>
      </c>
      <c r="CR49" s="237">
        <v>21</v>
      </c>
      <c r="CS49" s="237">
        <v>0</v>
      </c>
      <c r="CT49" s="237">
        <v>0</v>
      </c>
      <c r="CU49" s="237">
        <v>0</v>
      </c>
      <c r="CV49" s="237">
        <v>0</v>
      </c>
      <c r="CW49" s="237">
        <v>21</v>
      </c>
      <c r="EG49" s="237" t="s">
        <v>1086</v>
      </c>
      <c r="EH49" s="237">
        <v>2019</v>
      </c>
      <c r="EI49" s="237">
        <v>176</v>
      </c>
      <c r="EJ49" s="237">
        <v>265</v>
      </c>
      <c r="EK49" s="237">
        <v>359</v>
      </c>
      <c r="EL49" s="237">
        <v>394</v>
      </c>
      <c r="EM49" s="237">
        <v>524</v>
      </c>
      <c r="EN49" s="237">
        <v>1718</v>
      </c>
      <c r="EO49" s="237"/>
      <c r="EP49" s="237">
        <v>2019</v>
      </c>
      <c r="EQ49" s="237">
        <v>50</v>
      </c>
      <c r="ER49" s="237">
        <v>29</v>
      </c>
      <c r="ES49" s="237">
        <v>29</v>
      </c>
      <c r="ET49" s="237">
        <v>14</v>
      </c>
      <c r="EU49" s="237">
        <v>18</v>
      </c>
      <c r="EV49" s="237">
        <v>140</v>
      </c>
      <c r="EX49" s="309" t="s">
        <v>1165</v>
      </c>
      <c r="EY49" s="309">
        <v>2019</v>
      </c>
      <c r="EZ49" s="309">
        <v>167</v>
      </c>
      <c r="FA49" s="309">
        <v>238</v>
      </c>
      <c r="FB49" s="309">
        <v>349</v>
      </c>
      <c r="FC49" s="309">
        <v>421</v>
      </c>
      <c r="FD49" s="309">
        <v>507</v>
      </c>
      <c r="FE49" s="309">
        <v>1682</v>
      </c>
      <c r="FF49" s="309"/>
      <c r="FG49" s="309">
        <v>2019</v>
      </c>
      <c r="FH49" s="309">
        <v>13</v>
      </c>
      <c r="FI49" s="309">
        <v>4</v>
      </c>
      <c r="FJ49" s="309">
        <v>4</v>
      </c>
      <c r="FK49" s="309">
        <v>5</v>
      </c>
      <c r="FL49" s="309">
        <v>4</v>
      </c>
      <c r="FM49" s="309">
        <v>30</v>
      </c>
    </row>
    <row r="50" spans="1:169">
      <c r="A50" s="288" t="s">
        <v>752</v>
      </c>
      <c r="B50" s="288">
        <v>2018</v>
      </c>
      <c r="C50" s="288" t="s">
        <v>792</v>
      </c>
      <c r="D50" s="288" t="s">
        <v>792</v>
      </c>
      <c r="E50" s="288" t="s">
        <v>792</v>
      </c>
      <c r="F50" s="288" t="s">
        <v>792</v>
      </c>
      <c r="G50" s="288" t="s">
        <v>792</v>
      </c>
      <c r="H50" s="288" t="s">
        <v>792</v>
      </c>
      <c r="J50" s="288">
        <v>2018</v>
      </c>
      <c r="K50" s="288" t="s">
        <v>792</v>
      </c>
      <c r="L50" s="288" t="s">
        <v>792</v>
      </c>
      <c r="M50" s="288" t="s">
        <v>792</v>
      </c>
      <c r="N50" s="288" t="s">
        <v>792</v>
      </c>
      <c r="O50" s="288" t="s">
        <v>792</v>
      </c>
      <c r="P50" s="288" t="s">
        <v>792</v>
      </c>
      <c r="R50" s="289" t="s">
        <v>908</v>
      </c>
      <c r="S50" s="289">
        <v>2019</v>
      </c>
      <c r="T50" s="289">
        <v>267</v>
      </c>
      <c r="U50" s="289">
        <v>179</v>
      </c>
      <c r="V50" s="289">
        <v>331</v>
      </c>
      <c r="W50" s="289">
        <v>505</v>
      </c>
      <c r="X50" s="289">
        <v>410</v>
      </c>
      <c r="Y50" s="289">
        <v>1692</v>
      </c>
      <c r="Z50" s="289"/>
      <c r="AA50" s="289">
        <v>2019</v>
      </c>
      <c r="AB50" s="289">
        <v>26</v>
      </c>
      <c r="AC50" s="289">
        <v>0</v>
      </c>
      <c r="AD50" s="289">
        <v>0</v>
      </c>
      <c r="AE50" s="289">
        <v>0</v>
      </c>
      <c r="AF50" s="289">
        <v>0</v>
      </c>
      <c r="AG50" s="289">
        <v>26</v>
      </c>
      <c r="AI50" s="290" t="s">
        <v>441</v>
      </c>
      <c r="AJ50" s="290">
        <v>2018</v>
      </c>
      <c r="AK50" s="290">
        <v>744</v>
      </c>
      <c r="AL50" s="290">
        <v>1033</v>
      </c>
      <c r="AM50" s="290">
        <v>740</v>
      </c>
      <c r="AN50" s="290">
        <v>742</v>
      </c>
      <c r="AO50" s="290">
        <v>864</v>
      </c>
      <c r="AP50" s="290">
        <v>4123</v>
      </c>
      <c r="AQ50" s="290"/>
      <c r="AR50" s="290">
        <v>2018</v>
      </c>
      <c r="AS50" s="290">
        <v>53</v>
      </c>
      <c r="AT50" s="290">
        <v>12</v>
      </c>
      <c r="AU50" s="290">
        <v>5</v>
      </c>
      <c r="AV50" s="290">
        <v>8</v>
      </c>
      <c r="AW50" s="290">
        <v>18</v>
      </c>
      <c r="AX50" s="290">
        <v>96</v>
      </c>
      <c r="AZ50" s="300" t="s">
        <v>127</v>
      </c>
      <c r="BA50" s="300">
        <v>2018</v>
      </c>
      <c r="BB50" s="300">
        <v>86</v>
      </c>
      <c r="BC50" s="300">
        <v>81</v>
      </c>
      <c r="BD50" s="300">
        <v>169</v>
      </c>
      <c r="BE50" s="300">
        <v>256</v>
      </c>
      <c r="BF50" s="300">
        <v>279</v>
      </c>
      <c r="BG50" s="300">
        <v>871</v>
      </c>
      <c r="BH50" s="300"/>
      <c r="BI50" s="300">
        <v>2018</v>
      </c>
      <c r="BJ50" s="300">
        <v>24</v>
      </c>
      <c r="BK50" s="300">
        <v>0</v>
      </c>
      <c r="BL50" s="300">
        <v>0</v>
      </c>
      <c r="BM50" s="300">
        <v>0</v>
      </c>
      <c r="BN50" s="300">
        <v>0</v>
      </c>
      <c r="BO50" s="300">
        <v>24</v>
      </c>
      <c r="BQ50" s="309" t="s">
        <v>617</v>
      </c>
      <c r="BR50" s="309">
        <v>2019</v>
      </c>
      <c r="BS50" s="309">
        <v>50</v>
      </c>
      <c r="BT50" s="309">
        <v>66</v>
      </c>
      <c r="BU50" s="309">
        <v>122</v>
      </c>
      <c r="BV50" s="309">
        <v>184</v>
      </c>
      <c r="BW50" s="309">
        <v>183</v>
      </c>
      <c r="BX50" s="309">
        <v>605</v>
      </c>
      <c r="BY50" s="309"/>
      <c r="BZ50" s="309">
        <v>2019</v>
      </c>
      <c r="CA50" s="309">
        <v>12</v>
      </c>
      <c r="CB50" s="309">
        <v>0</v>
      </c>
      <c r="CC50" s="309">
        <v>0</v>
      </c>
      <c r="CD50" s="309">
        <v>0</v>
      </c>
      <c r="CE50" s="309">
        <v>0</v>
      </c>
      <c r="CF50" s="309">
        <v>12</v>
      </c>
      <c r="CH50" s="237" t="s">
        <v>214</v>
      </c>
      <c r="CI50" s="237">
        <v>2019</v>
      </c>
      <c r="CJ50" s="237">
        <v>1643</v>
      </c>
      <c r="CK50" s="237">
        <v>661</v>
      </c>
      <c r="CL50" s="237">
        <v>795</v>
      </c>
      <c r="CM50" s="237">
        <v>945</v>
      </c>
      <c r="CN50" s="237">
        <v>859</v>
      </c>
      <c r="CO50" s="237">
        <v>4903</v>
      </c>
      <c r="CP50" s="237"/>
      <c r="CQ50" s="237">
        <v>2019</v>
      </c>
      <c r="CR50" s="237">
        <v>314</v>
      </c>
      <c r="CS50" s="237">
        <v>0</v>
      </c>
      <c r="CT50" s="237">
        <v>0</v>
      </c>
      <c r="CU50" s="237">
        <v>0</v>
      </c>
      <c r="CV50" s="237">
        <v>0</v>
      </c>
      <c r="CW50" s="237">
        <v>314</v>
      </c>
      <c r="DP50" s="349" t="s">
        <v>793</v>
      </c>
      <c r="DQ50" s="349">
        <v>2020</v>
      </c>
      <c r="DR50" s="349">
        <v>619</v>
      </c>
      <c r="DS50" s="349">
        <v>517</v>
      </c>
      <c r="DT50" s="349">
        <v>565</v>
      </c>
      <c r="DU50" s="349">
        <v>618</v>
      </c>
      <c r="DV50" s="349">
        <v>471</v>
      </c>
      <c r="DW50" s="349">
        <v>2790</v>
      </c>
      <c r="DX50" s="349"/>
      <c r="DY50" s="349">
        <v>2020</v>
      </c>
      <c r="DZ50" s="349">
        <v>58</v>
      </c>
      <c r="EA50" s="349">
        <v>3</v>
      </c>
      <c r="EB50" s="349">
        <v>0</v>
      </c>
      <c r="EC50" s="349">
        <v>0</v>
      </c>
      <c r="ED50" s="349">
        <v>0</v>
      </c>
      <c r="EE50" s="349">
        <v>61</v>
      </c>
      <c r="EG50" s="237" t="s">
        <v>1089</v>
      </c>
      <c r="EH50" s="237">
        <v>2019</v>
      </c>
      <c r="EI50" s="237">
        <v>69</v>
      </c>
      <c r="EJ50" s="237">
        <v>160</v>
      </c>
      <c r="EK50" s="237">
        <v>207</v>
      </c>
      <c r="EL50" s="237">
        <v>254</v>
      </c>
      <c r="EM50" s="237">
        <v>362</v>
      </c>
      <c r="EN50" s="237">
        <v>1052</v>
      </c>
      <c r="EO50" s="237"/>
      <c r="EP50" s="237">
        <v>2019</v>
      </c>
      <c r="EQ50" s="237">
        <v>5</v>
      </c>
      <c r="ER50" s="237">
        <v>6</v>
      </c>
      <c r="ES50" s="237">
        <v>2</v>
      </c>
      <c r="ET50" s="237">
        <v>1</v>
      </c>
      <c r="EU50" s="237">
        <v>5</v>
      </c>
      <c r="EV50" s="237">
        <v>19</v>
      </c>
      <c r="EX50" s="309" t="s">
        <v>1313</v>
      </c>
      <c r="EY50" s="309">
        <v>2019</v>
      </c>
      <c r="EZ50" s="309" t="s">
        <v>792</v>
      </c>
      <c r="FA50" s="309" t="s">
        <v>792</v>
      </c>
      <c r="FB50" s="309" t="s">
        <v>792</v>
      </c>
      <c r="FC50" s="309" t="s">
        <v>792</v>
      </c>
      <c r="FD50" s="309" t="s">
        <v>792</v>
      </c>
      <c r="FE50" s="309" t="s">
        <v>792</v>
      </c>
      <c r="FF50" s="309"/>
      <c r="FG50" s="309">
        <v>2019</v>
      </c>
      <c r="FH50" s="309" t="s">
        <v>792</v>
      </c>
      <c r="FI50" s="309" t="s">
        <v>792</v>
      </c>
      <c r="FJ50" s="309" t="s">
        <v>792</v>
      </c>
      <c r="FK50" s="309" t="s">
        <v>792</v>
      </c>
      <c r="FL50" s="309" t="s">
        <v>792</v>
      </c>
      <c r="FM50" s="309" t="s">
        <v>792</v>
      </c>
    </row>
    <row r="51" spans="1:169">
      <c r="A51" s="288" t="s">
        <v>755</v>
      </c>
      <c r="B51" s="288">
        <v>2018</v>
      </c>
      <c r="C51" s="288" t="s">
        <v>792</v>
      </c>
      <c r="D51" s="288" t="s">
        <v>792</v>
      </c>
      <c r="E51" s="288" t="s">
        <v>792</v>
      </c>
      <c r="F51" s="288" t="s">
        <v>792</v>
      </c>
      <c r="G51" s="288" t="s">
        <v>792</v>
      </c>
      <c r="H51" s="288" t="s">
        <v>792</v>
      </c>
      <c r="J51" s="288">
        <v>2018</v>
      </c>
      <c r="K51" s="288" t="s">
        <v>792</v>
      </c>
      <c r="L51" s="288" t="s">
        <v>792</v>
      </c>
      <c r="M51" s="288" t="s">
        <v>792</v>
      </c>
      <c r="N51" s="288" t="s">
        <v>792</v>
      </c>
      <c r="O51" s="288" t="s">
        <v>792</v>
      </c>
      <c r="P51" s="288" t="s">
        <v>792</v>
      </c>
      <c r="R51" s="289" t="s">
        <v>909</v>
      </c>
      <c r="S51" s="289">
        <v>2019</v>
      </c>
      <c r="T51" s="289">
        <v>197</v>
      </c>
      <c r="U51" s="289">
        <v>249</v>
      </c>
      <c r="V51" s="289">
        <v>427</v>
      </c>
      <c r="W51" s="289">
        <v>611</v>
      </c>
      <c r="X51" s="289">
        <v>434</v>
      </c>
      <c r="Y51" s="289">
        <v>1918</v>
      </c>
      <c r="Z51" s="289"/>
      <c r="AA51" s="289">
        <v>2019</v>
      </c>
      <c r="AB51" s="289">
        <v>18</v>
      </c>
      <c r="AC51" s="289">
        <v>2</v>
      </c>
      <c r="AD51" s="289">
        <v>0</v>
      </c>
      <c r="AE51" s="289">
        <v>0</v>
      </c>
      <c r="AF51" s="289">
        <v>0</v>
      </c>
      <c r="AG51" s="289">
        <v>20</v>
      </c>
      <c r="AI51" s="290" t="s">
        <v>442</v>
      </c>
      <c r="AJ51" s="290">
        <v>2018</v>
      </c>
      <c r="AK51" s="290">
        <v>601</v>
      </c>
      <c r="AL51" s="290">
        <v>464</v>
      </c>
      <c r="AM51" s="290">
        <v>580</v>
      </c>
      <c r="AN51" s="290">
        <v>549</v>
      </c>
      <c r="AO51" s="290">
        <v>757</v>
      </c>
      <c r="AP51" s="290">
        <v>2951</v>
      </c>
      <c r="AQ51" s="290"/>
      <c r="AR51" s="290">
        <v>2018</v>
      </c>
      <c r="AS51" s="290">
        <v>63</v>
      </c>
      <c r="AT51" s="290">
        <v>12</v>
      </c>
      <c r="AU51" s="290">
        <v>11</v>
      </c>
      <c r="AV51" s="290">
        <v>4</v>
      </c>
      <c r="AW51" s="290">
        <v>16</v>
      </c>
      <c r="AX51" s="290">
        <v>106</v>
      </c>
      <c r="AZ51" s="300" t="s">
        <v>129</v>
      </c>
      <c r="BA51" s="300">
        <v>2018</v>
      </c>
      <c r="BB51" s="300">
        <v>505</v>
      </c>
      <c r="BC51" s="300">
        <v>363</v>
      </c>
      <c r="BD51" s="300">
        <v>530</v>
      </c>
      <c r="BE51" s="300">
        <v>738</v>
      </c>
      <c r="BF51" s="300">
        <v>691</v>
      </c>
      <c r="BG51" s="300">
        <v>2827</v>
      </c>
      <c r="BH51" s="300"/>
      <c r="BI51" s="300">
        <v>2018</v>
      </c>
      <c r="BJ51" s="300">
        <v>63</v>
      </c>
      <c r="BK51" s="300">
        <v>0</v>
      </c>
      <c r="BL51" s="300">
        <v>0</v>
      </c>
      <c r="BM51" s="300">
        <v>0</v>
      </c>
      <c r="BN51" s="300">
        <v>0</v>
      </c>
      <c r="BO51" s="300">
        <v>63</v>
      </c>
      <c r="BQ51" s="309" t="s">
        <v>619</v>
      </c>
      <c r="BR51" s="309">
        <v>2019</v>
      </c>
      <c r="BS51" s="309">
        <v>99</v>
      </c>
      <c r="BT51" s="309">
        <v>60</v>
      </c>
      <c r="BU51" s="309">
        <v>111</v>
      </c>
      <c r="BV51" s="309">
        <v>179</v>
      </c>
      <c r="BW51" s="309">
        <v>176</v>
      </c>
      <c r="BX51" s="309">
        <v>625</v>
      </c>
      <c r="BY51" s="309"/>
      <c r="BZ51" s="309">
        <v>2019</v>
      </c>
      <c r="CA51" s="309">
        <v>18</v>
      </c>
      <c r="CB51" s="309">
        <v>0</v>
      </c>
      <c r="CC51" s="309">
        <v>0</v>
      </c>
      <c r="CD51" s="309">
        <v>0</v>
      </c>
      <c r="CE51" s="309">
        <v>0</v>
      </c>
      <c r="CF51" s="309">
        <v>18</v>
      </c>
      <c r="CH51" s="237" t="s">
        <v>257</v>
      </c>
      <c r="CI51" s="237">
        <v>2019</v>
      </c>
      <c r="CJ51" s="237">
        <v>489</v>
      </c>
      <c r="CK51" s="237">
        <v>320</v>
      </c>
      <c r="CL51" s="237">
        <v>375</v>
      </c>
      <c r="CM51" s="237">
        <v>442</v>
      </c>
      <c r="CN51" s="237">
        <v>430</v>
      </c>
      <c r="CO51" s="237">
        <v>2056</v>
      </c>
      <c r="CP51" s="237"/>
      <c r="CQ51" s="237">
        <v>2019</v>
      </c>
      <c r="CR51" s="237">
        <v>93</v>
      </c>
      <c r="CS51" s="237">
        <v>0</v>
      </c>
      <c r="CT51" s="237">
        <v>0</v>
      </c>
      <c r="CU51" s="237">
        <v>0</v>
      </c>
      <c r="CV51" s="237">
        <v>0</v>
      </c>
      <c r="CW51" s="237">
        <v>93</v>
      </c>
      <c r="DP51" s="349" t="s">
        <v>795</v>
      </c>
      <c r="DQ51" s="349">
        <v>2020</v>
      </c>
      <c r="DR51" s="349">
        <v>260</v>
      </c>
      <c r="DS51" s="349">
        <v>317</v>
      </c>
      <c r="DT51" s="349">
        <v>369</v>
      </c>
      <c r="DU51" s="349">
        <v>372</v>
      </c>
      <c r="DV51" s="349">
        <v>305</v>
      </c>
      <c r="DW51" s="349">
        <v>1623</v>
      </c>
      <c r="DX51" s="349"/>
      <c r="DY51" s="349">
        <v>2020</v>
      </c>
      <c r="DZ51" s="349">
        <v>20</v>
      </c>
      <c r="EA51" s="349">
        <v>0</v>
      </c>
      <c r="EB51" s="349">
        <v>0</v>
      </c>
      <c r="EC51" s="349">
        <v>0</v>
      </c>
      <c r="ED51" s="349">
        <v>0</v>
      </c>
      <c r="EE51" s="349">
        <v>20</v>
      </c>
      <c r="EG51" s="237" t="s">
        <v>1092</v>
      </c>
      <c r="EH51" s="237">
        <v>2019</v>
      </c>
      <c r="EI51" s="237">
        <v>448</v>
      </c>
      <c r="EJ51" s="237">
        <v>596</v>
      </c>
      <c r="EK51" s="237">
        <v>705</v>
      </c>
      <c r="EL51" s="237">
        <v>813</v>
      </c>
      <c r="EM51" s="237">
        <v>997</v>
      </c>
      <c r="EN51" s="237">
        <v>3559</v>
      </c>
      <c r="EO51" s="237"/>
      <c r="EP51" s="237">
        <v>2019</v>
      </c>
      <c r="EQ51" s="237">
        <v>74</v>
      </c>
      <c r="ER51" s="237">
        <v>30</v>
      </c>
      <c r="ES51" s="237">
        <v>24</v>
      </c>
      <c r="ET51" s="237">
        <v>25</v>
      </c>
      <c r="EU51" s="237">
        <v>33</v>
      </c>
      <c r="EV51" s="237">
        <v>186</v>
      </c>
      <c r="EX51" s="309" t="s">
        <v>1315</v>
      </c>
      <c r="EY51" s="309">
        <v>2019</v>
      </c>
      <c r="EZ51" s="309" t="s">
        <v>792</v>
      </c>
      <c r="FA51" s="309" t="s">
        <v>792</v>
      </c>
      <c r="FB51" s="309" t="s">
        <v>792</v>
      </c>
      <c r="FC51" s="309" t="s">
        <v>792</v>
      </c>
      <c r="FD51" s="309" t="s">
        <v>792</v>
      </c>
      <c r="FE51" s="309" t="s">
        <v>792</v>
      </c>
      <c r="FF51" s="309"/>
      <c r="FG51" s="309">
        <v>2019</v>
      </c>
      <c r="FH51" s="309" t="s">
        <v>792</v>
      </c>
      <c r="FI51" s="309" t="s">
        <v>792</v>
      </c>
      <c r="FJ51" s="309" t="s">
        <v>792</v>
      </c>
      <c r="FK51" s="309" t="s">
        <v>792</v>
      </c>
      <c r="FL51" s="309" t="s">
        <v>792</v>
      </c>
      <c r="FM51" s="309" t="s">
        <v>792</v>
      </c>
    </row>
    <row r="52" spans="1:169">
      <c r="A52" s="181"/>
      <c r="B52" s="181"/>
      <c r="C52" s="181"/>
      <c r="D52" s="181"/>
      <c r="E52" s="181"/>
      <c r="F52" s="181"/>
      <c r="G52" s="181"/>
      <c r="H52" s="181"/>
      <c r="I52" s="181"/>
      <c r="J52" s="181"/>
      <c r="K52" s="181"/>
      <c r="L52" s="181"/>
      <c r="M52" s="181"/>
      <c r="N52" s="181"/>
      <c r="O52" s="181"/>
      <c r="P52" s="181"/>
      <c r="R52" s="289" t="s">
        <v>910</v>
      </c>
      <c r="S52" s="289">
        <v>2019</v>
      </c>
      <c r="T52" s="289">
        <v>1500</v>
      </c>
      <c r="U52" s="289">
        <v>1409</v>
      </c>
      <c r="V52" s="289">
        <v>1373</v>
      </c>
      <c r="W52" s="289">
        <v>1382</v>
      </c>
      <c r="X52" s="289">
        <v>1011</v>
      </c>
      <c r="Y52" s="289">
        <v>6675</v>
      </c>
      <c r="Z52" s="289"/>
      <c r="AA52" s="289">
        <v>2019</v>
      </c>
      <c r="AB52" s="289">
        <v>143</v>
      </c>
      <c r="AC52" s="289">
        <v>40</v>
      </c>
      <c r="AD52" s="289">
        <v>7</v>
      </c>
      <c r="AE52" s="289">
        <v>0</v>
      </c>
      <c r="AF52" s="289">
        <v>0</v>
      </c>
      <c r="AG52" s="289">
        <v>190</v>
      </c>
      <c r="AI52" s="290" t="s">
        <v>443</v>
      </c>
      <c r="AJ52" s="290">
        <v>2018</v>
      </c>
      <c r="AK52" s="290">
        <v>1021</v>
      </c>
      <c r="AL52" s="290">
        <v>956</v>
      </c>
      <c r="AM52" s="290">
        <v>850</v>
      </c>
      <c r="AN52" s="290">
        <v>809</v>
      </c>
      <c r="AO52" s="290">
        <v>1126</v>
      </c>
      <c r="AP52" s="290">
        <v>4762</v>
      </c>
      <c r="AQ52" s="290"/>
      <c r="AR52" s="290">
        <v>2018</v>
      </c>
      <c r="AS52" s="290">
        <v>82</v>
      </c>
      <c r="AT52" s="290">
        <v>4</v>
      </c>
      <c r="AU52" s="290">
        <v>3</v>
      </c>
      <c r="AV52" s="290">
        <v>1</v>
      </c>
      <c r="AW52" s="290">
        <v>9</v>
      </c>
      <c r="AX52" s="290">
        <v>99</v>
      </c>
      <c r="AZ52" s="300" t="s">
        <v>130</v>
      </c>
      <c r="BA52" s="300">
        <v>2018</v>
      </c>
      <c r="BB52" s="300">
        <v>192</v>
      </c>
      <c r="BC52" s="300">
        <v>190</v>
      </c>
      <c r="BD52" s="300">
        <v>350</v>
      </c>
      <c r="BE52" s="300">
        <v>470</v>
      </c>
      <c r="BF52" s="300">
        <v>443</v>
      </c>
      <c r="BG52" s="300">
        <v>1645</v>
      </c>
      <c r="BH52" s="300"/>
      <c r="BI52" s="300">
        <v>2018</v>
      </c>
      <c r="BJ52" s="300">
        <v>40</v>
      </c>
      <c r="BK52" s="300">
        <v>0</v>
      </c>
      <c r="BL52" s="300">
        <v>0</v>
      </c>
      <c r="BM52" s="300">
        <v>0</v>
      </c>
      <c r="BN52" s="300">
        <v>0</v>
      </c>
      <c r="BO52" s="300">
        <v>40</v>
      </c>
      <c r="BQ52" s="309" t="s">
        <v>622</v>
      </c>
      <c r="BR52" s="309">
        <v>2019</v>
      </c>
      <c r="BS52" s="309">
        <v>71</v>
      </c>
      <c r="BT52" s="309">
        <v>36</v>
      </c>
      <c r="BU52" s="309">
        <v>90</v>
      </c>
      <c r="BV52" s="309">
        <v>99</v>
      </c>
      <c r="BW52" s="309">
        <v>130</v>
      </c>
      <c r="BX52" s="309">
        <v>426</v>
      </c>
      <c r="BY52" s="309"/>
      <c r="BZ52" s="309">
        <v>2019</v>
      </c>
      <c r="CA52" s="309">
        <v>20</v>
      </c>
      <c r="CB52" s="309">
        <v>0</v>
      </c>
      <c r="CC52" s="309">
        <v>0</v>
      </c>
      <c r="CD52" s="309">
        <v>0</v>
      </c>
      <c r="CE52" s="309">
        <v>0</v>
      </c>
      <c r="CF52" s="309">
        <v>20</v>
      </c>
      <c r="CH52" s="237" t="s">
        <v>259</v>
      </c>
      <c r="CI52" s="237">
        <v>2019</v>
      </c>
      <c r="CJ52" s="237">
        <v>469</v>
      </c>
      <c r="CK52" s="237">
        <v>276</v>
      </c>
      <c r="CL52" s="237">
        <v>428</v>
      </c>
      <c r="CM52" s="237">
        <v>518</v>
      </c>
      <c r="CN52" s="237">
        <v>502</v>
      </c>
      <c r="CO52" s="237">
        <v>2193</v>
      </c>
      <c r="CP52" s="237"/>
      <c r="CQ52" s="237">
        <v>2019</v>
      </c>
      <c r="CR52" s="237">
        <v>150</v>
      </c>
      <c r="CS52" s="237">
        <v>0</v>
      </c>
      <c r="CT52" s="237">
        <v>0</v>
      </c>
      <c r="CU52" s="237">
        <v>0</v>
      </c>
      <c r="CV52" s="237">
        <v>0</v>
      </c>
      <c r="CW52" s="237">
        <v>150</v>
      </c>
      <c r="DP52" s="349" t="s">
        <v>797</v>
      </c>
      <c r="DQ52" s="349">
        <v>2020</v>
      </c>
      <c r="DR52" s="349">
        <v>793</v>
      </c>
      <c r="DS52" s="349">
        <v>1011</v>
      </c>
      <c r="DT52" s="349">
        <v>1000</v>
      </c>
      <c r="DU52" s="349">
        <v>1017</v>
      </c>
      <c r="DV52" s="349">
        <v>757</v>
      </c>
      <c r="DW52" s="349">
        <v>4578</v>
      </c>
      <c r="DX52" s="349"/>
      <c r="DY52" s="349">
        <v>2020</v>
      </c>
      <c r="DZ52" s="349">
        <v>39</v>
      </c>
      <c r="EA52" s="349">
        <v>1</v>
      </c>
      <c r="EB52" s="349">
        <v>0</v>
      </c>
      <c r="EC52" s="349">
        <v>0</v>
      </c>
      <c r="ED52" s="349">
        <v>0</v>
      </c>
      <c r="EE52" s="349">
        <v>40</v>
      </c>
      <c r="EG52" s="237" t="s">
        <v>1095</v>
      </c>
      <c r="EH52" s="237">
        <v>2019</v>
      </c>
      <c r="EI52" s="237">
        <v>278</v>
      </c>
      <c r="EJ52" s="237">
        <v>483</v>
      </c>
      <c r="EK52" s="237">
        <v>557</v>
      </c>
      <c r="EL52" s="237">
        <v>683</v>
      </c>
      <c r="EM52" s="237">
        <v>853</v>
      </c>
      <c r="EN52" s="237">
        <v>2854</v>
      </c>
      <c r="EO52" s="237"/>
      <c r="EP52" s="237">
        <v>2019</v>
      </c>
      <c r="EQ52" s="237">
        <v>68</v>
      </c>
      <c r="ER52" s="237">
        <v>46</v>
      </c>
      <c r="ES52" s="237">
        <v>18</v>
      </c>
      <c r="ET52" s="237">
        <v>15</v>
      </c>
      <c r="EU52" s="237">
        <v>23</v>
      </c>
      <c r="EV52" s="237">
        <v>170</v>
      </c>
      <c r="EX52" s="309" t="s">
        <v>1166</v>
      </c>
      <c r="EY52" s="309">
        <v>2019</v>
      </c>
      <c r="EZ52" s="309">
        <v>137</v>
      </c>
      <c r="FA52" s="309">
        <v>147</v>
      </c>
      <c r="FB52" s="309">
        <v>264</v>
      </c>
      <c r="FC52" s="309">
        <v>372</v>
      </c>
      <c r="FD52" s="309">
        <v>408</v>
      </c>
      <c r="FE52" s="309">
        <v>1328</v>
      </c>
      <c r="FF52" s="309"/>
      <c r="FG52" s="309">
        <v>2019</v>
      </c>
      <c r="FH52" s="309">
        <v>26</v>
      </c>
      <c r="FI52" s="309">
        <v>3</v>
      </c>
      <c r="FJ52" s="309">
        <v>5</v>
      </c>
      <c r="FK52" s="309">
        <v>3</v>
      </c>
      <c r="FL52" s="309">
        <v>2</v>
      </c>
      <c r="FM52" s="309">
        <v>39</v>
      </c>
    </row>
    <row r="53" spans="1:169">
      <c r="A53" s="288" t="s">
        <v>629</v>
      </c>
      <c r="B53" s="288">
        <v>2019</v>
      </c>
      <c r="C53" s="288">
        <v>7</v>
      </c>
      <c r="D53" s="288">
        <v>1</v>
      </c>
      <c r="E53" s="288">
        <v>0</v>
      </c>
      <c r="F53" s="288">
        <v>0</v>
      </c>
      <c r="G53" s="288">
        <v>0</v>
      </c>
      <c r="H53" s="288">
        <v>8</v>
      </c>
      <c r="J53" s="288">
        <v>2019</v>
      </c>
      <c r="K53" s="288">
        <v>103</v>
      </c>
      <c r="L53" s="288">
        <v>170</v>
      </c>
      <c r="M53" s="288">
        <v>284</v>
      </c>
      <c r="N53" s="288">
        <v>348</v>
      </c>
      <c r="O53" s="288">
        <v>336</v>
      </c>
      <c r="P53" s="288">
        <v>1241</v>
      </c>
      <c r="R53" s="289" t="s">
        <v>911</v>
      </c>
      <c r="S53" s="289">
        <v>2019</v>
      </c>
      <c r="T53" s="289">
        <v>1452</v>
      </c>
      <c r="U53" s="289">
        <v>1157</v>
      </c>
      <c r="V53" s="289">
        <v>1382</v>
      </c>
      <c r="W53" s="289">
        <v>1401</v>
      </c>
      <c r="X53" s="289">
        <v>927</v>
      </c>
      <c r="Y53" s="289">
        <v>6319</v>
      </c>
      <c r="Z53" s="289"/>
      <c r="AA53" s="289">
        <v>2019</v>
      </c>
      <c r="AB53" s="289">
        <v>81</v>
      </c>
      <c r="AC53" s="289">
        <v>9</v>
      </c>
      <c r="AD53" s="289">
        <v>1</v>
      </c>
      <c r="AE53" s="289">
        <v>0</v>
      </c>
      <c r="AF53" s="289">
        <v>1</v>
      </c>
      <c r="AG53" s="289">
        <v>92</v>
      </c>
      <c r="AI53" s="290" t="s">
        <v>444</v>
      </c>
      <c r="AJ53" s="290">
        <v>2018</v>
      </c>
      <c r="AK53" s="290">
        <v>852</v>
      </c>
      <c r="AL53" s="290">
        <v>760</v>
      </c>
      <c r="AM53" s="290">
        <v>732</v>
      </c>
      <c r="AN53" s="290">
        <v>725</v>
      </c>
      <c r="AO53" s="290">
        <v>909</v>
      </c>
      <c r="AP53" s="290">
        <v>3978</v>
      </c>
      <c r="AQ53" s="290"/>
      <c r="AR53" s="290">
        <v>2018</v>
      </c>
      <c r="AS53" s="290">
        <v>58</v>
      </c>
      <c r="AT53" s="290">
        <v>6</v>
      </c>
      <c r="AU53" s="290">
        <v>3</v>
      </c>
      <c r="AV53" s="290">
        <v>12</v>
      </c>
      <c r="AW53" s="290">
        <v>11</v>
      </c>
      <c r="AX53" s="290">
        <v>90</v>
      </c>
      <c r="AZ53" s="300" t="s">
        <v>131</v>
      </c>
      <c r="BA53" s="300">
        <v>2018</v>
      </c>
      <c r="BB53" s="300">
        <v>111</v>
      </c>
      <c r="BC53" s="300">
        <v>124</v>
      </c>
      <c r="BD53" s="300">
        <v>292</v>
      </c>
      <c r="BE53" s="300">
        <v>458</v>
      </c>
      <c r="BF53" s="300">
        <v>477</v>
      </c>
      <c r="BG53" s="300">
        <v>1462</v>
      </c>
      <c r="BH53" s="300"/>
      <c r="BI53" s="300">
        <v>2018</v>
      </c>
      <c r="BJ53" s="300">
        <v>20</v>
      </c>
      <c r="BK53" s="300">
        <v>0</v>
      </c>
      <c r="BL53" s="300">
        <v>0</v>
      </c>
      <c r="BM53" s="300">
        <v>0</v>
      </c>
      <c r="BN53" s="300">
        <v>0</v>
      </c>
      <c r="BO53" s="300">
        <v>20</v>
      </c>
      <c r="CH53" s="237" t="s">
        <v>269</v>
      </c>
      <c r="CI53" s="237">
        <v>2019</v>
      </c>
      <c r="CJ53" s="237">
        <v>138</v>
      </c>
      <c r="CK53" s="237">
        <v>77</v>
      </c>
      <c r="CL53" s="237">
        <v>115</v>
      </c>
      <c r="CM53" s="237">
        <v>178</v>
      </c>
      <c r="CN53" s="237">
        <v>164</v>
      </c>
      <c r="CO53" s="237">
        <v>672</v>
      </c>
      <c r="CP53" s="237"/>
      <c r="CQ53" s="237">
        <v>2019</v>
      </c>
      <c r="CR53" s="237">
        <v>18</v>
      </c>
      <c r="CS53" s="237">
        <v>0</v>
      </c>
      <c r="CT53" s="237">
        <v>0</v>
      </c>
      <c r="CU53" s="237">
        <v>0</v>
      </c>
      <c r="CV53" s="237">
        <v>0</v>
      </c>
      <c r="CW53" s="237">
        <v>18</v>
      </c>
      <c r="DP53" s="349" t="s">
        <v>799</v>
      </c>
      <c r="DQ53" s="349">
        <v>2020</v>
      </c>
      <c r="DR53" s="349">
        <v>403</v>
      </c>
      <c r="DS53" s="349">
        <v>439</v>
      </c>
      <c r="DT53" s="349">
        <v>657</v>
      </c>
      <c r="DU53" s="349">
        <v>681</v>
      </c>
      <c r="DV53" s="349">
        <v>637</v>
      </c>
      <c r="DW53" s="349">
        <v>2817</v>
      </c>
      <c r="DX53" s="349"/>
      <c r="DY53" s="349">
        <v>2020</v>
      </c>
      <c r="DZ53" s="349">
        <v>39</v>
      </c>
      <c r="EA53" s="349">
        <v>2</v>
      </c>
      <c r="EB53" s="349">
        <v>0</v>
      </c>
      <c r="EC53" s="349">
        <v>0</v>
      </c>
      <c r="ED53" s="349">
        <v>0</v>
      </c>
      <c r="EE53" s="349">
        <v>41</v>
      </c>
      <c r="EG53" s="237" t="s">
        <v>1098</v>
      </c>
      <c r="EH53" s="237">
        <v>2019</v>
      </c>
      <c r="EI53" s="237">
        <v>170</v>
      </c>
      <c r="EJ53" s="237">
        <v>266</v>
      </c>
      <c r="EK53" s="237">
        <v>323</v>
      </c>
      <c r="EL53" s="237">
        <v>430</v>
      </c>
      <c r="EM53" s="237">
        <v>550</v>
      </c>
      <c r="EN53" s="237">
        <v>1739</v>
      </c>
      <c r="EO53" s="237"/>
      <c r="EP53" s="237">
        <v>2019</v>
      </c>
      <c r="EQ53" s="237">
        <v>18</v>
      </c>
      <c r="ER53" s="237">
        <v>8</v>
      </c>
      <c r="ES53" s="237">
        <v>1</v>
      </c>
      <c r="ET53" s="237">
        <v>5</v>
      </c>
      <c r="EU53" s="237">
        <v>2</v>
      </c>
      <c r="EV53" s="237">
        <v>34</v>
      </c>
      <c r="EX53" s="309" t="s">
        <v>1168</v>
      </c>
      <c r="EY53" s="309">
        <v>2019</v>
      </c>
      <c r="EZ53" s="309">
        <v>142</v>
      </c>
      <c r="FA53" s="309">
        <v>248</v>
      </c>
      <c r="FB53" s="309">
        <v>313</v>
      </c>
      <c r="FC53" s="309">
        <v>379</v>
      </c>
      <c r="FD53" s="309">
        <v>483</v>
      </c>
      <c r="FE53" s="309">
        <v>1565</v>
      </c>
      <c r="FF53" s="309"/>
      <c r="FG53" s="309">
        <v>2019</v>
      </c>
      <c r="FH53" s="309">
        <v>12</v>
      </c>
      <c r="FI53" s="309">
        <v>6</v>
      </c>
      <c r="FJ53" s="309">
        <v>2</v>
      </c>
      <c r="FK53" s="309">
        <v>7</v>
      </c>
      <c r="FL53" s="309">
        <v>1</v>
      </c>
      <c r="FM53" s="309">
        <v>28</v>
      </c>
    </row>
    <row r="54" spans="1:169">
      <c r="A54" s="288" t="s">
        <v>632</v>
      </c>
      <c r="B54" s="288">
        <v>2019</v>
      </c>
      <c r="C54" s="288">
        <v>7</v>
      </c>
      <c r="D54" s="288">
        <v>1</v>
      </c>
      <c r="E54" s="288">
        <v>0</v>
      </c>
      <c r="F54" s="288">
        <v>0</v>
      </c>
      <c r="G54" s="288">
        <v>0</v>
      </c>
      <c r="H54" s="288">
        <v>8</v>
      </c>
      <c r="J54" s="288">
        <v>2019</v>
      </c>
      <c r="K54" s="288">
        <v>207</v>
      </c>
      <c r="L54" s="288">
        <v>422</v>
      </c>
      <c r="M54" s="288">
        <v>553</v>
      </c>
      <c r="N54" s="288">
        <v>698</v>
      </c>
      <c r="O54" s="288">
        <v>555</v>
      </c>
      <c r="P54" s="288">
        <v>2435</v>
      </c>
      <c r="R54" s="289" t="s">
        <v>912</v>
      </c>
      <c r="S54" s="289">
        <v>2019</v>
      </c>
      <c r="T54" s="289">
        <v>877</v>
      </c>
      <c r="U54" s="289">
        <v>477</v>
      </c>
      <c r="V54" s="289">
        <v>536</v>
      </c>
      <c r="W54" s="289">
        <v>569</v>
      </c>
      <c r="X54" s="289">
        <v>439</v>
      </c>
      <c r="Y54" s="289">
        <v>2898</v>
      </c>
      <c r="Z54" s="289"/>
      <c r="AA54" s="289">
        <v>2019</v>
      </c>
      <c r="AB54" s="289">
        <v>17</v>
      </c>
      <c r="AC54" s="289">
        <v>0</v>
      </c>
      <c r="AD54" s="289">
        <v>0</v>
      </c>
      <c r="AE54" s="289">
        <v>0</v>
      </c>
      <c r="AF54" s="289">
        <v>0</v>
      </c>
      <c r="AG54" s="289">
        <v>17</v>
      </c>
      <c r="AI54" s="290" t="s">
        <v>445</v>
      </c>
      <c r="AJ54" s="290">
        <v>2018</v>
      </c>
      <c r="AK54" s="290">
        <v>960</v>
      </c>
      <c r="AL54" s="290">
        <v>761</v>
      </c>
      <c r="AM54" s="290">
        <v>823</v>
      </c>
      <c r="AN54" s="290">
        <v>804</v>
      </c>
      <c r="AO54" s="290">
        <v>905</v>
      </c>
      <c r="AP54" s="290">
        <v>4253</v>
      </c>
      <c r="AQ54" s="290"/>
      <c r="AR54" s="290">
        <v>2018</v>
      </c>
      <c r="AS54" s="290">
        <v>123</v>
      </c>
      <c r="AT54" s="290">
        <v>22</v>
      </c>
      <c r="AU54" s="290">
        <v>12</v>
      </c>
      <c r="AV54" s="290">
        <v>12</v>
      </c>
      <c r="AW54" s="290">
        <v>17</v>
      </c>
      <c r="AX54" s="290">
        <v>186</v>
      </c>
      <c r="AZ54" s="300" t="s">
        <v>133</v>
      </c>
      <c r="BA54" s="300">
        <v>2018</v>
      </c>
      <c r="BB54" s="300">
        <v>167</v>
      </c>
      <c r="BC54" s="300">
        <v>174</v>
      </c>
      <c r="BD54" s="300">
        <v>285</v>
      </c>
      <c r="BE54" s="300">
        <v>433</v>
      </c>
      <c r="BF54" s="300">
        <v>410</v>
      </c>
      <c r="BG54" s="300">
        <v>1469</v>
      </c>
      <c r="BH54" s="300"/>
      <c r="BI54" s="300">
        <v>2018</v>
      </c>
      <c r="BJ54" s="300">
        <v>39</v>
      </c>
      <c r="BK54" s="300">
        <v>0</v>
      </c>
      <c r="BL54" s="300">
        <v>0</v>
      </c>
      <c r="BM54" s="300">
        <v>0</v>
      </c>
      <c r="BN54" s="300">
        <v>0</v>
      </c>
      <c r="BO54" s="300">
        <v>39</v>
      </c>
      <c r="BQ54" s="309" t="s">
        <v>561</v>
      </c>
      <c r="BR54" s="309">
        <v>2020</v>
      </c>
      <c r="BS54" s="309">
        <v>91</v>
      </c>
      <c r="BT54" s="309">
        <v>74</v>
      </c>
      <c r="BU54" s="309">
        <v>96</v>
      </c>
      <c r="BV54" s="309">
        <v>96</v>
      </c>
      <c r="BW54" s="309">
        <v>126</v>
      </c>
      <c r="BX54" s="309">
        <v>483</v>
      </c>
      <c r="BY54" s="309"/>
      <c r="BZ54" s="309">
        <v>2020</v>
      </c>
      <c r="CA54" s="309">
        <v>23</v>
      </c>
      <c r="CB54" s="309">
        <v>0</v>
      </c>
      <c r="CC54" s="309">
        <v>0</v>
      </c>
      <c r="CD54" s="309">
        <v>0</v>
      </c>
      <c r="CE54" s="309">
        <v>0</v>
      </c>
      <c r="CF54" s="309">
        <v>23</v>
      </c>
      <c r="CH54" s="237" t="s">
        <v>261</v>
      </c>
      <c r="CI54" s="237">
        <v>2019</v>
      </c>
      <c r="CJ54" s="237">
        <v>91</v>
      </c>
      <c r="CK54" s="237">
        <v>72</v>
      </c>
      <c r="CL54" s="237">
        <v>141</v>
      </c>
      <c r="CM54" s="237">
        <v>201</v>
      </c>
      <c r="CN54" s="237">
        <v>218</v>
      </c>
      <c r="CO54" s="237">
        <v>723</v>
      </c>
      <c r="CP54" s="237"/>
      <c r="CQ54" s="237">
        <v>2019</v>
      </c>
      <c r="CR54" s="237">
        <v>15</v>
      </c>
      <c r="CS54" s="237">
        <v>0</v>
      </c>
      <c r="CT54" s="237">
        <v>0</v>
      </c>
      <c r="CU54" s="237">
        <v>0</v>
      </c>
      <c r="CV54" s="237">
        <v>0</v>
      </c>
      <c r="CW54" s="237">
        <v>15</v>
      </c>
      <c r="DP54" s="349" t="s">
        <v>801</v>
      </c>
      <c r="DQ54" s="349">
        <v>2020</v>
      </c>
      <c r="DR54" s="349">
        <v>890</v>
      </c>
      <c r="DS54" s="349">
        <v>436</v>
      </c>
      <c r="DT54" s="349">
        <v>448</v>
      </c>
      <c r="DU54" s="349">
        <v>425</v>
      </c>
      <c r="DV54" s="349">
        <v>308</v>
      </c>
      <c r="DW54" s="349">
        <v>2507</v>
      </c>
      <c r="DX54" s="349"/>
      <c r="DY54" s="349">
        <v>2020</v>
      </c>
      <c r="DZ54" s="349">
        <v>19</v>
      </c>
      <c r="EA54" s="349">
        <v>0</v>
      </c>
      <c r="EB54" s="349">
        <v>0</v>
      </c>
      <c r="EC54" s="349">
        <v>0</v>
      </c>
      <c r="ED54" s="349">
        <v>0</v>
      </c>
      <c r="EE54" s="349">
        <v>19</v>
      </c>
      <c r="EG54" s="237" t="s">
        <v>1101</v>
      </c>
      <c r="EH54" s="237">
        <v>2019</v>
      </c>
      <c r="EI54" s="237" t="s">
        <v>792</v>
      </c>
      <c r="EJ54" s="237" t="s">
        <v>792</v>
      </c>
      <c r="EK54" s="237" t="s">
        <v>792</v>
      </c>
      <c r="EL54" s="237" t="s">
        <v>792</v>
      </c>
      <c r="EM54" s="237" t="s">
        <v>792</v>
      </c>
      <c r="EN54" s="237" t="s">
        <v>792</v>
      </c>
      <c r="EO54" s="237"/>
      <c r="EP54" s="237">
        <v>2019</v>
      </c>
      <c r="EQ54" s="237" t="s">
        <v>792</v>
      </c>
      <c r="ER54" s="237" t="s">
        <v>792</v>
      </c>
      <c r="ES54" s="237" t="s">
        <v>792</v>
      </c>
      <c r="ET54" s="237" t="s">
        <v>792</v>
      </c>
      <c r="EU54" s="237" t="s">
        <v>792</v>
      </c>
      <c r="EV54" s="237" t="s">
        <v>792</v>
      </c>
      <c r="EX54" s="309" t="s">
        <v>1169</v>
      </c>
      <c r="EY54" s="309">
        <v>2019</v>
      </c>
      <c r="EZ54" s="309" t="s">
        <v>792</v>
      </c>
      <c r="FA54" s="309" t="s">
        <v>792</v>
      </c>
      <c r="FB54" s="309" t="s">
        <v>792</v>
      </c>
      <c r="FC54" s="309" t="s">
        <v>792</v>
      </c>
      <c r="FD54" s="309" t="s">
        <v>792</v>
      </c>
      <c r="FE54" s="309" t="s">
        <v>792</v>
      </c>
      <c r="FF54" s="309"/>
      <c r="FG54" s="309">
        <v>2019</v>
      </c>
      <c r="FH54" s="309" t="s">
        <v>792</v>
      </c>
      <c r="FI54" s="309" t="s">
        <v>792</v>
      </c>
      <c r="FJ54" s="309" t="s">
        <v>792</v>
      </c>
      <c r="FK54" s="309" t="s">
        <v>792</v>
      </c>
      <c r="FL54" s="309" t="s">
        <v>792</v>
      </c>
      <c r="FM54" s="309" t="s">
        <v>792</v>
      </c>
    </row>
    <row r="55" spans="1:169">
      <c r="A55" s="288" t="s">
        <v>635</v>
      </c>
      <c r="B55" s="288">
        <v>2019</v>
      </c>
      <c r="C55" s="288">
        <v>115</v>
      </c>
      <c r="D55" s="288">
        <v>4</v>
      </c>
      <c r="E55" s="288">
        <v>1</v>
      </c>
      <c r="F55" s="288">
        <v>1</v>
      </c>
      <c r="G55" s="288">
        <v>1</v>
      </c>
      <c r="H55" s="288">
        <v>122</v>
      </c>
      <c r="J55" s="288">
        <v>2019</v>
      </c>
      <c r="K55" s="288">
        <v>1043</v>
      </c>
      <c r="L55" s="288">
        <v>759</v>
      </c>
      <c r="M55" s="288">
        <v>890</v>
      </c>
      <c r="N55" s="288">
        <v>852</v>
      </c>
      <c r="O55" s="288">
        <v>633</v>
      </c>
      <c r="P55" s="288">
        <v>4177</v>
      </c>
      <c r="R55" s="289" t="s">
        <v>913</v>
      </c>
      <c r="S55" s="289">
        <v>2019</v>
      </c>
      <c r="T55" s="289">
        <v>198</v>
      </c>
      <c r="U55" s="289">
        <v>255</v>
      </c>
      <c r="V55" s="289">
        <v>377</v>
      </c>
      <c r="W55" s="289">
        <v>431</v>
      </c>
      <c r="X55" s="289">
        <v>347</v>
      </c>
      <c r="Y55" s="289">
        <v>1608</v>
      </c>
      <c r="Z55" s="289"/>
      <c r="AA55" s="289">
        <v>2019</v>
      </c>
      <c r="AB55" s="289">
        <v>9</v>
      </c>
      <c r="AC55" s="289">
        <v>1</v>
      </c>
      <c r="AD55" s="289">
        <v>1</v>
      </c>
      <c r="AE55" s="289">
        <v>0</v>
      </c>
      <c r="AF55" s="289">
        <v>0</v>
      </c>
      <c r="AG55" s="289">
        <v>11</v>
      </c>
      <c r="AI55" s="290" t="s">
        <v>446</v>
      </c>
      <c r="AJ55" s="290">
        <v>2018</v>
      </c>
      <c r="AK55" s="290">
        <v>602</v>
      </c>
      <c r="AL55" s="290">
        <v>441</v>
      </c>
      <c r="AM55" s="290">
        <v>197</v>
      </c>
      <c r="AN55" s="290">
        <v>114</v>
      </c>
      <c r="AO55" s="290">
        <v>167</v>
      </c>
      <c r="AP55" s="290">
        <v>1521</v>
      </c>
      <c r="AQ55" s="290"/>
      <c r="AR55" s="290">
        <v>2018</v>
      </c>
      <c r="AS55" s="290">
        <v>103</v>
      </c>
      <c r="AT55" s="290">
        <v>31</v>
      </c>
      <c r="AU55" s="290">
        <v>14</v>
      </c>
      <c r="AV55" s="290">
        <v>7</v>
      </c>
      <c r="AW55" s="290">
        <v>11</v>
      </c>
      <c r="AX55" s="290">
        <v>166</v>
      </c>
      <c r="AZ55" s="300" t="s">
        <v>135</v>
      </c>
      <c r="BA55" s="300">
        <v>2018</v>
      </c>
      <c r="BB55" s="300">
        <v>180</v>
      </c>
      <c r="BC55" s="300">
        <v>182</v>
      </c>
      <c r="BD55" s="300">
        <v>387</v>
      </c>
      <c r="BE55" s="300">
        <v>625</v>
      </c>
      <c r="BF55" s="300">
        <v>626</v>
      </c>
      <c r="BG55" s="300">
        <v>2000</v>
      </c>
      <c r="BH55" s="300"/>
      <c r="BI55" s="300">
        <v>2018</v>
      </c>
      <c r="BJ55" s="300">
        <v>39</v>
      </c>
      <c r="BK55" s="300">
        <v>0</v>
      </c>
      <c r="BL55" s="300">
        <v>0</v>
      </c>
      <c r="BM55" s="300">
        <v>0</v>
      </c>
      <c r="BN55" s="300">
        <v>0</v>
      </c>
      <c r="BO55" s="300">
        <v>39</v>
      </c>
      <c r="BQ55" s="309" t="s">
        <v>564</v>
      </c>
      <c r="BR55" s="309">
        <v>2020</v>
      </c>
      <c r="BS55" s="309">
        <v>651</v>
      </c>
      <c r="BT55" s="309">
        <v>661</v>
      </c>
      <c r="BU55" s="309">
        <v>647</v>
      </c>
      <c r="BV55" s="309">
        <v>558</v>
      </c>
      <c r="BW55" s="309">
        <v>409</v>
      </c>
      <c r="BX55" s="309">
        <v>2926</v>
      </c>
      <c r="BY55" s="309"/>
      <c r="BZ55" s="309">
        <v>2020</v>
      </c>
      <c r="CA55" s="309">
        <v>179</v>
      </c>
      <c r="CB55" s="309">
        <v>12</v>
      </c>
      <c r="CC55" s="309">
        <v>0</v>
      </c>
      <c r="CD55" s="309">
        <v>0</v>
      </c>
      <c r="CE55" s="309">
        <v>0</v>
      </c>
      <c r="CF55" s="309">
        <v>191</v>
      </c>
      <c r="CH55" s="237" t="s">
        <v>263</v>
      </c>
      <c r="CI55" s="237">
        <v>2019</v>
      </c>
      <c r="CJ55" s="237">
        <v>130</v>
      </c>
      <c r="CK55" s="237">
        <v>64</v>
      </c>
      <c r="CL55" s="237">
        <v>85</v>
      </c>
      <c r="CM55" s="237">
        <v>116</v>
      </c>
      <c r="CN55" s="237">
        <v>145</v>
      </c>
      <c r="CO55" s="237">
        <v>540</v>
      </c>
      <c r="CP55" s="237"/>
      <c r="CQ55" s="237">
        <v>2019</v>
      </c>
      <c r="CR55" s="237">
        <v>61</v>
      </c>
      <c r="CS55" s="237">
        <v>0</v>
      </c>
      <c r="CT55" s="237">
        <v>0</v>
      </c>
      <c r="CU55" s="237">
        <v>0</v>
      </c>
      <c r="CV55" s="237">
        <v>0</v>
      </c>
      <c r="CW55" s="237">
        <v>61</v>
      </c>
      <c r="DP55" s="349" t="s">
        <v>803</v>
      </c>
      <c r="DQ55" s="349">
        <v>2020</v>
      </c>
      <c r="DR55" s="349">
        <v>198</v>
      </c>
      <c r="DS55" s="349">
        <v>204</v>
      </c>
      <c r="DT55" s="349">
        <v>226</v>
      </c>
      <c r="DU55" s="349">
        <v>247</v>
      </c>
      <c r="DV55" s="349">
        <v>194</v>
      </c>
      <c r="DW55" s="349">
        <v>1069</v>
      </c>
      <c r="DX55" s="349"/>
      <c r="DY55" s="349">
        <v>2020</v>
      </c>
      <c r="DZ55" s="349">
        <v>14</v>
      </c>
      <c r="EA55" s="349">
        <v>0</v>
      </c>
      <c r="EB55" s="349">
        <v>0</v>
      </c>
      <c r="EC55" s="349">
        <v>0</v>
      </c>
      <c r="ED55" s="349">
        <v>0</v>
      </c>
      <c r="EE55" s="349">
        <v>14</v>
      </c>
      <c r="EG55" s="237" t="s">
        <v>1104</v>
      </c>
      <c r="EH55" s="237">
        <v>2019</v>
      </c>
      <c r="EI55" s="237" t="s">
        <v>792</v>
      </c>
      <c r="EJ55" s="237" t="s">
        <v>792</v>
      </c>
      <c r="EK55" s="237" t="s">
        <v>792</v>
      </c>
      <c r="EL55" s="237" t="s">
        <v>792</v>
      </c>
      <c r="EM55" s="237" t="s">
        <v>792</v>
      </c>
      <c r="EN55" s="237" t="s">
        <v>792</v>
      </c>
      <c r="EO55" s="237"/>
      <c r="EP55" s="237">
        <v>2019</v>
      </c>
      <c r="EQ55" s="237" t="s">
        <v>792</v>
      </c>
      <c r="ER55" s="237" t="s">
        <v>792</v>
      </c>
      <c r="ES55" s="237" t="s">
        <v>792</v>
      </c>
      <c r="ET55" s="237" t="s">
        <v>792</v>
      </c>
      <c r="EU55" s="237" t="s">
        <v>792</v>
      </c>
      <c r="EV55" s="237" t="s">
        <v>792</v>
      </c>
      <c r="EX55" s="309" t="s">
        <v>1170</v>
      </c>
      <c r="EY55" s="309">
        <v>2019</v>
      </c>
      <c r="EZ55" s="309">
        <v>1016</v>
      </c>
      <c r="FA55" s="309">
        <v>858</v>
      </c>
      <c r="FB55" s="309">
        <v>774</v>
      </c>
      <c r="FC55" s="309">
        <v>814</v>
      </c>
      <c r="FD55" s="309">
        <v>1094</v>
      </c>
      <c r="FE55" s="309">
        <v>4556</v>
      </c>
      <c r="FF55" s="309"/>
      <c r="FG55" s="309">
        <v>2019</v>
      </c>
      <c r="FH55" s="309">
        <v>168</v>
      </c>
      <c r="FI55" s="309">
        <v>0</v>
      </c>
      <c r="FJ55" s="309">
        <v>0</v>
      </c>
      <c r="FK55" s="309">
        <v>0</v>
      </c>
      <c r="FL55" s="309">
        <v>0</v>
      </c>
      <c r="FM55" s="309">
        <v>168</v>
      </c>
    </row>
    <row r="56" spans="1:169">
      <c r="A56" s="288" t="s">
        <v>638</v>
      </c>
      <c r="B56" s="288">
        <v>2019</v>
      </c>
      <c r="C56" s="288">
        <v>49</v>
      </c>
      <c r="D56" s="288">
        <v>11</v>
      </c>
      <c r="E56" s="288">
        <v>1</v>
      </c>
      <c r="F56" s="288">
        <v>0</v>
      </c>
      <c r="G56" s="288">
        <v>0</v>
      </c>
      <c r="H56" s="288">
        <v>61</v>
      </c>
      <c r="J56" s="288">
        <v>2019</v>
      </c>
      <c r="K56" s="288">
        <v>843</v>
      </c>
      <c r="L56" s="288">
        <v>1058</v>
      </c>
      <c r="M56" s="288">
        <v>1488</v>
      </c>
      <c r="N56" s="288">
        <v>1567</v>
      </c>
      <c r="O56" s="288">
        <v>1038</v>
      </c>
      <c r="P56" s="288">
        <v>5994</v>
      </c>
      <c r="R56" s="289" t="s">
        <v>914</v>
      </c>
      <c r="S56" s="289">
        <v>2019</v>
      </c>
      <c r="T56" s="289">
        <v>131</v>
      </c>
      <c r="U56" s="289">
        <v>188</v>
      </c>
      <c r="V56" s="289">
        <v>288</v>
      </c>
      <c r="W56" s="289">
        <v>362</v>
      </c>
      <c r="X56" s="289">
        <v>284</v>
      </c>
      <c r="Y56" s="289">
        <v>1253</v>
      </c>
      <c r="Z56" s="289"/>
      <c r="AA56" s="289">
        <v>2019</v>
      </c>
      <c r="AB56" s="289">
        <v>9</v>
      </c>
      <c r="AC56" s="289">
        <v>2</v>
      </c>
      <c r="AD56" s="289">
        <v>1</v>
      </c>
      <c r="AE56" s="289">
        <v>0</v>
      </c>
      <c r="AF56" s="289">
        <v>1</v>
      </c>
      <c r="AG56" s="289">
        <v>13</v>
      </c>
      <c r="AI56" s="290" t="s">
        <v>447</v>
      </c>
      <c r="AJ56" s="290">
        <v>2018</v>
      </c>
      <c r="AK56" s="290">
        <v>523</v>
      </c>
      <c r="AL56" s="290">
        <v>634</v>
      </c>
      <c r="AM56" s="290">
        <v>613</v>
      </c>
      <c r="AN56" s="290">
        <v>552</v>
      </c>
      <c r="AO56" s="290">
        <v>665</v>
      </c>
      <c r="AP56" s="290">
        <v>2987</v>
      </c>
      <c r="AQ56" s="290"/>
      <c r="AR56" s="290">
        <v>2018</v>
      </c>
      <c r="AS56" s="290">
        <v>50</v>
      </c>
      <c r="AT56" s="290">
        <v>24</v>
      </c>
      <c r="AU56" s="290">
        <v>17</v>
      </c>
      <c r="AV56" s="290">
        <v>6</v>
      </c>
      <c r="AW56" s="290">
        <v>18</v>
      </c>
      <c r="AX56" s="290">
        <v>115</v>
      </c>
      <c r="AZ56" s="300" t="s">
        <v>177</v>
      </c>
      <c r="BA56" s="300">
        <v>2018</v>
      </c>
      <c r="BB56" s="300">
        <v>57</v>
      </c>
      <c r="BC56" s="300">
        <v>85</v>
      </c>
      <c r="BD56" s="300">
        <v>178</v>
      </c>
      <c r="BE56" s="300">
        <v>283</v>
      </c>
      <c r="BF56" s="300">
        <v>277</v>
      </c>
      <c r="BG56" s="300">
        <v>880</v>
      </c>
      <c r="BH56" s="300"/>
      <c r="BI56" s="300">
        <v>2018</v>
      </c>
      <c r="BJ56" s="300">
        <v>15</v>
      </c>
      <c r="BK56" s="300">
        <v>0</v>
      </c>
      <c r="BL56" s="300">
        <v>0</v>
      </c>
      <c r="BM56" s="300">
        <v>0</v>
      </c>
      <c r="BN56" s="300">
        <v>0</v>
      </c>
      <c r="BO56" s="300">
        <v>15</v>
      </c>
      <c r="BQ56" s="309" t="s">
        <v>566</v>
      </c>
      <c r="BR56" s="309">
        <v>2020</v>
      </c>
      <c r="BS56" s="309">
        <v>1110</v>
      </c>
      <c r="BT56" s="309">
        <v>816</v>
      </c>
      <c r="BU56" s="309">
        <v>792</v>
      </c>
      <c r="BV56" s="309">
        <v>606</v>
      </c>
      <c r="BW56" s="309">
        <v>430</v>
      </c>
      <c r="BX56" s="309">
        <v>3754</v>
      </c>
      <c r="BY56" s="309"/>
      <c r="BZ56" s="309">
        <v>2020</v>
      </c>
      <c r="CA56" s="309">
        <v>262</v>
      </c>
      <c r="CB56" s="309">
        <v>11</v>
      </c>
      <c r="CC56" s="309">
        <v>0</v>
      </c>
      <c r="CD56" s="309">
        <v>0</v>
      </c>
      <c r="CE56" s="309">
        <v>0</v>
      </c>
      <c r="CF56" s="309">
        <v>273</v>
      </c>
      <c r="CH56" s="237" t="s">
        <v>271</v>
      </c>
      <c r="CI56" s="237">
        <v>2019</v>
      </c>
      <c r="CJ56" s="237">
        <v>89</v>
      </c>
      <c r="CK56" s="237">
        <v>46</v>
      </c>
      <c r="CL56" s="237">
        <v>92</v>
      </c>
      <c r="CM56" s="237">
        <v>107</v>
      </c>
      <c r="CN56" s="237">
        <v>110</v>
      </c>
      <c r="CO56" s="237">
        <v>444</v>
      </c>
      <c r="CP56" s="237"/>
      <c r="CQ56" s="237">
        <v>2019</v>
      </c>
      <c r="CR56" s="237">
        <v>21</v>
      </c>
      <c r="CS56" s="237">
        <v>0</v>
      </c>
      <c r="CT56" s="237">
        <v>0</v>
      </c>
      <c r="CU56" s="237">
        <v>0</v>
      </c>
      <c r="CV56" s="237">
        <v>0</v>
      </c>
      <c r="CW56" s="237">
        <v>21</v>
      </c>
      <c r="DP56" s="349" t="s">
        <v>805</v>
      </c>
      <c r="DQ56" s="349">
        <v>2020</v>
      </c>
      <c r="DR56" s="349">
        <v>221</v>
      </c>
      <c r="DS56" s="349">
        <v>260</v>
      </c>
      <c r="DT56" s="349">
        <v>384</v>
      </c>
      <c r="DU56" s="349">
        <v>463</v>
      </c>
      <c r="DV56" s="349">
        <v>412</v>
      </c>
      <c r="DW56" s="349">
        <v>1740</v>
      </c>
      <c r="DX56" s="349"/>
      <c r="DY56" s="349">
        <v>2020</v>
      </c>
      <c r="DZ56" s="349">
        <v>20</v>
      </c>
      <c r="EA56" s="349">
        <v>0</v>
      </c>
      <c r="EB56" s="349">
        <v>0</v>
      </c>
      <c r="EC56" s="349">
        <v>0</v>
      </c>
      <c r="ED56" s="349">
        <v>0</v>
      </c>
      <c r="EE56" s="349">
        <v>20</v>
      </c>
      <c r="EG56" s="237" t="s">
        <v>1107</v>
      </c>
      <c r="EH56" s="237">
        <v>2019</v>
      </c>
      <c r="EI56" s="237" t="s">
        <v>792</v>
      </c>
      <c r="EJ56" s="237" t="s">
        <v>792</v>
      </c>
      <c r="EK56" s="237" t="s">
        <v>792</v>
      </c>
      <c r="EL56" s="237" t="s">
        <v>792</v>
      </c>
      <c r="EM56" s="237" t="s">
        <v>792</v>
      </c>
      <c r="EN56" s="237" t="s">
        <v>792</v>
      </c>
      <c r="EO56" s="237"/>
      <c r="EP56" s="237">
        <v>2019</v>
      </c>
      <c r="EQ56" s="237" t="s">
        <v>792</v>
      </c>
      <c r="ER56" s="237" t="s">
        <v>792</v>
      </c>
      <c r="ES56" s="237" t="s">
        <v>792</v>
      </c>
      <c r="ET56" s="237" t="s">
        <v>792</v>
      </c>
      <c r="EU56" s="237" t="s">
        <v>792</v>
      </c>
      <c r="EV56" s="237" t="s">
        <v>792</v>
      </c>
      <c r="EX56" s="309" t="s">
        <v>1171</v>
      </c>
      <c r="EY56" s="309">
        <v>2019</v>
      </c>
      <c r="EZ56" s="309">
        <v>210</v>
      </c>
      <c r="FA56" s="309">
        <v>341</v>
      </c>
      <c r="FB56" s="309">
        <v>330</v>
      </c>
      <c r="FC56" s="309">
        <v>381</v>
      </c>
      <c r="FD56" s="309">
        <v>496</v>
      </c>
      <c r="FE56" s="309">
        <v>1758</v>
      </c>
      <c r="FF56" s="309"/>
      <c r="FG56" s="309">
        <v>2019</v>
      </c>
      <c r="FH56" s="309">
        <v>56</v>
      </c>
      <c r="FI56" s="309">
        <v>0</v>
      </c>
      <c r="FJ56" s="309">
        <v>0</v>
      </c>
      <c r="FK56" s="309">
        <v>0</v>
      </c>
      <c r="FL56" s="309">
        <v>0</v>
      </c>
      <c r="FM56" s="309">
        <v>56</v>
      </c>
    </row>
    <row r="57" spans="1:169">
      <c r="A57" s="288" t="s">
        <v>641</v>
      </c>
      <c r="B57" s="288">
        <v>2019</v>
      </c>
      <c r="C57" s="288">
        <v>63</v>
      </c>
      <c r="D57" s="288">
        <v>3</v>
      </c>
      <c r="E57" s="288">
        <v>1</v>
      </c>
      <c r="F57" s="288">
        <v>0</v>
      </c>
      <c r="G57" s="288">
        <v>1</v>
      </c>
      <c r="H57" s="288">
        <v>68</v>
      </c>
      <c r="J57" s="288">
        <v>2019</v>
      </c>
      <c r="K57" s="288">
        <v>813</v>
      </c>
      <c r="L57" s="288">
        <v>960</v>
      </c>
      <c r="M57" s="288">
        <v>1200</v>
      </c>
      <c r="N57" s="288">
        <v>1437</v>
      </c>
      <c r="O57" s="288">
        <v>951</v>
      </c>
      <c r="P57" s="288">
        <v>5361</v>
      </c>
      <c r="R57" s="289" t="s">
        <v>915</v>
      </c>
      <c r="S57" s="289">
        <v>2019</v>
      </c>
      <c r="T57" s="289">
        <v>1128</v>
      </c>
      <c r="U57" s="289">
        <v>996</v>
      </c>
      <c r="V57" s="289">
        <v>1433</v>
      </c>
      <c r="W57" s="289">
        <v>1700</v>
      </c>
      <c r="X57" s="289">
        <v>1332</v>
      </c>
      <c r="Y57" s="289">
        <v>6589</v>
      </c>
      <c r="Z57" s="289"/>
      <c r="AA57" s="289">
        <v>2019</v>
      </c>
      <c r="AB57" s="289">
        <v>34</v>
      </c>
      <c r="AC57" s="289">
        <v>0</v>
      </c>
      <c r="AD57" s="289">
        <v>0</v>
      </c>
      <c r="AE57" s="289">
        <v>0</v>
      </c>
      <c r="AF57" s="289">
        <v>0</v>
      </c>
      <c r="AG57" s="289">
        <v>34</v>
      </c>
      <c r="AI57" s="290" t="s">
        <v>448</v>
      </c>
      <c r="AJ57" s="290">
        <v>2018</v>
      </c>
      <c r="AK57" s="290">
        <v>721</v>
      </c>
      <c r="AL57" s="290">
        <v>851</v>
      </c>
      <c r="AM57" s="290">
        <v>652</v>
      </c>
      <c r="AN57" s="290">
        <v>666</v>
      </c>
      <c r="AO57" s="290">
        <v>872</v>
      </c>
      <c r="AP57" s="290">
        <v>3762</v>
      </c>
      <c r="AQ57" s="290"/>
      <c r="AR57" s="290">
        <v>2018</v>
      </c>
      <c r="AS57" s="290">
        <v>57</v>
      </c>
      <c r="AT57" s="290">
        <v>12</v>
      </c>
      <c r="AU57" s="290">
        <v>3</v>
      </c>
      <c r="AV57" s="290">
        <v>6</v>
      </c>
      <c r="AW57" s="290">
        <v>8</v>
      </c>
      <c r="AX57" s="290">
        <v>86</v>
      </c>
      <c r="AZ57" s="300" t="s">
        <v>137</v>
      </c>
      <c r="BA57" s="300">
        <v>2018</v>
      </c>
      <c r="BB57" s="300">
        <v>359</v>
      </c>
      <c r="BC57" s="300">
        <v>468</v>
      </c>
      <c r="BD57" s="300">
        <v>860</v>
      </c>
      <c r="BE57" s="300">
        <v>1189</v>
      </c>
      <c r="BF57" s="300">
        <v>1206</v>
      </c>
      <c r="BG57" s="300">
        <v>4082</v>
      </c>
      <c r="BH57" s="300"/>
      <c r="BI57" s="300">
        <v>2018</v>
      </c>
      <c r="BJ57" s="300">
        <v>55</v>
      </c>
      <c r="BK57" s="300">
        <v>2</v>
      </c>
      <c r="BL57" s="300">
        <v>0</v>
      </c>
      <c r="BM57" s="300">
        <v>0</v>
      </c>
      <c r="BN57" s="300">
        <v>0</v>
      </c>
      <c r="BO57" s="300">
        <v>57</v>
      </c>
      <c r="BQ57" s="309" t="s">
        <v>1370</v>
      </c>
      <c r="BR57" s="309">
        <v>2020</v>
      </c>
      <c r="BS57" s="309" t="s">
        <v>792</v>
      </c>
      <c r="BT57" s="309" t="s">
        <v>792</v>
      </c>
      <c r="BU57" s="309" t="s">
        <v>792</v>
      </c>
      <c r="BV57" s="309" t="s">
        <v>792</v>
      </c>
      <c r="BW57" s="309" t="s">
        <v>792</v>
      </c>
      <c r="BX57" s="309" t="s">
        <v>792</v>
      </c>
      <c r="BY57" s="309"/>
      <c r="BZ57" s="309">
        <v>2020</v>
      </c>
      <c r="CA57" s="309" t="s">
        <v>792</v>
      </c>
      <c r="CB57" s="309" t="s">
        <v>792</v>
      </c>
      <c r="CC57" s="309" t="s">
        <v>792</v>
      </c>
      <c r="CD57" s="309" t="s">
        <v>792</v>
      </c>
      <c r="CE57" s="309" t="s">
        <v>792</v>
      </c>
      <c r="CF57" s="309" t="s">
        <v>792</v>
      </c>
      <c r="CH57" s="237" t="s">
        <v>273</v>
      </c>
      <c r="CI57" s="237">
        <v>2019</v>
      </c>
      <c r="CJ57" s="237">
        <v>54</v>
      </c>
      <c r="CK57" s="237">
        <v>51</v>
      </c>
      <c r="CL57" s="237">
        <v>94</v>
      </c>
      <c r="CM57" s="237">
        <v>132</v>
      </c>
      <c r="CN57" s="237">
        <v>173</v>
      </c>
      <c r="CO57" s="237">
        <v>504</v>
      </c>
      <c r="CP57" s="237"/>
      <c r="CQ57" s="237">
        <v>2019</v>
      </c>
      <c r="CR57" s="237">
        <v>12</v>
      </c>
      <c r="CS57" s="237">
        <v>0</v>
      </c>
      <c r="CT57" s="237">
        <v>0</v>
      </c>
      <c r="CU57" s="237">
        <v>0</v>
      </c>
      <c r="CV57" s="237">
        <v>0</v>
      </c>
      <c r="CW57" s="237">
        <v>12</v>
      </c>
      <c r="DP57" s="349" t="s">
        <v>807</v>
      </c>
      <c r="DQ57" s="349">
        <v>2020</v>
      </c>
      <c r="DR57" s="349">
        <v>208</v>
      </c>
      <c r="DS57" s="349">
        <v>250</v>
      </c>
      <c r="DT57" s="349">
        <v>356</v>
      </c>
      <c r="DU57" s="349">
        <v>436</v>
      </c>
      <c r="DV57" s="349">
        <v>376</v>
      </c>
      <c r="DW57" s="349">
        <v>1626</v>
      </c>
      <c r="DX57" s="349"/>
      <c r="DY57" s="349">
        <v>2020</v>
      </c>
      <c r="DZ57" s="349">
        <v>16</v>
      </c>
      <c r="EA57" s="349">
        <v>0</v>
      </c>
      <c r="EB57" s="349">
        <v>0</v>
      </c>
      <c r="EC57" s="349">
        <v>0</v>
      </c>
      <c r="ED57" s="349">
        <v>0</v>
      </c>
      <c r="EE57" s="349">
        <v>16</v>
      </c>
      <c r="EG57" s="237" t="s">
        <v>1110</v>
      </c>
      <c r="EH57" s="237">
        <v>2019</v>
      </c>
      <c r="EI57" s="237">
        <v>297</v>
      </c>
      <c r="EJ57" s="237">
        <v>500</v>
      </c>
      <c r="EK57" s="237">
        <v>639</v>
      </c>
      <c r="EL57" s="237">
        <v>678</v>
      </c>
      <c r="EM57" s="237">
        <v>851</v>
      </c>
      <c r="EN57" s="237">
        <v>2965</v>
      </c>
      <c r="EO57" s="237"/>
      <c r="EP57" s="237">
        <v>2019</v>
      </c>
      <c r="EQ57" s="237">
        <v>49</v>
      </c>
      <c r="ER57" s="237">
        <v>19</v>
      </c>
      <c r="ES57" s="237">
        <v>12</v>
      </c>
      <c r="ET57" s="237">
        <v>5</v>
      </c>
      <c r="EU57" s="237">
        <v>14</v>
      </c>
      <c r="EV57" s="237">
        <v>99</v>
      </c>
      <c r="EX57" s="309" t="s">
        <v>1172</v>
      </c>
      <c r="EY57" s="309">
        <v>2019</v>
      </c>
      <c r="EZ57" s="309">
        <v>203</v>
      </c>
      <c r="FA57" s="309">
        <v>238</v>
      </c>
      <c r="FB57" s="309">
        <v>233</v>
      </c>
      <c r="FC57" s="309">
        <v>282</v>
      </c>
      <c r="FD57" s="309">
        <v>317</v>
      </c>
      <c r="FE57" s="309">
        <v>1273</v>
      </c>
      <c r="FF57" s="309"/>
      <c r="FG57" s="309">
        <v>2019</v>
      </c>
      <c r="FH57" s="309">
        <v>48</v>
      </c>
      <c r="FI57" s="309">
        <v>29</v>
      </c>
      <c r="FJ57" s="309">
        <v>14</v>
      </c>
      <c r="FK57" s="309">
        <v>5</v>
      </c>
      <c r="FL57" s="309">
        <v>0</v>
      </c>
      <c r="FM57" s="309">
        <v>96</v>
      </c>
    </row>
    <row r="58" spans="1:169">
      <c r="A58" s="288" t="s">
        <v>644</v>
      </c>
      <c r="B58" s="288">
        <v>2019</v>
      </c>
      <c r="C58" s="288" t="s">
        <v>792</v>
      </c>
      <c r="D58" s="288" t="s">
        <v>792</v>
      </c>
      <c r="E58" s="288" t="s">
        <v>792</v>
      </c>
      <c r="F58" s="288" t="s">
        <v>792</v>
      </c>
      <c r="G58" s="288" t="s">
        <v>792</v>
      </c>
      <c r="H58" s="288" t="s">
        <v>792</v>
      </c>
      <c r="J58" s="288">
        <v>2019</v>
      </c>
      <c r="K58" s="288" t="s">
        <v>792</v>
      </c>
      <c r="L58" s="288" t="s">
        <v>792</v>
      </c>
      <c r="M58" s="288" t="s">
        <v>792</v>
      </c>
      <c r="N58" s="288" t="s">
        <v>792</v>
      </c>
      <c r="O58" s="288" t="s">
        <v>792</v>
      </c>
      <c r="P58" s="288" t="s">
        <v>792</v>
      </c>
      <c r="R58" s="289" t="s">
        <v>916</v>
      </c>
      <c r="S58" s="289">
        <v>2019</v>
      </c>
      <c r="T58" s="289" t="s">
        <v>792</v>
      </c>
      <c r="U58" s="289" t="s">
        <v>792</v>
      </c>
      <c r="V58" s="289" t="s">
        <v>792</v>
      </c>
      <c r="W58" s="289" t="s">
        <v>792</v>
      </c>
      <c r="X58" s="289" t="s">
        <v>792</v>
      </c>
      <c r="Y58" s="289" t="s">
        <v>792</v>
      </c>
      <c r="Z58" s="289"/>
      <c r="AA58" s="289">
        <v>2019</v>
      </c>
      <c r="AB58" s="289" t="s">
        <v>792</v>
      </c>
      <c r="AC58" s="289" t="s">
        <v>792</v>
      </c>
      <c r="AD58" s="289" t="s">
        <v>792</v>
      </c>
      <c r="AE58" s="289" t="s">
        <v>792</v>
      </c>
      <c r="AF58" s="289" t="s">
        <v>792</v>
      </c>
      <c r="AG58" s="289" t="s">
        <v>792</v>
      </c>
      <c r="AZ58" s="300" t="s">
        <v>139</v>
      </c>
      <c r="BA58" s="300">
        <v>2018</v>
      </c>
      <c r="BB58" s="300">
        <v>315</v>
      </c>
      <c r="BC58" s="300">
        <v>440</v>
      </c>
      <c r="BD58" s="300">
        <v>694</v>
      </c>
      <c r="BE58" s="300">
        <v>969</v>
      </c>
      <c r="BF58" s="300">
        <v>908</v>
      </c>
      <c r="BG58" s="300">
        <v>3326</v>
      </c>
      <c r="BH58" s="300"/>
      <c r="BI58" s="300">
        <v>2018</v>
      </c>
      <c r="BJ58" s="300">
        <v>39</v>
      </c>
      <c r="BK58" s="300">
        <v>0</v>
      </c>
      <c r="BL58" s="300">
        <v>0</v>
      </c>
      <c r="BM58" s="300">
        <v>0</v>
      </c>
      <c r="BN58" s="300">
        <v>0</v>
      </c>
      <c r="BO58" s="300">
        <v>39</v>
      </c>
      <c r="BQ58" s="309" t="s">
        <v>568</v>
      </c>
      <c r="BR58" s="309">
        <v>2020</v>
      </c>
      <c r="BS58" s="309">
        <v>1513</v>
      </c>
      <c r="BT58" s="309">
        <v>903</v>
      </c>
      <c r="BU58" s="309">
        <v>891</v>
      </c>
      <c r="BV58" s="309">
        <v>835</v>
      </c>
      <c r="BW58" s="309">
        <v>636</v>
      </c>
      <c r="BX58" s="309">
        <v>4778</v>
      </c>
      <c r="BY58" s="309"/>
      <c r="BZ58" s="309">
        <v>2020</v>
      </c>
      <c r="CA58" s="309">
        <v>485</v>
      </c>
      <c r="CB58" s="309">
        <v>3</v>
      </c>
      <c r="CC58" s="309">
        <v>0</v>
      </c>
      <c r="CD58" s="309">
        <v>0</v>
      </c>
      <c r="CE58" s="309">
        <v>0</v>
      </c>
      <c r="CF58" s="309">
        <v>488</v>
      </c>
      <c r="CH58" s="237" t="s">
        <v>224</v>
      </c>
      <c r="CI58" s="237">
        <v>2019</v>
      </c>
      <c r="CJ58" s="237">
        <v>235</v>
      </c>
      <c r="CK58" s="237">
        <v>118</v>
      </c>
      <c r="CL58" s="237">
        <v>158</v>
      </c>
      <c r="CM58" s="237">
        <v>209</v>
      </c>
      <c r="CN58" s="237">
        <v>321</v>
      </c>
      <c r="CO58" s="237">
        <v>1041</v>
      </c>
      <c r="CP58" s="237"/>
      <c r="CQ58" s="237">
        <v>2019</v>
      </c>
      <c r="CR58" s="237">
        <v>55</v>
      </c>
      <c r="CS58" s="237">
        <v>0</v>
      </c>
      <c r="CT58" s="237">
        <v>0</v>
      </c>
      <c r="CU58" s="237">
        <v>0</v>
      </c>
      <c r="CV58" s="237">
        <v>0</v>
      </c>
      <c r="CW58" s="237">
        <v>55</v>
      </c>
      <c r="DP58" s="349" t="s">
        <v>809</v>
      </c>
      <c r="DQ58" s="349">
        <v>2020</v>
      </c>
      <c r="DR58" s="349">
        <v>1491</v>
      </c>
      <c r="DS58" s="349">
        <v>1039</v>
      </c>
      <c r="DT58" s="349">
        <v>1275</v>
      </c>
      <c r="DU58" s="349">
        <v>1334</v>
      </c>
      <c r="DV58" s="349">
        <v>1000</v>
      </c>
      <c r="DW58" s="349">
        <v>6139</v>
      </c>
      <c r="DX58" s="349"/>
      <c r="DY58" s="349">
        <v>2020</v>
      </c>
      <c r="DZ58" s="349">
        <v>46</v>
      </c>
      <c r="EA58" s="349">
        <v>0</v>
      </c>
      <c r="EB58" s="349">
        <v>0</v>
      </c>
      <c r="EC58" s="349">
        <v>0</v>
      </c>
      <c r="ED58" s="349">
        <v>0</v>
      </c>
      <c r="EE58" s="349">
        <v>46</v>
      </c>
      <c r="EG58" s="237" t="s">
        <v>1113</v>
      </c>
      <c r="EH58" s="237">
        <v>2019</v>
      </c>
      <c r="EI58" s="237">
        <v>635</v>
      </c>
      <c r="EJ58" s="237">
        <v>739</v>
      </c>
      <c r="EK58" s="237">
        <v>895</v>
      </c>
      <c r="EL58" s="237">
        <v>1022</v>
      </c>
      <c r="EM58" s="237">
        <v>1107</v>
      </c>
      <c r="EN58" s="237">
        <v>4398</v>
      </c>
      <c r="EO58" s="237"/>
      <c r="EP58" s="237">
        <v>2019</v>
      </c>
      <c r="EQ58" s="237">
        <v>75</v>
      </c>
      <c r="ER58" s="237">
        <v>37</v>
      </c>
      <c r="ES58" s="237">
        <v>30</v>
      </c>
      <c r="ET58" s="237">
        <v>35</v>
      </c>
      <c r="EU58" s="237">
        <v>24</v>
      </c>
      <c r="EV58" s="237">
        <v>201</v>
      </c>
      <c r="EX58" s="309" t="s">
        <v>1173</v>
      </c>
      <c r="EY58" s="309">
        <v>2019</v>
      </c>
      <c r="EZ58" s="309">
        <v>459</v>
      </c>
      <c r="FA58" s="309">
        <v>463</v>
      </c>
      <c r="FB58" s="309">
        <v>417</v>
      </c>
      <c r="FC58" s="309">
        <v>462</v>
      </c>
      <c r="FD58" s="309">
        <v>647</v>
      </c>
      <c r="FE58" s="309">
        <v>2448</v>
      </c>
      <c r="FF58" s="309"/>
      <c r="FG58" s="309">
        <v>2019</v>
      </c>
      <c r="FH58" s="309">
        <v>112</v>
      </c>
      <c r="FI58" s="309">
        <v>0</v>
      </c>
      <c r="FJ58" s="309">
        <v>0</v>
      </c>
      <c r="FK58" s="309">
        <v>0</v>
      </c>
      <c r="FL58" s="309">
        <v>0</v>
      </c>
      <c r="FM58" s="309">
        <v>112</v>
      </c>
    </row>
    <row r="59" spans="1:169">
      <c r="A59" s="288" t="s">
        <v>646</v>
      </c>
      <c r="B59" s="288">
        <v>2019</v>
      </c>
      <c r="C59" s="288" t="s">
        <v>792</v>
      </c>
      <c r="D59" s="288" t="s">
        <v>792</v>
      </c>
      <c r="E59" s="288" t="s">
        <v>792</v>
      </c>
      <c r="F59" s="288" t="s">
        <v>792</v>
      </c>
      <c r="G59" s="288" t="s">
        <v>792</v>
      </c>
      <c r="H59" s="288" t="s">
        <v>792</v>
      </c>
      <c r="J59" s="288">
        <v>2019</v>
      </c>
      <c r="K59" s="288" t="s">
        <v>792</v>
      </c>
      <c r="L59" s="288" t="s">
        <v>792</v>
      </c>
      <c r="M59" s="288" t="s">
        <v>792</v>
      </c>
      <c r="N59" s="288" t="s">
        <v>792</v>
      </c>
      <c r="O59" s="288" t="s">
        <v>792</v>
      </c>
      <c r="P59" s="288" t="s">
        <v>792</v>
      </c>
      <c r="R59" s="289" t="s">
        <v>917</v>
      </c>
      <c r="S59" s="289">
        <v>2019</v>
      </c>
      <c r="T59" s="289">
        <v>233</v>
      </c>
      <c r="U59" s="289">
        <v>494</v>
      </c>
      <c r="V59" s="289">
        <v>793</v>
      </c>
      <c r="W59" s="289">
        <v>887</v>
      </c>
      <c r="X59" s="289">
        <v>565</v>
      </c>
      <c r="Y59" s="289">
        <v>2972</v>
      </c>
      <c r="Z59" s="289"/>
      <c r="AA59" s="289">
        <v>2019</v>
      </c>
      <c r="AB59" s="289">
        <v>5</v>
      </c>
      <c r="AC59" s="289">
        <v>3</v>
      </c>
      <c r="AD59" s="289">
        <v>1</v>
      </c>
      <c r="AE59" s="289">
        <v>0</v>
      </c>
      <c r="AF59" s="289">
        <v>0</v>
      </c>
      <c r="AG59" s="289">
        <v>9</v>
      </c>
      <c r="AI59" s="290" t="s">
        <v>395</v>
      </c>
      <c r="AJ59" s="290">
        <v>2019</v>
      </c>
      <c r="AK59" s="290">
        <v>349</v>
      </c>
      <c r="AL59" s="290">
        <v>540</v>
      </c>
      <c r="AM59" s="290">
        <v>852</v>
      </c>
      <c r="AN59" s="290">
        <v>996</v>
      </c>
      <c r="AO59" s="290">
        <v>689</v>
      </c>
      <c r="AP59" s="290">
        <v>3426</v>
      </c>
      <c r="AQ59" s="290"/>
      <c r="AR59" s="290">
        <v>2019</v>
      </c>
      <c r="AS59" s="290">
        <v>60</v>
      </c>
      <c r="AT59" s="290">
        <v>4</v>
      </c>
      <c r="AU59" s="290">
        <v>1</v>
      </c>
      <c r="AV59" s="290">
        <v>0</v>
      </c>
      <c r="AW59" s="290">
        <v>1</v>
      </c>
      <c r="AX59" s="290">
        <v>66</v>
      </c>
      <c r="AZ59" s="300" t="s">
        <v>141</v>
      </c>
      <c r="BA59" s="300">
        <v>2018</v>
      </c>
      <c r="BB59" s="300">
        <v>172</v>
      </c>
      <c r="BC59" s="300">
        <v>219</v>
      </c>
      <c r="BD59" s="300">
        <v>435</v>
      </c>
      <c r="BE59" s="300">
        <v>729</v>
      </c>
      <c r="BF59" s="300">
        <v>682</v>
      </c>
      <c r="BG59" s="300">
        <v>2237</v>
      </c>
      <c r="BH59" s="300"/>
      <c r="BI59" s="300">
        <v>2018</v>
      </c>
      <c r="BJ59" s="300">
        <v>36</v>
      </c>
      <c r="BK59" s="300">
        <v>0</v>
      </c>
      <c r="BL59" s="300">
        <v>0</v>
      </c>
      <c r="BM59" s="300">
        <v>0</v>
      </c>
      <c r="BN59" s="300">
        <v>0</v>
      </c>
      <c r="BO59" s="300">
        <v>36</v>
      </c>
      <c r="BQ59" s="309" t="s">
        <v>570</v>
      </c>
      <c r="BR59" s="309">
        <v>2020</v>
      </c>
      <c r="BS59" s="309">
        <v>31</v>
      </c>
      <c r="BT59" s="309">
        <v>40</v>
      </c>
      <c r="BU59" s="309">
        <v>77</v>
      </c>
      <c r="BV59" s="309">
        <v>105</v>
      </c>
      <c r="BW59" s="309">
        <v>90</v>
      </c>
      <c r="BX59" s="309">
        <v>343</v>
      </c>
      <c r="BY59" s="309"/>
      <c r="BZ59" s="309">
        <v>2020</v>
      </c>
      <c r="CA59" s="309">
        <v>10</v>
      </c>
      <c r="CB59" s="309">
        <v>0</v>
      </c>
      <c r="CC59" s="309">
        <v>0</v>
      </c>
      <c r="CD59" s="309">
        <v>0</v>
      </c>
      <c r="CE59" s="309">
        <v>0</v>
      </c>
      <c r="CF59" s="309">
        <v>10</v>
      </c>
      <c r="CH59" s="237" t="s">
        <v>216</v>
      </c>
      <c r="CI59" s="237">
        <v>2019</v>
      </c>
      <c r="CJ59" s="237">
        <v>284</v>
      </c>
      <c r="CK59" s="237">
        <v>225</v>
      </c>
      <c r="CL59" s="237">
        <v>298</v>
      </c>
      <c r="CM59" s="237">
        <v>398</v>
      </c>
      <c r="CN59" s="237">
        <v>313</v>
      </c>
      <c r="CO59" s="237">
        <v>1518</v>
      </c>
      <c r="CP59" s="237"/>
      <c r="CQ59" s="237">
        <v>2019</v>
      </c>
      <c r="CR59" s="237">
        <v>25</v>
      </c>
      <c r="CS59" s="237">
        <v>0</v>
      </c>
      <c r="CT59" s="237">
        <v>0</v>
      </c>
      <c r="CU59" s="237">
        <v>0</v>
      </c>
      <c r="CV59" s="237">
        <v>0</v>
      </c>
      <c r="CW59" s="237">
        <v>25</v>
      </c>
      <c r="DP59" s="349" t="s">
        <v>1483</v>
      </c>
      <c r="DQ59" s="349">
        <v>2020</v>
      </c>
      <c r="DR59" s="349" t="s">
        <v>792</v>
      </c>
      <c r="DS59" s="349" t="s">
        <v>792</v>
      </c>
      <c r="DT59" s="349" t="s">
        <v>792</v>
      </c>
      <c r="DU59" s="349" t="s">
        <v>792</v>
      </c>
      <c r="DV59" s="349" t="s">
        <v>792</v>
      </c>
      <c r="DW59" s="349" t="s">
        <v>792</v>
      </c>
      <c r="DX59" s="349"/>
      <c r="DY59" s="349">
        <v>2020</v>
      </c>
      <c r="DZ59" s="349" t="s">
        <v>792</v>
      </c>
      <c r="EA59" s="349" t="s">
        <v>792</v>
      </c>
      <c r="EB59" s="349" t="s">
        <v>792</v>
      </c>
      <c r="EC59" s="349" t="s">
        <v>792</v>
      </c>
      <c r="ED59" s="349" t="s">
        <v>792</v>
      </c>
      <c r="EE59" s="349" t="s">
        <v>792</v>
      </c>
      <c r="EG59" s="237" t="s">
        <v>1116</v>
      </c>
      <c r="EH59" s="237">
        <v>2019</v>
      </c>
      <c r="EI59" s="237">
        <v>322</v>
      </c>
      <c r="EJ59" s="237">
        <v>379</v>
      </c>
      <c r="EK59" s="237">
        <v>429</v>
      </c>
      <c r="EL59" s="237">
        <v>459</v>
      </c>
      <c r="EM59" s="237">
        <v>560</v>
      </c>
      <c r="EN59" s="237">
        <v>2149</v>
      </c>
      <c r="EO59" s="237"/>
      <c r="EP59" s="237">
        <v>2019</v>
      </c>
      <c r="EQ59" s="237">
        <v>16</v>
      </c>
      <c r="ER59" s="237">
        <v>9</v>
      </c>
      <c r="ES59" s="237">
        <v>8</v>
      </c>
      <c r="ET59" s="237">
        <v>6</v>
      </c>
      <c r="EU59" s="237">
        <v>12</v>
      </c>
      <c r="EV59" s="237">
        <v>51</v>
      </c>
      <c r="EX59" s="309" t="s">
        <v>1174</v>
      </c>
      <c r="EY59" s="309">
        <v>2019</v>
      </c>
      <c r="EZ59" s="309">
        <v>500</v>
      </c>
      <c r="FA59" s="309">
        <v>602</v>
      </c>
      <c r="FB59" s="309">
        <v>520</v>
      </c>
      <c r="FC59" s="309">
        <v>583</v>
      </c>
      <c r="FD59" s="309">
        <v>816</v>
      </c>
      <c r="FE59" s="309">
        <v>3021</v>
      </c>
      <c r="FF59" s="309"/>
      <c r="FG59" s="309">
        <v>2019</v>
      </c>
      <c r="FH59" s="309">
        <v>77</v>
      </c>
      <c r="FI59" s="309">
        <v>27</v>
      </c>
      <c r="FJ59" s="309">
        <v>0</v>
      </c>
      <c r="FK59" s="309">
        <v>0</v>
      </c>
      <c r="FL59" s="309">
        <v>0</v>
      </c>
      <c r="FM59" s="309">
        <v>104</v>
      </c>
    </row>
    <row r="60" spans="1:169">
      <c r="A60" s="288" t="s">
        <v>648</v>
      </c>
      <c r="B60" s="288">
        <v>2019</v>
      </c>
      <c r="C60" s="288" t="s">
        <v>792</v>
      </c>
      <c r="D60" s="288" t="s">
        <v>792</v>
      </c>
      <c r="E60" s="288" t="s">
        <v>792</v>
      </c>
      <c r="F60" s="288" t="s">
        <v>792</v>
      </c>
      <c r="G60" s="288" t="s">
        <v>792</v>
      </c>
      <c r="H60" s="288" t="s">
        <v>792</v>
      </c>
      <c r="J60" s="288">
        <v>2019</v>
      </c>
      <c r="K60" s="288" t="s">
        <v>792</v>
      </c>
      <c r="L60" s="288" t="s">
        <v>792</v>
      </c>
      <c r="M60" s="288" t="s">
        <v>792</v>
      </c>
      <c r="N60" s="288" t="s">
        <v>792</v>
      </c>
      <c r="O60" s="288" t="s">
        <v>792</v>
      </c>
      <c r="P60" s="288" t="s">
        <v>792</v>
      </c>
      <c r="R60" s="289" t="s">
        <v>918</v>
      </c>
      <c r="S60" s="289">
        <v>2019</v>
      </c>
      <c r="T60" s="289">
        <v>212</v>
      </c>
      <c r="U60" s="289">
        <v>370</v>
      </c>
      <c r="V60" s="289">
        <v>625</v>
      </c>
      <c r="W60" s="289">
        <v>707</v>
      </c>
      <c r="X60" s="289">
        <v>502</v>
      </c>
      <c r="Y60" s="289">
        <v>2416</v>
      </c>
      <c r="Z60" s="289"/>
      <c r="AA60" s="289">
        <v>2019</v>
      </c>
      <c r="AB60" s="289">
        <v>7</v>
      </c>
      <c r="AC60" s="289">
        <v>1</v>
      </c>
      <c r="AD60" s="289">
        <v>1</v>
      </c>
      <c r="AE60" s="289">
        <v>0</v>
      </c>
      <c r="AF60" s="289">
        <v>0</v>
      </c>
      <c r="AG60" s="289">
        <v>9</v>
      </c>
      <c r="AI60" s="290" t="s">
        <v>396</v>
      </c>
      <c r="AJ60" s="290">
        <v>2019</v>
      </c>
      <c r="AK60" s="290">
        <v>303</v>
      </c>
      <c r="AL60" s="290">
        <v>518</v>
      </c>
      <c r="AM60" s="290">
        <v>898</v>
      </c>
      <c r="AN60" s="290">
        <v>1276</v>
      </c>
      <c r="AO60" s="290">
        <v>945</v>
      </c>
      <c r="AP60" s="290">
        <v>3940</v>
      </c>
      <c r="AQ60" s="290"/>
      <c r="AR60" s="290">
        <v>2019</v>
      </c>
      <c r="AS60" s="290">
        <v>22</v>
      </c>
      <c r="AT60" s="290">
        <v>3</v>
      </c>
      <c r="AU60" s="290">
        <v>0</v>
      </c>
      <c r="AV60" s="290">
        <v>0</v>
      </c>
      <c r="AW60" s="290">
        <v>0</v>
      </c>
      <c r="AX60" s="290">
        <v>25</v>
      </c>
      <c r="AZ60" s="300" t="s">
        <v>179</v>
      </c>
      <c r="BA60" s="300">
        <v>2018</v>
      </c>
      <c r="BB60" s="300">
        <v>53</v>
      </c>
      <c r="BC60" s="300">
        <v>73</v>
      </c>
      <c r="BD60" s="300">
        <v>138</v>
      </c>
      <c r="BE60" s="300">
        <v>267</v>
      </c>
      <c r="BF60" s="300">
        <v>260</v>
      </c>
      <c r="BG60" s="300">
        <v>791</v>
      </c>
      <c r="BH60" s="300"/>
      <c r="BI60" s="300">
        <v>2018</v>
      </c>
      <c r="BJ60" s="300">
        <v>16</v>
      </c>
      <c r="BK60" s="300">
        <v>0</v>
      </c>
      <c r="BL60" s="300">
        <v>0</v>
      </c>
      <c r="BM60" s="300">
        <v>0</v>
      </c>
      <c r="BN60" s="300">
        <v>0</v>
      </c>
      <c r="BO60" s="300">
        <v>16</v>
      </c>
      <c r="BQ60" s="309" t="s">
        <v>1374</v>
      </c>
      <c r="BR60" s="309">
        <v>2020</v>
      </c>
      <c r="BS60" s="309" t="s">
        <v>792</v>
      </c>
      <c r="BT60" s="309" t="s">
        <v>792</v>
      </c>
      <c r="BU60" s="309" t="s">
        <v>792</v>
      </c>
      <c r="BV60" s="309" t="s">
        <v>792</v>
      </c>
      <c r="BW60" s="309" t="s">
        <v>792</v>
      </c>
      <c r="BX60" s="309" t="s">
        <v>792</v>
      </c>
      <c r="BY60" s="309"/>
      <c r="BZ60" s="309">
        <v>2020</v>
      </c>
      <c r="CA60" s="309" t="s">
        <v>792</v>
      </c>
      <c r="CB60" s="309" t="s">
        <v>792</v>
      </c>
      <c r="CC60" s="309" t="s">
        <v>792</v>
      </c>
      <c r="CD60" s="309" t="s">
        <v>792</v>
      </c>
      <c r="CE60" s="309" t="s">
        <v>792</v>
      </c>
      <c r="CF60" s="309" t="s">
        <v>792</v>
      </c>
      <c r="CH60" s="237" t="s">
        <v>220</v>
      </c>
      <c r="CI60" s="237">
        <v>2019</v>
      </c>
      <c r="CJ60" s="237">
        <v>192</v>
      </c>
      <c r="CK60" s="237">
        <v>178</v>
      </c>
      <c r="CL60" s="237">
        <v>280</v>
      </c>
      <c r="CM60" s="237">
        <v>379</v>
      </c>
      <c r="CN60" s="237">
        <v>337</v>
      </c>
      <c r="CO60" s="237">
        <v>1366</v>
      </c>
      <c r="CP60" s="237"/>
      <c r="CQ60" s="237">
        <v>2019</v>
      </c>
      <c r="CR60" s="237">
        <v>23</v>
      </c>
      <c r="CS60" s="237">
        <v>0</v>
      </c>
      <c r="CT60" s="237">
        <v>0</v>
      </c>
      <c r="CU60" s="237">
        <v>0</v>
      </c>
      <c r="CV60" s="237">
        <v>0</v>
      </c>
      <c r="CW60" s="237">
        <v>23</v>
      </c>
      <c r="DP60" s="349" t="s">
        <v>811</v>
      </c>
      <c r="DQ60" s="349">
        <v>2020</v>
      </c>
      <c r="DR60" s="349">
        <v>188</v>
      </c>
      <c r="DS60" s="349">
        <v>238</v>
      </c>
      <c r="DT60" s="349">
        <v>353</v>
      </c>
      <c r="DU60" s="349">
        <v>404</v>
      </c>
      <c r="DV60" s="349">
        <v>271</v>
      </c>
      <c r="DW60" s="349">
        <v>1454</v>
      </c>
      <c r="DX60" s="349"/>
      <c r="DY60" s="349">
        <v>2020</v>
      </c>
      <c r="DZ60" s="349">
        <v>11</v>
      </c>
      <c r="EA60" s="349">
        <v>0</v>
      </c>
      <c r="EB60" s="349">
        <v>0</v>
      </c>
      <c r="EC60" s="349">
        <v>0</v>
      </c>
      <c r="ED60" s="349">
        <v>0</v>
      </c>
      <c r="EE60" s="349">
        <v>11</v>
      </c>
      <c r="EG60" s="237" t="s">
        <v>1119</v>
      </c>
      <c r="EH60" s="237">
        <v>2019</v>
      </c>
      <c r="EI60" s="237">
        <v>100</v>
      </c>
      <c r="EJ60" s="237">
        <v>126</v>
      </c>
      <c r="EK60" s="237">
        <v>184</v>
      </c>
      <c r="EL60" s="237">
        <v>215</v>
      </c>
      <c r="EM60" s="237">
        <v>252</v>
      </c>
      <c r="EN60" s="237">
        <v>877</v>
      </c>
      <c r="EO60" s="237"/>
      <c r="EP60" s="237">
        <v>2019</v>
      </c>
      <c r="EQ60" s="237">
        <v>28</v>
      </c>
      <c r="ER60" s="237">
        <v>5</v>
      </c>
      <c r="ES60" s="237">
        <v>1</v>
      </c>
      <c r="ET60" s="237">
        <v>0</v>
      </c>
      <c r="EU60" s="237">
        <v>0</v>
      </c>
      <c r="EV60" s="237">
        <v>34</v>
      </c>
      <c r="EX60" s="309" t="s">
        <v>1870</v>
      </c>
      <c r="EY60" s="309">
        <v>2019</v>
      </c>
      <c r="EZ60" s="309" t="s">
        <v>792</v>
      </c>
      <c r="FA60" s="309" t="s">
        <v>792</v>
      </c>
      <c r="FB60" s="309" t="s">
        <v>792</v>
      </c>
      <c r="FC60" s="309" t="s">
        <v>792</v>
      </c>
      <c r="FD60" s="309" t="s">
        <v>792</v>
      </c>
      <c r="FE60" s="309" t="s">
        <v>792</v>
      </c>
      <c r="FF60" s="309"/>
      <c r="FG60" s="309">
        <v>2019</v>
      </c>
      <c r="FH60" s="309" t="s">
        <v>792</v>
      </c>
      <c r="FI60" s="309" t="s">
        <v>792</v>
      </c>
      <c r="FJ60" s="309" t="s">
        <v>792</v>
      </c>
      <c r="FK60" s="309" t="s">
        <v>792</v>
      </c>
      <c r="FL60" s="309" t="s">
        <v>792</v>
      </c>
      <c r="FM60" s="309" t="s">
        <v>792</v>
      </c>
    </row>
    <row r="61" spans="1:169">
      <c r="A61" s="288" t="s">
        <v>650</v>
      </c>
      <c r="B61" s="288">
        <v>2019</v>
      </c>
      <c r="C61" s="288" t="s">
        <v>792</v>
      </c>
      <c r="D61" s="288" t="s">
        <v>792</v>
      </c>
      <c r="E61" s="288" t="s">
        <v>792</v>
      </c>
      <c r="F61" s="288" t="s">
        <v>792</v>
      </c>
      <c r="G61" s="288" t="s">
        <v>792</v>
      </c>
      <c r="H61" s="288" t="s">
        <v>792</v>
      </c>
      <c r="J61" s="288">
        <v>2019</v>
      </c>
      <c r="K61" s="288" t="s">
        <v>792</v>
      </c>
      <c r="L61" s="288" t="s">
        <v>792</v>
      </c>
      <c r="M61" s="288" t="s">
        <v>792</v>
      </c>
      <c r="N61" s="288" t="s">
        <v>792</v>
      </c>
      <c r="O61" s="288" t="s">
        <v>792</v>
      </c>
      <c r="P61" s="288" t="s">
        <v>792</v>
      </c>
      <c r="R61" s="289" t="s">
        <v>919</v>
      </c>
      <c r="S61" s="289">
        <v>2019</v>
      </c>
      <c r="T61" s="289">
        <v>939</v>
      </c>
      <c r="U61" s="289">
        <v>446</v>
      </c>
      <c r="V61" s="289">
        <v>448</v>
      </c>
      <c r="W61" s="289">
        <v>412</v>
      </c>
      <c r="X61" s="289">
        <v>300</v>
      </c>
      <c r="Y61" s="289">
        <v>2545</v>
      </c>
      <c r="Z61" s="289"/>
      <c r="AA61" s="289">
        <v>2019</v>
      </c>
      <c r="AB61" s="289">
        <v>44</v>
      </c>
      <c r="AC61" s="289">
        <v>0</v>
      </c>
      <c r="AD61" s="289">
        <v>0</v>
      </c>
      <c r="AE61" s="289">
        <v>0</v>
      </c>
      <c r="AF61" s="289">
        <v>0</v>
      </c>
      <c r="AG61" s="289">
        <v>44</v>
      </c>
      <c r="AI61" s="290" t="s">
        <v>397</v>
      </c>
      <c r="AJ61" s="290">
        <v>2019</v>
      </c>
      <c r="AK61" s="290">
        <v>223</v>
      </c>
      <c r="AL61" s="290">
        <v>329</v>
      </c>
      <c r="AM61" s="290">
        <v>507</v>
      </c>
      <c r="AN61" s="290">
        <v>571</v>
      </c>
      <c r="AO61" s="290">
        <v>424</v>
      </c>
      <c r="AP61" s="290">
        <v>2054</v>
      </c>
      <c r="AQ61" s="290"/>
      <c r="AR61" s="290">
        <v>2019</v>
      </c>
      <c r="AS61" s="290">
        <v>19</v>
      </c>
      <c r="AT61" s="290">
        <v>0</v>
      </c>
      <c r="AU61" s="290">
        <v>0</v>
      </c>
      <c r="AV61" s="290">
        <v>0</v>
      </c>
      <c r="AW61" s="290">
        <v>0</v>
      </c>
      <c r="AX61" s="290">
        <v>19</v>
      </c>
      <c r="AZ61" s="300" t="s">
        <v>188</v>
      </c>
      <c r="BA61" s="300">
        <v>2018</v>
      </c>
      <c r="BB61" s="300" t="s">
        <v>792</v>
      </c>
      <c r="BC61" s="300" t="s">
        <v>792</v>
      </c>
      <c r="BD61" s="300" t="s">
        <v>792</v>
      </c>
      <c r="BE61" s="300" t="s">
        <v>792</v>
      </c>
      <c r="BF61" s="300" t="s">
        <v>792</v>
      </c>
      <c r="BG61" s="300" t="s">
        <v>792</v>
      </c>
      <c r="BH61" s="300"/>
      <c r="BI61" s="300">
        <v>2018</v>
      </c>
      <c r="BJ61" s="300" t="s">
        <v>792</v>
      </c>
      <c r="BK61" s="300" t="s">
        <v>792</v>
      </c>
      <c r="BL61" s="300" t="s">
        <v>792</v>
      </c>
      <c r="BM61" s="300" t="s">
        <v>792</v>
      </c>
      <c r="BN61" s="300" t="s">
        <v>792</v>
      </c>
      <c r="BO61" s="300" t="s">
        <v>792</v>
      </c>
      <c r="BQ61" s="309" t="s">
        <v>572</v>
      </c>
      <c r="BR61" s="309">
        <v>2020</v>
      </c>
      <c r="BS61" s="309">
        <v>1038</v>
      </c>
      <c r="BT61" s="309">
        <v>382</v>
      </c>
      <c r="BU61" s="309">
        <v>517</v>
      </c>
      <c r="BV61" s="309">
        <v>687</v>
      </c>
      <c r="BW61" s="309">
        <v>636</v>
      </c>
      <c r="BX61" s="309">
        <v>3260</v>
      </c>
      <c r="BY61" s="309"/>
      <c r="BZ61" s="309">
        <v>2020</v>
      </c>
      <c r="CA61" s="309">
        <v>295</v>
      </c>
      <c r="CB61" s="309">
        <v>0</v>
      </c>
      <c r="CC61" s="309">
        <v>0</v>
      </c>
      <c r="CD61" s="309">
        <v>0</v>
      </c>
      <c r="CE61" s="309">
        <v>0</v>
      </c>
      <c r="CF61" s="309">
        <v>295</v>
      </c>
      <c r="CH61" s="237" t="s">
        <v>222</v>
      </c>
      <c r="CI61" s="237">
        <v>2019</v>
      </c>
      <c r="CJ61" s="237">
        <v>233</v>
      </c>
      <c r="CK61" s="237">
        <v>414</v>
      </c>
      <c r="CL61" s="237">
        <v>510</v>
      </c>
      <c r="CM61" s="237">
        <v>647</v>
      </c>
      <c r="CN61" s="237">
        <v>528</v>
      </c>
      <c r="CO61" s="237">
        <v>2332</v>
      </c>
      <c r="CP61" s="237"/>
      <c r="CQ61" s="237">
        <v>2019</v>
      </c>
      <c r="CR61" s="237">
        <v>15</v>
      </c>
      <c r="CS61" s="237">
        <v>0</v>
      </c>
      <c r="CT61" s="237">
        <v>0</v>
      </c>
      <c r="CU61" s="237">
        <v>0</v>
      </c>
      <c r="CV61" s="237">
        <v>0</v>
      </c>
      <c r="CW61" s="237">
        <v>15</v>
      </c>
      <c r="DP61" s="349" t="s">
        <v>813</v>
      </c>
      <c r="DQ61" s="349">
        <v>2020</v>
      </c>
      <c r="DR61" s="349">
        <v>131</v>
      </c>
      <c r="DS61" s="349">
        <v>215</v>
      </c>
      <c r="DT61" s="349">
        <v>372</v>
      </c>
      <c r="DU61" s="349">
        <v>439</v>
      </c>
      <c r="DV61" s="349">
        <v>364</v>
      </c>
      <c r="DW61" s="349">
        <v>1521</v>
      </c>
      <c r="DX61" s="349"/>
      <c r="DY61" s="349">
        <v>2020</v>
      </c>
      <c r="DZ61" s="349">
        <v>15</v>
      </c>
      <c r="EA61" s="349">
        <v>1</v>
      </c>
      <c r="EB61" s="349">
        <v>0</v>
      </c>
      <c r="EC61" s="349">
        <v>0</v>
      </c>
      <c r="ED61" s="349">
        <v>0</v>
      </c>
      <c r="EE61" s="349">
        <v>16</v>
      </c>
      <c r="EG61" s="237" t="s">
        <v>1122</v>
      </c>
      <c r="EH61" s="237">
        <v>2019</v>
      </c>
      <c r="EI61" s="237">
        <v>86</v>
      </c>
      <c r="EJ61" s="237">
        <v>128</v>
      </c>
      <c r="EK61" s="237">
        <v>186</v>
      </c>
      <c r="EL61" s="237">
        <v>255</v>
      </c>
      <c r="EM61" s="237">
        <v>292</v>
      </c>
      <c r="EN61" s="237">
        <v>947</v>
      </c>
      <c r="EO61" s="237"/>
      <c r="EP61" s="237">
        <v>2019</v>
      </c>
      <c r="EQ61" s="237">
        <v>12</v>
      </c>
      <c r="ER61" s="237">
        <v>13</v>
      </c>
      <c r="ES61" s="237">
        <v>7</v>
      </c>
      <c r="ET61" s="237">
        <v>9</v>
      </c>
      <c r="EU61" s="237">
        <v>12</v>
      </c>
      <c r="EV61" s="237">
        <v>53</v>
      </c>
      <c r="EX61" s="309" t="s">
        <v>1175</v>
      </c>
      <c r="EY61" s="309">
        <v>2019</v>
      </c>
      <c r="EZ61" s="309">
        <v>1849</v>
      </c>
      <c r="FA61" s="309">
        <v>1445</v>
      </c>
      <c r="FB61" s="309">
        <v>954</v>
      </c>
      <c r="FC61" s="309">
        <v>877</v>
      </c>
      <c r="FD61" s="309">
        <v>955</v>
      </c>
      <c r="FE61" s="309">
        <v>6080</v>
      </c>
      <c r="FF61" s="309"/>
      <c r="FG61" s="309">
        <v>2019</v>
      </c>
      <c r="FH61" s="309">
        <v>320</v>
      </c>
      <c r="FI61" s="309">
        <v>104</v>
      </c>
      <c r="FJ61" s="309">
        <v>36</v>
      </c>
      <c r="FK61" s="309">
        <v>0</v>
      </c>
      <c r="FL61" s="309">
        <v>0</v>
      </c>
      <c r="FM61" s="309">
        <v>460</v>
      </c>
    </row>
    <row r="62" spans="1:169">
      <c r="A62" s="288" t="s">
        <v>652</v>
      </c>
      <c r="B62" s="288">
        <v>2019</v>
      </c>
      <c r="C62" s="288" t="s">
        <v>792</v>
      </c>
      <c r="D62" s="288" t="s">
        <v>792</v>
      </c>
      <c r="E62" s="288" t="s">
        <v>792</v>
      </c>
      <c r="F62" s="288" t="s">
        <v>792</v>
      </c>
      <c r="G62" s="288" t="s">
        <v>792</v>
      </c>
      <c r="H62" s="288" t="s">
        <v>792</v>
      </c>
      <c r="J62" s="288">
        <v>2019</v>
      </c>
      <c r="K62" s="288" t="s">
        <v>792</v>
      </c>
      <c r="L62" s="288" t="s">
        <v>792</v>
      </c>
      <c r="M62" s="288" t="s">
        <v>792</v>
      </c>
      <c r="N62" s="288" t="s">
        <v>792</v>
      </c>
      <c r="O62" s="288" t="s">
        <v>792</v>
      </c>
      <c r="P62" s="288" t="s">
        <v>792</v>
      </c>
      <c r="R62" s="289" t="s">
        <v>920</v>
      </c>
      <c r="S62" s="289">
        <v>2019</v>
      </c>
      <c r="T62" s="289">
        <v>98</v>
      </c>
      <c r="U62" s="289">
        <v>156</v>
      </c>
      <c r="V62" s="289">
        <v>297</v>
      </c>
      <c r="W62" s="289">
        <v>381</v>
      </c>
      <c r="X62" s="289">
        <v>327</v>
      </c>
      <c r="Y62" s="289">
        <v>1259</v>
      </c>
      <c r="Z62" s="289"/>
      <c r="AA62" s="289">
        <v>2019</v>
      </c>
      <c r="AB62" s="289">
        <v>8</v>
      </c>
      <c r="AC62" s="289">
        <v>6</v>
      </c>
      <c r="AD62" s="289">
        <v>0</v>
      </c>
      <c r="AE62" s="289">
        <v>0</v>
      </c>
      <c r="AF62" s="289">
        <v>0</v>
      </c>
      <c r="AG62" s="289">
        <v>14</v>
      </c>
      <c r="AI62" s="290" t="s">
        <v>398</v>
      </c>
      <c r="AJ62" s="290">
        <v>2019</v>
      </c>
      <c r="AK62" s="290">
        <v>266</v>
      </c>
      <c r="AL62" s="290">
        <v>442</v>
      </c>
      <c r="AM62" s="290">
        <v>653</v>
      </c>
      <c r="AN62" s="290">
        <v>871</v>
      </c>
      <c r="AO62" s="290">
        <v>582</v>
      </c>
      <c r="AP62" s="290">
        <v>2814</v>
      </c>
      <c r="AQ62" s="290"/>
      <c r="AR62" s="290">
        <v>2019</v>
      </c>
      <c r="AS62" s="290">
        <v>17</v>
      </c>
      <c r="AT62" s="290">
        <v>5</v>
      </c>
      <c r="AU62" s="290">
        <v>1</v>
      </c>
      <c r="AV62" s="290">
        <v>1</v>
      </c>
      <c r="AW62" s="290">
        <v>0</v>
      </c>
      <c r="AX62" s="290">
        <v>24</v>
      </c>
      <c r="AZ62" s="300" t="s">
        <v>143</v>
      </c>
      <c r="BA62" s="300">
        <v>2018</v>
      </c>
      <c r="BB62" s="300">
        <v>272</v>
      </c>
      <c r="BC62" s="300">
        <v>106</v>
      </c>
      <c r="BD62" s="300">
        <v>148</v>
      </c>
      <c r="BE62" s="300">
        <v>187</v>
      </c>
      <c r="BF62" s="300">
        <v>237</v>
      </c>
      <c r="BG62" s="300">
        <v>950</v>
      </c>
      <c r="BH62" s="300"/>
      <c r="BI62" s="300">
        <v>2018</v>
      </c>
      <c r="BJ62" s="300">
        <v>45</v>
      </c>
      <c r="BK62" s="300">
        <v>0</v>
      </c>
      <c r="BL62" s="300">
        <v>0</v>
      </c>
      <c r="BM62" s="300">
        <v>0</v>
      </c>
      <c r="BN62" s="300">
        <v>0</v>
      </c>
      <c r="BO62" s="300">
        <v>45</v>
      </c>
      <c r="BQ62" s="309" t="s">
        <v>575</v>
      </c>
      <c r="BR62" s="309">
        <v>2020</v>
      </c>
      <c r="BS62" s="309">
        <v>65</v>
      </c>
      <c r="BT62" s="309">
        <v>131</v>
      </c>
      <c r="BU62" s="309">
        <v>244</v>
      </c>
      <c r="BV62" s="309">
        <v>369</v>
      </c>
      <c r="BW62" s="309">
        <v>306</v>
      </c>
      <c r="BX62" s="309">
        <v>1115</v>
      </c>
      <c r="BY62" s="309"/>
      <c r="BZ62" s="309">
        <v>2020</v>
      </c>
      <c r="CA62" s="309">
        <v>15</v>
      </c>
      <c r="CB62" s="309">
        <v>0</v>
      </c>
      <c r="CC62" s="309">
        <v>0</v>
      </c>
      <c r="CD62" s="309">
        <v>0</v>
      </c>
      <c r="CE62" s="309">
        <v>0</v>
      </c>
      <c r="CF62" s="309">
        <v>15</v>
      </c>
      <c r="CH62" s="237" t="s">
        <v>226</v>
      </c>
      <c r="CI62" s="237">
        <v>2019</v>
      </c>
      <c r="CJ62" s="237">
        <v>145</v>
      </c>
      <c r="CK62" s="237">
        <v>157</v>
      </c>
      <c r="CL62" s="237">
        <v>296</v>
      </c>
      <c r="CM62" s="237">
        <v>374</v>
      </c>
      <c r="CN62" s="237">
        <v>287</v>
      </c>
      <c r="CO62" s="237">
        <v>1259</v>
      </c>
      <c r="CP62" s="237"/>
      <c r="CQ62" s="237">
        <v>2019</v>
      </c>
      <c r="CR62" s="237">
        <v>18</v>
      </c>
      <c r="CS62" s="237">
        <v>0</v>
      </c>
      <c r="CT62" s="237">
        <v>0</v>
      </c>
      <c r="CU62" s="237">
        <v>0</v>
      </c>
      <c r="CV62" s="237">
        <v>0</v>
      </c>
      <c r="CW62" s="237">
        <v>18</v>
      </c>
      <c r="DP62" s="349" t="s">
        <v>815</v>
      </c>
      <c r="DQ62" s="349">
        <v>2020</v>
      </c>
      <c r="DR62" s="349">
        <v>203</v>
      </c>
      <c r="DS62" s="349">
        <v>264</v>
      </c>
      <c r="DT62" s="349">
        <v>311</v>
      </c>
      <c r="DU62" s="349">
        <v>390</v>
      </c>
      <c r="DV62" s="349">
        <v>300</v>
      </c>
      <c r="DW62" s="349">
        <v>1468</v>
      </c>
      <c r="DX62" s="349"/>
      <c r="DY62" s="349">
        <v>2020</v>
      </c>
      <c r="DZ62" s="349">
        <v>19</v>
      </c>
      <c r="EA62" s="349">
        <v>2</v>
      </c>
      <c r="EB62" s="349">
        <v>0</v>
      </c>
      <c r="EC62" s="349">
        <v>0</v>
      </c>
      <c r="ED62" s="349">
        <v>0</v>
      </c>
      <c r="EE62" s="349">
        <v>21</v>
      </c>
      <c r="EG62" s="237" t="s">
        <v>1125</v>
      </c>
      <c r="EH62" s="237">
        <v>2019</v>
      </c>
      <c r="EI62" s="237">
        <v>96</v>
      </c>
      <c r="EJ62" s="237">
        <v>136</v>
      </c>
      <c r="EK62" s="237">
        <v>190</v>
      </c>
      <c r="EL62" s="237">
        <v>280</v>
      </c>
      <c r="EM62" s="237">
        <v>352</v>
      </c>
      <c r="EN62" s="237">
        <v>1054</v>
      </c>
      <c r="EO62" s="237"/>
      <c r="EP62" s="237">
        <v>2019</v>
      </c>
      <c r="EQ62" s="237">
        <v>17</v>
      </c>
      <c r="ER62" s="237">
        <v>9</v>
      </c>
      <c r="ES62" s="237">
        <v>6</v>
      </c>
      <c r="ET62" s="237">
        <v>4</v>
      </c>
      <c r="EU62" s="237">
        <v>2</v>
      </c>
      <c r="EV62" s="237">
        <v>38</v>
      </c>
      <c r="EX62" s="309" t="s">
        <v>1177</v>
      </c>
      <c r="EY62" s="309">
        <v>2019</v>
      </c>
      <c r="EZ62" s="309">
        <v>307</v>
      </c>
      <c r="FA62" s="309">
        <v>526</v>
      </c>
      <c r="FB62" s="309">
        <v>679</v>
      </c>
      <c r="FC62" s="309">
        <v>650</v>
      </c>
      <c r="FD62" s="309">
        <v>706</v>
      </c>
      <c r="FE62" s="309">
        <v>2868</v>
      </c>
      <c r="FF62" s="309"/>
      <c r="FG62" s="309">
        <v>2019</v>
      </c>
      <c r="FH62" s="309">
        <v>41</v>
      </c>
      <c r="FI62" s="309">
        <v>4</v>
      </c>
      <c r="FJ62" s="309">
        <v>0</v>
      </c>
      <c r="FK62" s="309">
        <v>0</v>
      </c>
      <c r="FL62" s="309">
        <v>0</v>
      </c>
      <c r="FM62" s="309">
        <v>45</v>
      </c>
    </row>
    <row r="63" spans="1:169">
      <c r="A63" s="288" t="s">
        <v>654</v>
      </c>
      <c r="B63" s="288">
        <v>2019</v>
      </c>
      <c r="C63" s="288" t="s">
        <v>792</v>
      </c>
      <c r="D63" s="288" t="s">
        <v>792</v>
      </c>
      <c r="E63" s="288" t="s">
        <v>792</v>
      </c>
      <c r="F63" s="288" t="s">
        <v>792</v>
      </c>
      <c r="G63" s="288" t="s">
        <v>792</v>
      </c>
      <c r="H63" s="288" t="s">
        <v>792</v>
      </c>
      <c r="J63" s="288">
        <v>2019</v>
      </c>
      <c r="K63" s="288" t="s">
        <v>792</v>
      </c>
      <c r="L63" s="288" t="s">
        <v>792</v>
      </c>
      <c r="M63" s="288" t="s">
        <v>792</v>
      </c>
      <c r="N63" s="288" t="s">
        <v>792</v>
      </c>
      <c r="O63" s="288" t="s">
        <v>792</v>
      </c>
      <c r="P63" s="288" t="s">
        <v>792</v>
      </c>
      <c r="AI63" s="290" t="s">
        <v>399</v>
      </c>
      <c r="AJ63" s="290">
        <v>2019</v>
      </c>
      <c r="AK63" s="290">
        <v>225</v>
      </c>
      <c r="AL63" s="290">
        <v>254</v>
      </c>
      <c r="AM63" s="290">
        <v>456</v>
      </c>
      <c r="AN63" s="290">
        <v>557</v>
      </c>
      <c r="AO63" s="290">
        <v>433</v>
      </c>
      <c r="AP63" s="290">
        <v>1925</v>
      </c>
      <c r="AQ63" s="290"/>
      <c r="AR63" s="290">
        <v>2019</v>
      </c>
      <c r="AS63" s="290">
        <v>34</v>
      </c>
      <c r="AT63" s="290">
        <v>0</v>
      </c>
      <c r="AU63" s="290">
        <v>0</v>
      </c>
      <c r="AV63" s="290">
        <v>0</v>
      </c>
      <c r="AW63" s="290">
        <v>0</v>
      </c>
      <c r="AX63" s="290">
        <v>34</v>
      </c>
      <c r="AZ63" s="182"/>
      <c r="BA63" s="182"/>
      <c r="BB63" s="182"/>
      <c r="BC63" s="182"/>
      <c r="BD63" s="182"/>
      <c r="BE63" s="182"/>
      <c r="BF63" s="182"/>
      <c r="BG63" s="182"/>
      <c r="BH63" s="182"/>
      <c r="BI63" s="182"/>
      <c r="BJ63" s="182"/>
      <c r="BK63" s="182"/>
      <c r="BL63" s="182"/>
      <c r="BM63" s="182"/>
      <c r="BN63" s="182"/>
      <c r="BO63" s="182"/>
      <c r="BQ63" s="309" t="s">
        <v>578</v>
      </c>
      <c r="BR63" s="309">
        <v>2020</v>
      </c>
      <c r="BS63" s="309">
        <v>115</v>
      </c>
      <c r="BT63" s="309">
        <v>79</v>
      </c>
      <c r="BU63" s="309">
        <v>209</v>
      </c>
      <c r="BV63" s="309">
        <v>314</v>
      </c>
      <c r="BW63" s="309">
        <v>264</v>
      </c>
      <c r="BX63" s="309">
        <v>981</v>
      </c>
      <c r="BY63" s="309"/>
      <c r="BZ63" s="309">
        <v>2020</v>
      </c>
      <c r="CA63" s="309">
        <v>45</v>
      </c>
      <c r="CB63" s="309">
        <v>0</v>
      </c>
      <c r="CC63" s="309">
        <v>0</v>
      </c>
      <c r="CD63" s="309">
        <v>0</v>
      </c>
      <c r="CE63" s="309">
        <v>0</v>
      </c>
      <c r="CF63" s="309">
        <v>45</v>
      </c>
      <c r="CH63" s="237" t="s">
        <v>228</v>
      </c>
      <c r="CI63" s="237">
        <v>2019</v>
      </c>
      <c r="CJ63" s="237">
        <v>137</v>
      </c>
      <c r="CK63" s="237">
        <v>85</v>
      </c>
      <c r="CL63" s="237">
        <v>118</v>
      </c>
      <c r="CM63" s="237">
        <v>161</v>
      </c>
      <c r="CN63" s="237">
        <v>194</v>
      </c>
      <c r="CO63" s="237">
        <v>695</v>
      </c>
      <c r="CP63" s="237"/>
      <c r="CQ63" s="237">
        <v>2019</v>
      </c>
      <c r="CR63" s="237">
        <v>43</v>
      </c>
      <c r="CS63" s="237">
        <v>0</v>
      </c>
      <c r="CT63" s="237">
        <v>0</v>
      </c>
      <c r="CU63" s="237">
        <v>0</v>
      </c>
      <c r="CV63" s="237">
        <v>0</v>
      </c>
      <c r="CW63" s="237">
        <v>43</v>
      </c>
      <c r="DP63" s="349" t="s">
        <v>817</v>
      </c>
      <c r="DQ63" s="349">
        <v>2020</v>
      </c>
      <c r="DR63" s="349">
        <v>123</v>
      </c>
      <c r="DS63" s="349">
        <v>169</v>
      </c>
      <c r="DT63" s="349">
        <v>208</v>
      </c>
      <c r="DU63" s="349">
        <v>263</v>
      </c>
      <c r="DV63" s="349">
        <v>262</v>
      </c>
      <c r="DW63" s="349">
        <v>1025</v>
      </c>
      <c r="DX63" s="349"/>
      <c r="DY63" s="349">
        <v>2020</v>
      </c>
      <c r="DZ63" s="349">
        <v>11</v>
      </c>
      <c r="EA63" s="349">
        <v>1</v>
      </c>
      <c r="EB63" s="349">
        <v>0</v>
      </c>
      <c r="EC63" s="349">
        <v>0</v>
      </c>
      <c r="ED63" s="349">
        <v>0</v>
      </c>
      <c r="EE63" s="349">
        <v>12</v>
      </c>
      <c r="EG63" s="237" t="s">
        <v>1128</v>
      </c>
      <c r="EH63" s="237">
        <v>2019</v>
      </c>
      <c r="EI63" s="237">
        <v>98</v>
      </c>
      <c r="EJ63" s="237">
        <v>137</v>
      </c>
      <c r="EK63" s="237">
        <v>188</v>
      </c>
      <c r="EL63" s="237">
        <v>242</v>
      </c>
      <c r="EM63" s="237">
        <v>347</v>
      </c>
      <c r="EN63" s="237">
        <v>1012</v>
      </c>
      <c r="EO63" s="237"/>
      <c r="EP63" s="237">
        <v>2019</v>
      </c>
      <c r="EQ63" s="237">
        <v>9</v>
      </c>
      <c r="ER63" s="237">
        <v>4</v>
      </c>
      <c r="ES63" s="237">
        <v>0</v>
      </c>
      <c r="ET63" s="237">
        <v>0</v>
      </c>
      <c r="EU63" s="237">
        <v>0</v>
      </c>
      <c r="EV63" s="237">
        <v>13</v>
      </c>
      <c r="EX63" s="309" t="s">
        <v>1178</v>
      </c>
      <c r="EY63" s="309">
        <v>2019</v>
      </c>
      <c r="EZ63" s="309">
        <v>306</v>
      </c>
      <c r="FA63" s="309">
        <v>542</v>
      </c>
      <c r="FB63" s="309">
        <v>676</v>
      </c>
      <c r="FC63" s="309">
        <v>682</v>
      </c>
      <c r="FD63" s="309">
        <v>795</v>
      </c>
      <c r="FE63" s="309">
        <v>3001</v>
      </c>
      <c r="FF63" s="309"/>
      <c r="FG63" s="309">
        <v>2019</v>
      </c>
      <c r="FH63" s="309">
        <v>15</v>
      </c>
      <c r="FI63" s="309">
        <v>0</v>
      </c>
      <c r="FJ63" s="309">
        <v>0</v>
      </c>
      <c r="FK63" s="309">
        <v>0</v>
      </c>
      <c r="FL63" s="309">
        <v>0</v>
      </c>
      <c r="FM63" s="309">
        <v>15</v>
      </c>
    </row>
    <row r="64" spans="1:169">
      <c r="A64" s="288" t="s">
        <v>656</v>
      </c>
      <c r="B64" s="288">
        <v>2019</v>
      </c>
      <c r="C64" s="288" t="s">
        <v>792</v>
      </c>
      <c r="D64" s="288" t="s">
        <v>792</v>
      </c>
      <c r="E64" s="288" t="s">
        <v>792</v>
      </c>
      <c r="F64" s="288" t="s">
        <v>792</v>
      </c>
      <c r="G64" s="288" t="s">
        <v>792</v>
      </c>
      <c r="H64" s="288" t="s">
        <v>792</v>
      </c>
      <c r="J64" s="288">
        <v>2019</v>
      </c>
      <c r="K64" s="288" t="s">
        <v>792</v>
      </c>
      <c r="L64" s="288" t="s">
        <v>792</v>
      </c>
      <c r="M64" s="288" t="s">
        <v>792</v>
      </c>
      <c r="N64" s="288" t="s">
        <v>792</v>
      </c>
      <c r="O64" s="288" t="s">
        <v>792</v>
      </c>
      <c r="P64" s="288" t="s">
        <v>792</v>
      </c>
      <c r="R64" s="289" t="s">
        <v>893</v>
      </c>
      <c r="S64" s="289">
        <v>2020</v>
      </c>
      <c r="T64" s="289">
        <v>765</v>
      </c>
      <c r="U64" s="289">
        <v>826</v>
      </c>
      <c r="V64" s="289">
        <v>1021</v>
      </c>
      <c r="W64" s="289">
        <v>1045</v>
      </c>
      <c r="X64" s="289">
        <v>643</v>
      </c>
      <c r="Y64" s="289">
        <v>4300</v>
      </c>
      <c r="Z64" s="289"/>
      <c r="AA64" s="289">
        <v>2020</v>
      </c>
      <c r="AB64" s="289">
        <v>47</v>
      </c>
      <c r="AC64" s="289">
        <v>3</v>
      </c>
      <c r="AD64" s="289">
        <v>2</v>
      </c>
      <c r="AE64" s="289">
        <v>0</v>
      </c>
      <c r="AF64" s="289">
        <v>1</v>
      </c>
      <c r="AG64" s="289">
        <v>53</v>
      </c>
      <c r="AI64" s="290" t="s">
        <v>400</v>
      </c>
      <c r="AJ64" s="290">
        <v>2019</v>
      </c>
      <c r="AK64" s="290">
        <v>245</v>
      </c>
      <c r="AL64" s="290">
        <v>286</v>
      </c>
      <c r="AM64" s="290">
        <v>553</v>
      </c>
      <c r="AN64" s="290">
        <v>660</v>
      </c>
      <c r="AO64" s="290">
        <v>553</v>
      </c>
      <c r="AP64" s="290">
        <v>2297</v>
      </c>
      <c r="AQ64" s="290"/>
      <c r="AR64" s="290">
        <v>2019</v>
      </c>
      <c r="AS64" s="290">
        <v>24</v>
      </c>
      <c r="AT64" s="290">
        <v>0</v>
      </c>
      <c r="AU64" s="290">
        <v>0</v>
      </c>
      <c r="AV64" s="290">
        <v>0</v>
      </c>
      <c r="AW64" s="290">
        <v>0</v>
      </c>
      <c r="AX64" s="290">
        <v>24</v>
      </c>
      <c r="AZ64" s="300" t="s">
        <v>71</v>
      </c>
      <c r="BA64" s="300">
        <v>2019</v>
      </c>
      <c r="BB64" s="300">
        <v>188</v>
      </c>
      <c r="BC64" s="300">
        <v>240</v>
      </c>
      <c r="BD64" s="300">
        <v>446</v>
      </c>
      <c r="BE64" s="300">
        <v>659</v>
      </c>
      <c r="BF64" s="300">
        <v>637</v>
      </c>
      <c r="BG64" s="300">
        <v>2170</v>
      </c>
      <c r="BH64" s="300"/>
      <c r="BI64" s="300">
        <v>2019</v>
      </c>
      <c r="BJ64" s="300">
        <v>20</v>
      </c>
      <c r="BK64" s="300">
        <v>0</v>
      </c>
      <c r="BL64" s="300">
        <v>0</v>
      </c>
      <c r="BM64" s="300">
        <v>0</v>
      </c>
      <c r="BN64" s="300">
        <v>0</v>
      </c>
      <c r="BO64" s="300">
        <v>20</v>
      </c>
      <c r="BQ64" s="309" t="s">
        <v>581</v>
      </c>
      <c r="BR64" s="309">
        <v>2020</v>
      </c>
      <c r="BS64" s="309">
        <v>73</v>
      </c>
      <c r="BT64" s="309">
        <v>57</v>
      </c>
      <c r="BU64" s="309">
        <v>83</v>
      </c>
      <c r="BV64" s="309">
        <v>166</v>
      </c>
      <c r="BW64" s="309">
        <v>194</v>
      </c>
      <c r="BX64" s="309">
        <v>573</v>
      </c>
      <c r="BY64" s="309"/>
      <c r="BZ64" s="309">
        <v>2020</v>
      </c>
      <c r="CA64" s="309">
        <v>20</v>
      </c>
      <c r="CB64" s="309">
        <v>0</v>
      </c>
      <c r="CC64" s="309">
        <v>0</v>
      </c>
      <c r="CD64" s="309">
        <v>0</v>
      </c>
      <c r="CE64" s="309">
        <v>0</v>
      </c>
      <c r="CF64" s="309">
        <v>20</v>
      </c>
      <c r="CH64" s="237" t="s">
        <v>230</v>
      </c>
      <c r="CI64" s="237">
        <v>2019</v>
      </c>
      <c r="CJ64" s="237">
        <v>49</v>
      </c>
      <c r="CK64" s="237">
        <v>84</v>
      </c>
      <c r="CL64" s="237">
        <v>169</v>
      </c>
      <c r="CM64" s="237">
        <v>283</v>
      </c>
      <c r="CN64" s="237">
        <v>283</v>
      </c>
      <c r="CO64" s="237">
        <v>868</v>
      </c>
      <c r="CP64" s="237"/>
      <c r="CQ64" s="237">
        <v>2019</v>
      </c>
      <c r="CR64" s="237">
        <v>7</v>
      </c>
      <c r="CS64" s="237">
        <v>0</v>
      </c>
      <c r="CT64" s="237">
        <v>0</v>
      </c>
      <c r="CU64" s="237">
        <v>0</v>
      </c>
      <c r="CV64" s="237">
        <v>0</v>
      </c>
      <c r="CW64" s="237">
        <v>7</v>
      </c>
      <c r="DP64" s="349" t="s">
        <v>819</v>
      </c>
      <c r="DQ64" s="349">
        <v>2020</v>
      </c>
      <c r="DR64" s="349">
        <v>225</v>
      </c>
      <c r="DS64" s="349">
        <v>250</v>
      </c>
      <c r="DT64" s="349">
        <v>357</v>
      </c>
      <c r="DU64" s="349">
        <v>428</v>
      </c>
      <c r="DV64" s="349">
        <v>398</v>
      </c>
      <c r="DW64" s="349">
        <v>1658</v>
      </c>
      <c r="DX64" s="349"/>
      <c r="DY64" s="349">
        <v>2020</v>
      </c>
      <c r="DZ64" s="349">
        <v>21</v>
      </c>
      <c r="EA64" s="349">
        <v>0</v>
      </c>
      <c r="EB64" s="349">
        <v>0</v>
      </c>
      <c r="EC64" s="349">
        <v>0</v>
      </c>
      <c r="ED64" s="349">
        <v>0</v>
      </c>
      <c r="EE64" s="349">
        <v>21</v>
      </c>
      <c r="EG64" s="237" t="s">
        <v>1131</v>
      </c>
      <c r="EH64" s="237">
        <v>2019</v>
      </c>
      <c r="EI64" s="237">
        <v>158</v>
      </c>
      <c r="EJ64" s="237">
        <v>185</v>
      </c>
      <c r="EK64" s="237">
        <v>190</v>
      </c>
      <c r="EL64" s="237">
        <v>217</v>
      </c>
      <c r="EM64" s="237">
        <v>271</v>
      </c>
      <c r="EN64" s="237">
        <v>1021</v>
      </c>
      <c r="EO64" s="237"/>
      <c r="EP64" s="237">
        <v>2019</v>
      </c>
      <c r="EQ64" s="237">
        <v>51</v>
      </c>
      <c r="ER64" s="237">
        <v>13</v>
      </c>
      <c r="ES64" s="237">
        <v>8</v>
      </c>
      <c r="ET64" s="237">
        <v>2</v>
      </c>
      <c r="EU64" s="237">
        <v>6</v>
      </c>
      <c r="EV64" s="237">
        <v>80</v>
      </c>
      <c r="EX64" s="309" t="s">
        <v>1179</v>
      </c>
      <c r="EY64" s="309">
        <v>2019</v>
      </c>
      <c r="EZ64" s="309">
        <v>445</v>
      </c>
      <c r="FA64" s="309">
        <v>665</v>
      </c>
      <c r="FB64" s="309">
        <v>791</v>
      </c>
      <c r="FC64" s="309">
        <v>791</v>
      </c>
      <c r="FD64" s="309">
        <v>910</v>
      </c>
      <c r="FE64" s="309">
        <v>3602</v>
      </c>
      <c r="FF64" s="309"/>
      <c r="FG64" s="309">
        <v>2019</v>
      </c>
      <c r="FH64" s="309">
        <v>50</v>
      </c>
      <c r="FI64" s="309">
        <v>1</v>
      </c>
      <c r="FJ64" s="309">
        <v>0</v>
      </c>
      <c r="FK64" s="309">
        <v>0</v>
      </c>
      <c r="FL64" s="309">
        <v>0</v>
      </c>
      <c r="FM64" s="309">
        <v>51</v>
      </c>
    </row>
    <row r="65" spans="1:169">
      <c r="A65" s="288" t="s">
        <v>658</v>
      </c>
      <c r="B65" s="288">
        <v>2019</v>
      </c>
      <c r="C65" s="288" t="s">
        <v>792</v>
      </c>
      <c r="D65" s="288" t="s">
        <v>792</v>
      </c>
      <c r="E65" s="288" t="s">
        <v>792</v>
      </c>
      <c r="F65" s="288" t="s">
        <v>792</v>
      </c>
      <c r="G65" s="288" t="s">
        <v>792</v>
      </c>
      <c r="H65" s="288" t="s">
        <v>792</v>
      </c>
      <c r="J65" s="288">
        <v>2019</v>
      </c>
      <c r="K65" s="288" t="s">
        <v>792</v>
      </c>
      <c r="L65" s="288" t="s">
        <v>792</v>
      </c>
      <c r="M65" s="288" t="s">
        <v>792</v>
      </c>
      <c r="N65" s="288" t="s">
        <v>792</v>
      </c>
      <c r="O65" s="288" t="s">
        <v>792</v>
      </c>
      <c r="P65" s="288" t="s">
        <v>792</v>
      </c>
      <c r="R65" s="289" t="s">
        <v>894</v>
      </c>
      <c r="S65" s="289">
        <v>2020</v>
      </c>
      <c r="T65" s="289">
        <v>285</v>
      </c>
      <c r="U65" s="289">
        <v>368</v>
      </c>
      <c r="V65" s="289">
        <v>475</v>
      </c>
      <c r="W65" s="289">
        <v>491</v>
      </c>
      <c r="X65" s="289">
        <v>323</v>
      </c>
      <c r="Y65" s="289">
        <v>1942</v>
      </c>
      <c r="Z65" s="289"/>
      <c r="AA65" s="289">
        <v>2020</v>
      </c>
      <c r="AB65" s="289">
        <v>20</v>
      </c>
      <c r="AC65" s="289">
        <v>0</v>
      </c>
      <c r="AD65" s="289">
        <v>0</v>
      </c>
      <c r="AE65" s="289">
        <v>0</v>
      </c>
      <c r="AF65" s="289">
        <v>0</v>
      </c>
      <c r="AG65" s="289">
        <v>20</v>
      </c>
      <c r="AI65" s="290" t="s">
        <v>401</v>
      </c>
      <c r="AJ65" s="290">
        <v>2019</v>
      </c>
      <c r="AK65" s="290">
        <v>458</v>
      </c>
      <c r="AL65" s="290">
        <v>656</v>
      </c>
      <c r="AM65" s="290">
        <v>906</v>
      </c>
      <c r="AN65" s="290">
        <v>1122</v>
      </c>
      <c r="AO65" s="290">
        <v>656</v>
      </c>
      <c r="AP65" s="290">
        <v>3798</v>
      </c>
      <c r="AQ65" s="290"/>
      <c r="AR65" s="290">
        <v>2019</v>
      </c>
      <c r="AS65" s="290">
        <v>34</v>
      </c>
      <c r="AT65" s="290">
        <v>2</v>
      </c>
      <c r="AU65" s="290">
        <v>0</v>
      </c>
      <c r="AV65" s="290">
        <v>0</v>
      </c>
      <c r="AW65" s="290">
        <v>0</v>
      </c>
      <c r="AX65" s="290">
        <v>36</v>
      </c>
      <c r="AZ65" s="300" t="s">
        <v>73</v>
      </c>
      <c r="BA65" s="300">
        <v>2019</v>
      </c>
      <c r="BB65" s="300">
        <v>375</v>
      </c>
      <c r="BC65" s="300">
        <v>233</v>
      </c>
      <c r="BD65" s="300">
        <v>413</v>
      </c>
      <c r="BE65" s="300">
        <v>474</v>
      </c>
      <c r="BF65" s="300">
        <v>421</v>
      </c>
      <c r="BG65" s="300">
        <v>1916</v>
      </c>
      <c r="BH65" s="300"/>
      <c r="BI65" s="300">
        <v>2019</v>
      </c>
      <c r="BJ65" s="300">
        <v>83</v>
      </c>
      <c r="BK65" s="300">
        <v>0</v>
      </c>
      <c r="BL65" s="300">
        <v>0</v>
      </c>
      <c r="BM65" s="300">
        <v>0</v>
      </c>
      <c r="BN65" s="300">
        <v>0</v>
      </c>
      <c r="BO65" s="300">
        <v>83</v>
      </c>
      <c r="BQ65" s="309" t="s">
        <v>584</v>
      </c>
      <c r="BR65" s="309">
        <v>2020</v>
      </c>
      <c r="BS65" s="309">
        <v>106</v>
      </c>
      <c r="BT65" s="309">
        <v>87</v>
      </c>
      <c r="BU65" s="309">
        <v>153</v>
      </c>
      <c r="BV65" s="309">
        <v>226</v>
      </c>
      <c r="BW65" s="309">
        <v>212</v>
      </c>
      <c r="BX65" s="309">
        <v>784</v>
      </c>
      <c r="BY65" s="309"/>
      <c r="BZ65" s="309">
        <v>2020</v>
      </c>
      <c r="CA65" s="309">
        <v>32</v>
      </c>
      <c r="CB65" s="309">
        <v>0</v>
      </c>
      <c r="CC65" s="309">
        <v>0</v>
      </c>
      <c r="CD65" s="309">
        <v>0</v>
      </c>
      <c r="CE65" s="309">
        <v>0</v>
      </c>
      <c r="CF65" s="309">
        <v>32</v>
      </c>
      <c r="CH65" s="237" t="s">
        <v>277</v>
      </c>
      <c r="CI65" s="237">
        <v>2019</v>
      </c>
      <c r="CJ65" s="237">
        <v>68</v>
      </c>
      <c r="CK65" s="237">
        <v>90</v>
      </c>
      <c r="CL65" s="237">
        <v>217</v>
      </c>
      <c r="CM65" s="237">
        <v>367</v>
      </c>
      <c r="CN65" s="237">
        <v>299</v>
      </c>
      <c r="CO65" s="237">
        <v>1041</v>
      </c>
      <c r="CP65" s="237"/>
      <c r="CQ65" s="237">
        <v>2019</v>
      </c>
      <c r="CR65" s="237">
        <v>25</v>
      </c>
      <c r="CS65" s="237">
        <v>0</v>
      </c>
      <c r="CT65" s="237">
        <v>0</v>
      </c>
      <c r="CU65" s="237">
        <v>0</v>
      </c>
      <c r="CV65" s="237">
        <v>0</v>
      </c>
      <c r="CW65" s="237">
        <v>25</v>
      </c>
      <c r="DP65" s="349" t="s">
        <v>821</v>
      </c>
      <c r="DQ65" s="349">
        <v>2020</v>
      </c>
      <c r="DR65" s="349">
        <v>178</v>
      </c>
      <c r="DS65" s="349">
        <v>141</v>
      </c>
      <c r="DT65" s="349">
        <v>152</v>
      </c>
      <c r="DU65" s="349">
        <v>169</v>
      </c>
      <c r="DV65" s="349">
        <v>136</v>
      </c>
      <c r="DW65" s="349">
        <v>776</v>
      </c>
      <c r="DX65" s="349"/>
      <c r="DY65" s="349">
        <v>2020</v>
      </c>
      <c r="DZ65" s="349">
        <v>14</v>
      </c>
      <c r="EA65" s="349">
        <v>0</v>
      </c>
      <c r="EB65" s="349">
        <v>0</v>
      </c>
      <c r="EC65" s="349">
        <v>0</v>
      </c>
      <c r="ED65" s="349">
        <v>0</v>
      </c>
      <c r="EE65" s="349">
        <v>14</v>
      </c>
      <c r="EG65" s="237" t="s">
        <v>1134</v>
      </c>
      <c r="EH65" s="237">
        <v>2019</v>
      </c>
      <c r="EI65" s="237">
        <v>758</v>
      </c>
      <c r="EJ65" s="237">
        <v>773</v>
      </c>
      <c r="EK65" s="237">
        <v>732</v>
      </c>
      <c r="EL65" s="237">
        <v>715</v>
      </c>
      <c r="EM65" s="237">
        <v>756</v>
      </c>
      <c r="EN65" s="237">
        <v>3734</v>
      </c>
      <c r="EO65" s="237"/>
      <c r="EP65" s="237">
        <v>2019</v>
      </c>
      <c r="EQ65" s="237">
        <v>54</v>
      </c>
      <c r="ER65" s="237">
        <v>8</v>
      </c>
      <c r="ES65" s="237">
        <v>1</v>
      </c>
      <c r="ET65" s="237">
        <v>0</v>
      </c>
      <c r="EU65" s="237">
        <v>0</v>
      </c>
      <c r="EV65" s="237">
        <v>63</v>
      </c>
      <c r="EX65" s="309" t="s">
        <v>1180</v>
      </c>
      <c r="EY65" s="309">
        <v>2019</v>
      </c>
      <c r="EZ65" s="309">
        <v>496</v>
      </c>
      <c r="FA65" s="309">
        <v>729</v>
      </c>
      <c r="FB65" s="309">
        <v>885</v>
      </c>
      <c r="FC65" s="309">
        <v>793</v>
      </c>
      <c r="FD65" s="309">
        <v>950</v>
      </c>
      <c r="FE65" s="309">
        <v>3853</v>
      </c>
      <c r="FF65" s="309"/>
      <c r="FG65" s="309">
        <v>2019</v>
      </c>
      <c r="FH65" s="309">
        <v>46</v>
      </c>
      <c r="FI65" s="309">
        <v>4</v>
      </c>
      <c r="FJ65" s="309">
        <v>0</v>
      </c>
      <c r="FK65" s="309">
        <v>0</v>
      </c>
      <c r="FL65" s="309">
        <v>0</v>
      </c>
      <c r="FM65" s="309">
        <v>50</v>
      </c>
    </row>
    <row r="66" spans="1:169">
      <c r="A66" s="288" t="s">
        <v>660</v>
      </c>
      <c r="B66" s="288">
        <v>2019</v>
      </c>
      <c r="C66" s="288" t="s">
        <v>792</v>
      </c>
      <c r="D66" s="288" t="s">
        <v>792</v>
      </c>
      <c r="E66" s="288" t="s">
        <v>792</v>
      </c>
      <c r="F66" s="288" t="s">
        <v>792</v>
      </c>
      <c r="G66" s="288" t="s">
        <v>792</v>
      </c>
      <c r="H66" s="288" t="s">
        <v>792</v>
      </c>
      <c r="J66" s="288">
        <v>2019</v>
      </c>
      <c r="K66" s="288" t="s">
        <v>792</v>
      </c>
      <c r="L66" s="288" t="s">
        <v>792</v>
      </c>
      <c r="M66" s="288" t="s">
        <v>792</v>
      </c>
      <c r="N66" s="288" t="s">
        <v>792</v>
      </c>
      <c r="O66" s="288" t="s">
        <v>792</v>
      </c>
      <c r="P66" s="288" t="s">
        <v>792</v>
      </c>
      <c r="R66" s="289" t="s">
        <v>895</v>
      </c>
      <c r="S66" s="289">
        <v>2020</v>
      </c>
      <c r="T66" s="289">
        <v>152</v>
      </c>
      <c r="U66" s="289">
        <v>220</v>
      </c>
      <c r="V66" s="289">
        <v>339</v>
      </c>
      <c r="W66" s="289">
        <v>346</v>
      </c>
      <c r="X66" s="289">
        <v>253</v>
      </c>
      <c r="Y66" s="289">
        <v>1310</v>
      </c>
      <c r="Z66" s="289"/>
      <c r="AA66" s="289">
        <v>2020</v>
      </c>
      <c r="AB66" s="289">
        <v>8</v>
      </c>
      <c r="AC66" s="289">
        <v>3</v>
      </c>
      <c r="AD66" s="289">
        <v>1</v>
      </c>
      <c r="AE66" s="289">
        <v>0</v>
      </c>
      <c r="AF66" s="289">
        <v>1</v>
      </c>
      <c r="AG66" s="289">
        <v>13</v>
      </c>
      <c r="AI66" s="290" t="s">
        <v>402</v>
      </c>
      <c r="AJ66" s="290">
        <v>2019</v>
      </c>
      <c r="AK66" s="290">
        <v>214</v>
      </c>
      <c r="AL66" s="290">
        <v>214</v>
      </c>
      <c r="AM66" s="290">
        <v>383</v>
      </c>
      <c r="AN66" s="290">
        <v>596</v>
      </c>
      <c r="AO66" s="290">
        <v>495</v>
      </c>
      <c r="AP66" s="290">
        <v>1902</v>
      </c>
      <c r="AQ66" s="290"/>
      <c r="AR66" s="290">
        <v>2019</v>
      </c>
      <c r="AS66" s="290">
        <v>53</v>
      </c>
      <c r="AT66" s="290">
        <v>1</v>
      </c>
      <c r="AU66" s="290">
        <v>0</v>
      </c>
      <c r="AV66" s="290">
        <v>0</v>
      </c>
      <c r="AW66" s="290">
        <v>0</v>
      </c>
      <c r="AX66" s="290">
        <v>54</v>
      </c>
      <c r="AZ66" s="300" t="s">
        <v>75</v>
      </c>
      <c r="BA66" s="300">
        <v>2019</v>
      </c>
      <c r="BB66" s="300">
        <v>374</v>
      </c>
      <c r="BC66" s="300">
        <v>292</v>
      </c>
      <c r="BD66" s="300">
        <v>558</v>
      </c>
      <c r="BE66" s="300">
        <v>803</v>
      </c>
      <c r="BF66" s="300">
        <v>634</v>
      </c>
      <c r="BG66" s="300">
        <v>2661</v>
      </c>
      <c r="BH66" s="300"/>
      <c r="BI66" s="300">
        <v>2019</v>
      </c>
      <c r="BJ66" s="300">
        <v>17</v>
      </c>
      <c r="BK66" s="300">
        <v>0</v>
      </c>
      <c r="BL66" s="300">
        <v>0</v>
      </c>
      <c r="BM66" s="300">
        <v>0</v>
      </c>
      <c r="BN66" s="300">
        <v>0</v>
      </c>
      <c r="BO66" s="300">
        <v>17</v>
      </c>
      <c r="BQ66" s="309" t="s">
        <v>587</v>
      </c>
      <c r="BR66" s="309">
        <v>2020</v>
      </c>
      <c r="BS66" s="309">
        <v>82</v>
      </c>
      <c r="BT66" s="309">
        <v>187</v>
      </c>
      <c r="BU66" s="309">
        <v>357</v>
      </c>
      <c r="BV66" s="309">
        <v>536</v>
      </c>
      <c r="BW66" s="309">
        <v>489</v>
      </c>
      <c r="BX66" s="309">
        <v>1651</v>
      </c>
      <c r="BY66" s="309"/>
      <c r="BZ66" s="309">
        <v>2020</v>
      </c>
      <c r="CA66" s="309">
        <v>10</v>
      </c>
      <c r="CB66" s="309">
        <v>0</v>
      </c>
      <c r="CC66" s="309">
        <v>0</v>
      </c>
      <c r="CD66" s="309">
        <v>0</v>
      </c>
      <c r="CE66" s="309">
        <v>0</v>
      </c>
      <c r="CF66" s="309">
        <v>10</v>
      </c>
      <c r="CH66" s="237" t="s">
        <v>279</v>
      </c>
      <c r="CI66" s="237">
        <v>2019</v>
      </c>
      <c r="CJ66" s="237" t="s">
        <v>792</v>
      </c>
      <c r="CK66" s="237" t="s">
        <v>792</v>
      </c>
      <c r="CL66" s="237" t="s">
        <v>792</v>
      </c>
      <c r="CM66" s="237" t="s">
        <v>792</v>
      </c>
      <c r="CN66" s="237" t="s">
        <v>792</v>
      </c>
      <c r="CO66" s="237" t="s">
        <v>792</v>
      </c>
      <c r="CP66" s="237"/>
      <c r="CQ66" s="237">
        <v>2019</v>
      </c>
      <c r="CR66" s="237" t="s">
        <v>792</v>
      </c>
      <c r="CS66" s="237" t="s">
        <v>792</v>
      </c>
      <c r="CT66" s="237" t="s">
        <v>792</v>
      </c>
      <c r="CU66" s="237" t="s">
        <v>792</v>
      </c>
      <c r="CV66" s="237" t="s">
        <v>792</v>
      </c>
      <c r="CW66" s="237" t="s">
        <v>792</v>
      </c>
      <c r="DP66" s="349" t="s">
        <v>823</v>
      </c>
      <c r="DQ66" s="349">
        <v>2020</v>
      </c>
      <c r="DR66" s="349">
        <v>354</v>
      </c>
      <c r="DS66" s="349">
        <v>424</v>
      </c>
      <c r="DT66" s="349">
        <v>439</v>
      </c>
      <c r="DU66" s="349">
        <v>395</v>
      </c>
      <c r="DV66" s="349">
        <v>285</v>
      </c>
      <c r="DW66" s="349">
        <v>1897</v>
      </c>
      <c r="DX66" s="349"/>
      <c r="DY66" s="349">
        <v>2020</v>
      </c>
      <c r="DZ66" s="349">
        <v>8</v>
      </c>
      <c r="EA66" s="349">
        <v>5</v>
      </c>
      <c r="EB66" s="349">
        <v>0</v>
      </c>
      <c r="EC66" s="349">
        <v>0</v>
      </c>
      <c r="ED66" s="349">
        <v>0</v>
      </c>
      <c r="EE66" s="349">
        <v>13</v>
      </c>
      <c r="EG66" s="237" t="s">
        <v>1294</v>
      </c>
      <c r="EH66" s="237">
        <v>2019</v>
      </c>
      <c r="EI66" s="237" t="s">
        <v>792</v>
      </c>
      <c r="EJ66" s="237" t="s">
        <v>792</v>
      </c>
      <c r="EK66" s="237" t="s">
        <v>792</v>
      </c>
      <c r="EL66" s="237" t="s">
        <v>792</v>
      </c>
      <c r="EM66" s="237" t="s">
        <v>792</v>
      </c>
      <c r="EN66" s="237" t="s">
        <v>792</v>
      </c>
      <c r="EO66" s="237"/>
      <c r="EP66" s="237">
        <v>2019</v>
      </c>
      <c r="EQ66" s="237" t="s">
        <v>792</v>
      </c>
      <c r="ER66" s="237" t="s">
        <v>792</v>
      </c>
      <c r="ES66" s="237" t="s">
        <v>792</v>
      </c>
      <c r="ET66" s="237" t="s">
        <v>792</v>
      </c>
      <c r="EU66" s="237" t="s">
        <v>792</v>
      </c>
      <c r="EV66" s="237" t="s">
        <v>792</v>
      </c>
      <c r="EX66" s="309" t="s">
        <v>1181</v>
      </c>
      <c r="EY66" s="309">
        <v>2019</v>
      </c>
      <c r="EZ66" s="309">
        <v>449</v>
      </c>
      <c r="FA66" s="309">
        <v>572</v>
      </c>
      <c r="FB66" s="309">
        <v>660</v>
      </c>
      <c r="FC66" s="309">
        <v>775</v>
      </c>
      <c r="FD66" s="309">
        <v>966</v>
      </c>
      <c r="FE66" s="309">
        <v>3422</v>
      </c>
      <c r="FF66" s="309"/>
      <c r="FG66" s="309">
        <v>2019</v>
      </c>
      <c r="FH66" s="309">
        <v>98</v>
      </c>
      <c r="FI66" s="309">
        <v>44</v>
      </c>
      <c r="FJ66" s="309">
        <v>23</v>
      </c>
      <c r="FK66" s="309">
        <v>16</v>
      </c>
      <c r="FL66" s="309">
        <v>14</v>
      </c>
      <c r="FM66" s="309">
        <v>195</v>
      </c>
    </row>
    <row r="67" spans="1:169">
      <c r="A67" s="288" t="s">
        <v>662</v>
      </c>
      <c r="B67" s="288">
        <v>2019</v>
      </c>
      <c r="C67" s="288">
        <v>29</v>
      </c>
      <c r="D67" s="288">
        <v>0</v>
      </c>
      <c r="E67" s="288">
        <v>0</v>
      </c>
      <c r="F67" s="288">
        <v>0</v>
      </c>
      <c r="G67" s="288">
        <v>0</v>
      </c>
      <c r="H67" s="288">
        <v>29</v>
      </c>
      <c r="J67" s="288">
        <v>2019</v>
      </c>
      <c r="K67" s="288">
        <v>473</v>
      </c>
      <c r="L67" s="288">
        <v>594</v>
      </c>
      <c r="M67" s="288">
        <v>837</v>
      </c>
      <c r="N67" s="288">
        <v>913</v>
      </c>
      <c r="O67" s="288">
        <v>717</v>
      </c>
      <c r="P67" s="288">
        <v>3534</v>
      </c>
      <c r="R67" s="289" t="s">
        <v>896</v>
      </c>
      <c r="S67" s="289">
        <v>2020</v>
      </c>
      <c r="T67" s="289">
        <v>80</v>
      </c>
      <c r="U67" s="289">
        <v>176</v>
      </c>
      <c r="V67" s="289">
        <v>294</v>
      </c>
      <c r="W67" s="289">
        <v>301</v>
      </c>
      <c r="X67" s="289">
        <v>204</v>
      </c>
      <c r="Y67" s="289">
        <v>1055</v>
      </c>
      <c r="Z67" s="289"/>
      <c r="AA67" s="289">
        <v>2020</v>
      </c>
      <c r="AB67" s="289">
        <v>10</v>
      </c>
      <c r="AC67" s="289">
        <v>2</v>
      </c>
      <c r="AD67" s="289">
        <v>2</v>
      </c>
      <c r="AE67" s="289">
        <v>0</v>
      </c>
      <c r="AF67" s="289">
        <v>1</v>
      </c>
      <c r="AG67" s="289">
        <v>15</v>
      </c>
      <c r="AI67" s="290" t="s">
        <v>403</v>
      </c>
      <c r="AJ67" s="290">
        <v>2019</v>
      </c>
      <c r="AK67" s="290">
        <v>671</v>
      </c>
      <c r="AL67" s="290">
        <v>486</v>
      </c>
      <c r="AM67" s="290">
        <v>499</v>
      </c>
      <c r="AN67" s="290">
        <v>548</v>
      </c>
      <c r="AO67" s="290">
        <v>467</v>
      </c>
      <c r="AP67" s="290">
        <v>2671</v>
      </c>
      <c r="AQ67" s="290"/>
      <c r="AR67" s="290">
        <v>2019</v>
      </c>
      <c r="AS67" s="290">
        <v>71</v>
      </c>
      <c r="AT67" s="290">
        <v>13</v>
      </c>
      <c r="AU67" s="290">
        <v>6</v>
      </c>
      <c r="AV67" s="290">
        <v>0</v>
      </c>
      <c r="AW67" s="290">
        <v>0</v>
      </c>
      <c r="AX67" s="290">
        <v>90</v>
      </c>
      <c r="AZ67" s="300" t="s">
        <v>77</v>
      </c>
      <c r="BA67" s="300">
        <v>2019</v>
      </c>
      <c r="BB67" s="300">
        <v>208</v>
      </c>
      <c r="BC67" s="300">
        <v>221</v>
      </c>
      <c r="BD67" s="300">
        <v>406</v>
      </c>
      <c r="BE67" s="300">
        <v>576</v>
      </c>
      <c r="BF67" s="300">
        <v>518</v>
      </c>
      <c r="BG67" s="300">
        <v>1929</v>
      </c>
      <c r="BH67" s="300"/>
      <c r="BI67" s="300">
        <v>2019</v>
      </c>
      <c r="BJ67" s="300">
        <v>21</v>
      </c>
      <c r="BK67" s="300">
        <v>0</v>
      </c>
      <c r="BL67" s="300">
        <v>0</v>
      </c>
      <c r="BM67" s="300">
        <v>0</v>
      </c>
      <c r="BN67" s="300">
        <v>0</v>
      </c>
      <c r="BO67" s="300">
        <v>21</v>
      </c>
      <c r="BQ67" s="309" t="s">
        <v>590</v>
      </c>
      <c r="BR67" s="309">
        <v>2020</v>
      </c>
      <c r="BS67" s="309">
        <v>134</v>
      </c>
      <c r="BT67" s="309">
        <v>191</v>
      </c>
      <c r="BU67" s="309">
        <v>380</v>
      </c>
      <c r="BV67" s="309">
        <v>548</v>
      </c>
      <c r="BW67" s="309">
        <v>519</v>
      </c>
      <c r="BX67" s="309">
        <v>1772</v>
      </c>
      <c r="BY67" s="309"/>
      <c r="BZ67" s="309">
        <v>2020</v>
      </c>
      <c r="CA67" s="309">
        <v>17</v>
      </c>
      <c r="CB67" s="309">
        <v>0</v>
      </c>
      <c r="CC67" s="309">
        <v>0</v>
      </c>
      <c r="CD67" s="309">
        <v>0</v>
      </c>
      <c r="CE67" s="309">
        <v>0</v>
      </c>
      <c r="CF67" s="309">
        <v>17</v>
      </c>
      <c r="CH67" s="237" t="s">
        <v>283</v>
      </c>
      <c r="CI67" s="237">
        <v>2019</v>
      </c>
      <c r="CJ67" s="237">
        <v>69</v>
      </c>
      <c r="CK67" s="237">
        <v>150</v>
      </c>
      <c r="CL67" s="237">
        <v>306</v>
      </c>
      <c r="CM67" s="237">
        <v>443</v>
      </c>
      <c r="CN67" s="237">
        <v>410</v>
      </c>
      <c r="CO67" s="237">
        <v>1378</v>
      </c>
      <c r="CP67" s="237"/>
      <c r="CQ67" s="237">
        <v>2019</v>
      </c>
      <c r="CR67" s="237">
        <v>18</v>
      </c>
      <c r="CS67" s="237">
        <v>0</v>
      </c>
      <c r="CT67" s="237">
        <v>0</v>
      </c>
      <c r="CU67" s="237">
        <v>0</v>
      </c>
      <c r="CV67" s="237">
        <v>0</v>
      </c>
      <c r="CW67" s="237">
        <v>18</v>
      </c>
      <c r="DP67" s="349" t="s">
        <v>825</v>
      </c>
      <c r="DQ67" s="349">
        <v>2020</v>
      </c>
      <c r="DR67" s="349">
        <v>481</v>
      </c>
      <c r="DS67" s="349">
        <v>689</v>
      </c>
      <c r="DT67" s="349">
        <v>1066</v>
      </c>
      <c r="DU67" s="349">
        <v>1307</v>
      </c>
      <c r="DV67" s="349">
        <v>1146</v>
      </c>
      <c r="DW67" s="349">
        <v>4689</v>
      </c>
      <c r="DX67" s="349"/>
      <c r="DY67" s="349">
        <v>2020</v>
      </c>
      <c r="DZ67" s="349">
        <v>21</v>
      </c>
      <c r="EA67" s="349">
        <v>5</v>
      </c>
      <c r="EB67" s="349">
        <v>0</v>
      </c>
      <c r="EC67" s="349">
        <v>0</v>
      </c>
      <c r="ED67" s="349">
        <v>0</v>
      </c>
      <c r="EE67" s="349">
        <v>26</v>
      </c>
      <c r="EG67" s="237" t="s">
        <v>1296</v>
      </c>
      <c r="EH67" s="237">
        <v>2019</v>
      </c>
      <c r="EI67" s="237" t="s">
        <v>792</v>
      </c>
      <c r="EJ67" s="237" t="s">
        <v>792</v>
      </c>
      <c r="EK67" s="237" t="s">
        <v>792</v>
      </c>
      <c r="EL67" s="237" t="s">
        <v>792</v>
      </c>
      <c r="EM67" s="237" t="s">
        <v>792</v>
      </c>
      <c r="EN67" s="237" t="s">
        <v>792</v>
      </c>
      <c r="EO67" s="237"/>
      <c r="EP67" s="237">
        <v>2019</v>
      </c>
      <c r="EQ67" s="237" t="s">
        <v>792</v>
      </c>
      <c r="ER67" s="237" t="s">
        <v>792</v>
      </c>
      <c r="ES67" s="237" t="s">
        <v>792</v>
      </c>
      <c r="ET67" s="237" t="s">
        <v>792</v>
      </c>
      <c r="EU67" s="237" t="s">
        <v>792</v>
      </c>
      <c r="EV67" s="237" t="s">
        <v>792</v>
      </c>
      <c r="EX67" s="309" t="s">
        <v>1184</v>
      </c>
      <c r="EY67" s="309">
        <v>2019</v>
      </c>
      <c r="EZ67" s="309">
        <v>580</v>
      </c>
      <c r="FA67" s="309">
        <v>621</v>
      </c>
      <c r="FB67" s="309">
        <v>671</v>
      </c>
      <c r="FC67" s="309">
        <v>739</v>
      </c>
      <c r="FD67" s="309">
        <v>878</v>
      </c>
      <c r="FE67" s="309">
        <v>3489</v>
      </c>
      <c r="FF67" s="309"/>
      <c r="FG67" s="309">
        <v>2019</v>
      </c>
      <c r="FH67" s="309">
        <v>109</v>
      </c>
      <c r="FI67" s="309">
        <v>20</v>
      </c>
      <c r="FJ67" s="309">
        <v>11</v>
      </c>
      <c r="FK67" s="309">
        <v>8</v>
      </c>
      <c r="FL67" s="309">
        <v>5</v>
      </c>
      <c r="FM67" s="309">
        <v>153</v>
      </c>
    </row>
    <row r="68" spans="1:169">
      <c r="A68" s="288" t="s">
        <v>665</v>
      </c>
      <c r="B68" s="288">
        <v>2019</v>
      </c>
      <c r="C68" s="288">
        <v>20</v>
      </c>
      <c r="D68" s="288">
        <v>0</v>
      </c>
      <c r="E68" s="288">
        <v>0</v>
      </c>
      <c r="F68" s="288">
        <v>0</v>
      </c>
      <c r="G68" s="288">
        <v>0</v>
      </c>
      <c r="H68" s="288">
        <v>20</v>
      </c>
      <c r="J68" s="288">
        <v>2019</v>
      </c>
      <c r="K68" s="288">
        <v>447</v>
      </c>
      <c r="L68" s="288">
        <v>536</v>
      </c>
      <c r="M68" s="288">
        <v>681</v>
      </c>
      <c r="N68" s="288">
        <v>814</v>
      </c>
      <c r="O68" s="288">
        <v>601</v>
      </c>
      <c r="P68" s="288">
        <v>3079</v>
      </c>
      <c r="R68" s="289" t="s">
        <v>897</v>
      </c>
      <c r="S68" s="289">
        <v>2020</v>
      </c>
      <c r="T68" s="289">
        <v>76</v>
      </c>
      <c r="U68" s="289">
        <v>177</v>
      </c>
      <c r="V68" s="289">
        <v>362</v>
      </c>
      <c r="W68" s="289">
        <v>509</v>
      </c>
      <c r="X68" s="289">
        <v>398</v>
      </c>
      <c r="Y68" s="289">
        <v>1522</v>
      </c>
      <c r="Z68" s="289"/>
      <c r="AA68" s="289">
        <v>2020</v>
      </c>
      <c r="AB68" s="289">
        <v>10</v>
      </c>
      <c r="AC68" s="289">
        <v>2</v>
      </c>
      <c r="AD68" s="289">
        <v>2</v>
      </c>
      <c r="AE68" s="289">
        <v>1</v>
      </c>
      <c r="AF68" s="289">
        <v>1</v>
      </c>
      <c r="AG68" s="289">
        <v>16</v>
      </c>
      <c r="AI68" s="290" t="s">
        <v>404</v>
      </c>
      <c r="AJ68" s="290">
        <v>2019</v>
      </c>
      <c r="AK68" s="290">
        <v>500</v>
      </c>
      <c r="AL68" s="290">
        <v>435</v>
      </c>
      <c r="AM68" s="290">
        <v>760</v>
      </c>
      <c r="AN68" s="290">
        <v>895</v>
      </c>
      <c r="AO68" s="290">
        <v>669</v>
      </c>
      <c r="AP68" s="290">
        <v>3259</v>
      </c>
      <c r="AQ68" s="290"/>
      <c r="AR68" s="290">
        <v>2019</v>
      </c>
      <c r="AS68" s="290">
        <v>46</v>
      </c>
      <c r="AT68" s="290">
        <v>1</v>
      </c>
      <c r="AU68" s="290">
        <v>3</v>
      </c>
      <c r="AV68" s="290">
        <v>0</v>
      </c>
      <c r="AW68" s="290">
        <v>0</v>
      </c>
      <c r="AX68" s="290">
        <v>50</v>
      </c>
      <c r="AZ68" s="300" t="s">
        <v>79</v>
      </c>
      <c r="BA68" s="300">
        <v>2019</v>
      </c>
      <c r="BB68" s="300">
        <v>376</v>
      </c>
      <c r="BC68" s="300">
        <v>274</v>
      </c>
      <c r="BD68" s="300">
        <v>392</v>
      </c>
      <c r="BE68" s="300">
        <v>441</v>
      </c>
      <c r="BF68" s="300">
        <v>348</v>
      </c>
      <c r="BG68" s="300">
        <v>1831</v>
      </c>
      <c r="BH68" s="300"/>
      <c r="BI68" s="300">
        <v>2019</v>
      </c>
      <c r="BJ68" s="300">
        <v>50</v>
      </c>
      <c r="BK68" s="300">
        <v>2</v>
      </c>
      <c r="BL68" s="300">
        <v>0</v>
      </c>
      <c r="BM68" s="300">
        <v>0</v>
      </c>
      <c r="BN68" s="300">
        <v>0</v>
      </c>
      <c r="BO68" s="300">
        <v>52</v>
      </c>
      <c r="BQ68" s="309" t="s">
        <v>593</v>
      </c>
      <c r="BR68" s="309">
        <v>2020</v>
      </c>
      <c r="BS68" s="309">
        <v>45</v>
      </c>
      <c r="BT68" s="309">
        <v>91</v>
      </c>
      <c r="BU68" s="309">
        <v>207</v>
      </c>
      <c r="BV68" s="309">
        <v>284</v>
      </c>
      <c r="BW68" s="309">
        <v>297</v>
      </c>
      <c r="BX68" s="309">
        <v>924</v>
      </c>
      <c r="BY68" s="309"/>
      <c r="BZ68" s="309">
        <v>2020</v>
      </c>
      <c r="CA68" s="309">
        <v>3</v>
      </c>
      <c r="CB68" s="309">
        <v>0</v>
      </c>
      <c r="CC68" s="309">
        <v>0</v>
      </c>
      <c r="CD68" s="309">
        <v>0</v>
      </c>
      <c r="CE68" s="309">
        <v>0</v>
      </c>
      <c r="CF68" s="309">
        <v>3</v>
      </c>
      <c r="CH68" s="237" t="s">
        <v>285</v>
      </c>
      <c r="CI68" s="237">
        <v>2019</v>
      </c>
      <c r="CJ68" s="237">
        <v>1081</v>
      </c>
      <c r="CK68" s="237">
        <v>637</v>
      </c>
      <c r="CL68" s="237">
        <v>756</v>
      </c>
      <c r="CM68" s="237">
        <v>848</v>
      </c>
      <c r="CN68" s="237">
        <v>641</v>
      </c>
      <c r="CO68" s="237">
        <v>3963</v>
      </c>
      <c r="CP68" s="237"/>
      <c r="CQ68" s="237">
        <v>2019</v>
      </c>
      <c r="CR68" s="237">
        <v>357</v>
      </c>
      <c r="CS68" s="237">
        <v>6</v>
      </c>
      <c r="CT68" s="237">
        <v>0</v>
      </c>
      <c r="CU68" s="237">
        <v>0</v>
      </c>
      <c r="CV68" s="237">
        <v>0</v>
      </c>
      <c r="CW68" s="237">
        <v>363</v>
      </c>
      <c r="DP68" s="349" t="s">
        <v>827</v>
      </c>
      <c r="DQ68" s="349">
        <v>2020</v>
      </c>
      <c r="DR68" s="349">
        <v>303</v>
      </c>
      <c r="DS68" s="349">
        <v>410</v>
      </c>
      <c r="DT68" s="349">
        <v>465</v>
      </c>
      <c r="DU68" s="349">
        <v>450</v>
      </c>
      <c r="DV68" s="349">
        <v>361</v>
      </c>
      <c r="DW68" s="349">
        <v>1989</v>
      </c>
      <c r="DX68" s="349"/>
      <c r="DY68" s="349">
        <v>2020</v>
      </c>
      <c r="DZ68" s="349">
        <v>21</v>
      </c>
      <c r="EA68" s="349">
        <v>0</v>
      </c>
      <c r="EB68" s="349">
        <v>0</v>
      </c>
      <c r="EC68" s="349">
        <v>0</v>
      </c>
      <c r="ED68" s="349">
        <v>0</v>
      </c>
      <c r="EE68" s="349">
        <v>21</v>
      </c>
      <c r="EG68" s="237" t="s">
        <v>1137</v>
      </c>
      <c r="EH68" s="237">
        <v>2019</v>
      </c>
      <c r="EI68" s="237">
        <v>194</v>
      </c>
      <c r="EJ68" s="237">
        <v>305</v>
      </c>
      <c r="EK68" s="237">
        <v>349</v>
      </c>
      <c r="EL68" s="237">
        <v>473</v>
      </c>
      <c r="EM68" s="237">
        <v>560</v>
      </c>
      <c r="EN68" s="237">
        <v>1881</v>
      </c>
      <c r="EO68" s="237"/>
      <c r="EP68" s="237">
        <v>2019</v>
      </c>
      <c r="EQ68" s="237">
        <v>30</v>
      </c>
      <c r="ER68" s="237">
        <v>15</v>
      </c>
      <c r="ES68" s="237">
        <v>6</v>
      </c>
      <c r="ET68" s="237">
        <v>4</v>
      </c>
      <c r="EU68" s="237">
        <v>7</v>
      </c>
      <c r="EV68" s="237">
        <v>62</v>
      </c>
      <c r="EX68" s="309" t="s">
        <v>1186</v>
      </c>
      <c r="EY68" s="309">
        <v>2019</v>
      </c>
      <c r="EZ68" s="309">
        <v>523</v>
      </c>
      <c r="FA68" s="309">
        <v>640</v>
      </c>
      <c r="FB68" s="309">
        <v>708</v>
      </c>
      <c r="FC68" s="309">
        <v>806</v>
      </c>
      <c r="FD68" s="309">
        <v>976</v>
      </c>
      <c r="FE68" s="309">
        <v>3653</v>
      </c>
      <c r="FF68" s="309"/>
      <c r="FG68" s="309">
        <v>2019</v>
      </c>
      <c r="FH68" s="309">
        <v>66</v>
      </c>
      <c r="FI68" s="309">
        <v>21</v>
      </c>
      <c r="FJ68" s="309">
        <v>13</v>
      </c>
      <c r="FK68" s="309">
        <v>14</v>
      </c>
      <c r="FL68" s="309">
        <v>9</v>
      </c>
      <c r="FM68" s="309">
        <v>123</v>
      </c>
    </row>
    <row r="69" spans="1:169">
      <c r="A69" s="288" t="s">
        <v>668</v>
      </c>
      <c r="B69" s="288">
        <v>2019</v>
      </c>
      <c r="C69" s="288">
        <v>26</v>
      </c>
      <c r="D69" s="288">
        <v>0</v>
      </c>
      <c r="E69" s="288">
        <v>0</v>
      </c>
      <c r="F69" s="288">
        <v>0</v>
      </c>
      <c r="G69" s="288">
        <v>0</v>
      </c>
      <c r="H69" s="288">
        <v>26</v>
      </c>
      <c r="J69" s="288">
        <v>2019</v>
      </c>
      <c r="K69" s="288">
        <v>349</v>
      </c>
      <c r="L69" s="288">
        <v>424</v>
      </c>
      <c r="M69" s="288">
        <v>561</v>
      </c>
      <c r="N69" s="288">
        <v>596</v>
      </c>
      <c r="O69" s="288">
        <v>526</v>
      </c>
      <c r="P69" s="288">
        <v>2456</v>
      </c>
      <c r="R69" s="289" t="s">
        <v>898</v>
      </c>
      <c r="S69" s="289">
        <v>2020</v>
      </c>
      <c r="T69" s="289">
        <v>102</v>
      </c>
      <c r="U69" s="289">
        <v>130</v>
      </c>
      <c r="V69" s="289">
        <v>231</v>
      </c>
      <c r="W69" s="289">
        <v>260</v>
      </c>
      <c r="X69" s="289">
        <v>229</v>
      </c>
      <c r="Y69" s="289">
        <v>952</v>
      </c>
      <c r="Z69" s="289"/>
      <c r="AA69" s="289">
        <v>2020</v>
      </c>
      <c r="AB69" s="289">
        <v>7</v>
      </c>
      <c r="AC69" s="289">
        <v>0</v>
      </c>
      <c r="AD69" s="289">
        <v>1</v>
      </c>
      <c r="AE69" s="289">
        <v>0</v>
      </c>
      <c r="AF69" s="289">
        <v>0</v>
      </c>
      <c r="AG69" s="289">
        <v>8</v>
      </c>
      <c r="AI69" s="290" t="s">
        <v>405</v>
      </c>
      <c r="AJ69" s="290">
        <v>2019</v>
      </c>
      <c r="AK69" s="290">
        <v>575</v>
      </c>
      <c r="AL69" s="290">
        <v>564</v>
      </c>
      <c r="AM69" s="290">
        <v>760</v>
      </c>
      <c r="AN69" s="290">
        <v>836</v>
      </c>
      <c r="AO69" s="290">
        <v>602</v>
      </c>
      <c r="AP69" s="290">
        <v>3337</v>
      </c>
      <c r="AQ69" s="290"/>
      <c r="AR69" s="290">
        <v>2019</v>
      </c>
      <c r="AS69" s="290">
        <v>18</v>
      </c>
      <c r="AT69" s="290">
        <v>4</v>
      </c>
      <c r="AU69" s="290">
        <v>1</v>
      </c>
      <c r="AV69" s="290">
        <v>0</v>
      </c>
      <c r="AW69" s="290">
        <v>2</v>
      </c>
      <c r="AX69" s="290">
        <v>25</v>
      </c>
      <c r="AZ69" s="300" t="s">
        <v>80</v>
      </c>
      <c r="BA69" s="300">
        <v>2019</v>
      </c>
      <c r="BB69" s="300">
        <v>278</v>
      </c>
      <c r="BC69" s="300">
        <v>295</v>
      </c>
      <c r="BD69" s="300">
        <v>318</v>
      </c>
      <c r="BE69" s="300">
        <v>320</v>
      </c>
      <c r="BF69" s="300">
        <v>262</v>
      </c>
      <c r="BG69" s="300">
        <v>1473</v>
      </c>
      <c r="BH69" s="300"/>
      <c r="BI69" s="300">
        <v>2019</v>
      </c>
      <c r="BJ69" s="300">
        <v>22</v>
      </c>
      <c r="BK69" s="300">
        <v>0</v>
      </c>
      <c r="BL69" s="300">
        <v>0</v>
      </c>
      <c r="BM69" s="300">
        <v>0</v>
      </c>
      <c r="BN69" s="300">
        <v>0</v>
      </c>
      <c r="BO69" s="300">
        <v>22</v>
      </c>
      <c r="BQ69" s="309" t="s">
        <v>596</v>
      </c>
      <c r="BR69" s="309">
        <v>2020</v>
      </c>
      <c r="BS69" s="309">
        <v>229</v>
      </c>
      <c r="BT69" s="309">
        <v>184</v>
      </c>
      <c r="BU69" s="309">
        <v>242</v>
      </c>
      <c r="BV69" s="309">
        <v>326</v>
      </c>
      <c r="BW69" s="309">
        <v>296</v>
      </c>
      <c r="BX69" s="309">
        <v>1277</v>
      </c>
      <c r="BY69" s="309"/>
      <c r="BZ69" s="309">
        <v>2020</v>
      </c>
      <c r="CA69" s="309">
        <v>55</v>
      </c>
      <c r="CB69" s="309">
        <v>0</v>
      </c>
      <c r="CC69" s="309">
        <v>0</v>
      </c>
      <c r="CD69" s="309">
        <v>0</v>
      </c>
      <c r="CE69" s="309">
        <v>0</v>
      </c>
      <c r="CF69" s="309">
        <v>55</v>
      </c>
      <c r="CH69" s="237" t="s">
        <v>218</v>
      </c>
      <c r="CI69" s="237">
        <v>2019</v>
      </c>
      <c r="CJ69" s="237">
        <v>54</v>
      </c>
      <c r="CK69" s="237">
        <v>40</v>
      </c>
      <c r="CL69" s="237">
        <v>71</v>
      </c>
      <c r="CM69" s="237">
        <v>74</v>
      </c>
      <c r="CN69" s="237">
        <v>103</v>
      </c>
      <c r="CO69" s="237">
        <v>342</v>
      </c>
      <c r="CP69" s="237"/>
      <c r="CQ69" s="237">
        <v>2019</v>
      </c>
      <c r="CR69" s="237">
        <v>19</v>
      </c>
      <c r="CS69" s="237">
        <v>0</v>
      </c>
      <c r="CT69" s="237">
        <v>0</v>
      </c>
      <c r="CU69" s="237">
        <v>0</v>
      </c>
      <c r="CV69" s="237">
        <v>0</v>
      </c>
      <c r="CW69" s="237">
        <v>19</v>
      </c>
      <c r="DP69" s="349" t="s">
        <v>829</v>
      </c>
      <c r="DQ69" s="349">
        <v>2020</v>
      </c>
      <c r="DR69" s="349">
        <v>164</v>
      </c>
      <c r="DS69" s="349">
        <v>107</v>
      </c>
      <c r="DT69" s="349">
        <v>104</v>
      </c>
      <c r="DU69" s="349">
        <v>105</v>
      </c>
      <c r="DV69" s="349">
        <v>119</v>
      </c>
      <c r="DW69" s="349">
        <v>599</v>
      </c>
      <c r="DX69" s="349"/>
      <c r="DY69" s="349">
        <v>2020</v>
      </c>
      <c r="DZ69" s="349">
        <v>31</v>
      </c>
      <c r="EA69" s="349">
        <v>1</v>
      </c>
      <c r="EB69" s="349">
        <v>0</v>
      </c>
      <c r="EC69" s="349">
        <v>0</v>
      </c>
      <c r="ED69" s="349">
        <v>0</v>
      </c>
      <c r="EE69" s="349">
        <v>32</v>
      </c>
      <c r="EG69" s="237" t="s">
        <v>1306</v>
      </c>
      <c r="EH69" s="237">
        <v>2019</v>
      </c>
      <c r="EI69" s="237" t="s">
        <v>792</v>
      </c>
      <c r="EJ69" s="237" t="s">
        <v>792</v>
      </c>
      <c r="EK69" s="237" t="s">
        <v>792</v>
      </c>
      <c r="EL69" s="237" t="s">
        <v>792</v>
      </c>
      <c r="EM69" s="237" t="s">
        <v>792</v>
      </c>
      <c r="EN69" s="237" t="s">
        <v>792</v>
      </c>
      <c r="EO69" s="237"/>
      <c r="EP69" s="237">
        <v>2019</v>
      </c>
      <c r="EQ69" s="237" t="s">
        <v>792</v>
      </c>
      <c r="ER69" s="237" t="s">
        <v>792</v>
      </c>
      <c r="ES69" s="237" t="s">
        <v>792</v>
      </c>
      <c r="ET69" s="237" t="s">
        <v>792</v>
      </c>
      <c r="EU69" s="237" t="s">
        <v>792</v>
      </c>
      <c r="EV69" s="237" t="s">
        <v>792</v>
      </c>
      <c r="EX69" s="309" t="s">
        <v>1188</v>
      </c>
      <c r="EY69" s="309">
        <v>2019</v>
      </c>
      <c r="EZ69" s="309">
        <v>1938</v>
      </c>
      <c r="FA69" s="309">
        <v>1021</v>
      </c>
      <c r="FB69" s="309">
        <v>789</v>
      </c>
      <c r="FC69" s="309">
        <v>768</v>
      </c>
      <c r="FD69" s="309">
        <v>776</v>
      </c>
      <c r="FE69" s="309">
        <v>5292</v>
      </c>
      <c r="FF69" s="309"/>
      <c r="FG69" s="309">
        <v>2019</v>
      </c>
      <c r="FH69" s="309">
        <v>345</v>
      </c>
      <c r="FI69" s="309">
        <v>0</v>
      </c>
      <c r="FJ69" s="309">
        <v>0</v>
      </c>
      <c r="FK69" s="309">
        <v>0</v>
      </c>
      <c r="FL69" s="309">
        <v>0</v>
      </c>
      <c r="FM69" s="309">
        <v>345</v>
      </c>
    </row>
    <row r="70" spans="1:169">
      <c r="A70" s="288" t="s">
        <v>671</v>
      </c>
      <c r="B70" s="288">
        <v>2019</v>
      </c>
      <c r="C70" s="288">
        <v>18</v>
      </c>
      <c r="D70" s="288">
        <v>0</v>
      </c>
      <c r="E70" s="288">
        <v>0</v>
      </c>
      <c r="F70" s="288">
        <v>0</v>
      </c>
      <c r="G70" s="288">
        <v>0</v>
      </c>
      <c r="H70" s="288">
        <v>18</v>
      </c>
      <c r="J70" s="288">
        <v>2019</v>
      </c>
      <c r="K70" s="288">
        <v>267</v>
      </c>
      <c r="L70" s="288">
        <v>294</v>
      </c>
      <c r="M70" s="288">
        <v>409</v>
      </c>
      <c r="N70" s="288">
        <v>507</v>
      </c>
      <c r="O70" s="288">
        <v>382</v>
      </c>
      <c r="P70" s="288">
        <v>1859</v>
      </c>
      <c r="R70" s="289" t="s">
        <v>899</v>
      </c>
      <c r="S70" s="289">
        <v>2020</v>
      </c>
      <c r="T70" s="289">
        <v>135</v>
      </c>
      <c r="U70" s="289">
        <v>257</v>
      </c>
      <c r="V70" s="289">
        <v>445</v>
      </c>
      <c r="W70" s="289">
        <v>560</v>
      </c>
      <c r="X70" s="289">
        <v>398</v>
      </c>
      <c r="Y70" s="289">
        <v>1795</v>
      </c>
      <c r="Z70" s="289"/>
      <c r="AA70" s="289">
        <v>2020</v>
      </c>
      <c r="AB70" s="289">
        <v>9</v>
      </c>
      <c r="AC70" s="289">
        <v>3</v>
      </c>
      <c r="AD70" s="289">
        <v>2</v>
      </c>
      <c r="AE70" s="289">
        <v>0</v>
      </c>
      <c r="AF70" s="289">
        <v>0</v>
      </c>
      <c r="AG70" s="289">
        <v>14</v>
      </c>
      <c r="AI70" s="290" t="s">
        <v>406</v>
      </c>
      <c r="AJ70" s="290">
        <v>2019</v>
      </c>
      <c r="AK70" s="290">
        <v>237</v>
      </c>
      <c r="AL70" s="290">
        <v>285</v>
      </c>
      <c r="AM70" s="290">
        <v>446</v>
      </c>
      <c r="AN70" s="290">
        <v>548</v>
      </c>
      <c r="AO70" s="290">
        <v>487</v>
      </c>
      <c r="AP70" s="290">
        <v>2003</v>
      </c>
      <c r="AQ70" s="290"/>
      <c r="AR70" s="290">
        <v>2019</v>
      </c>
      <c r="AS70" s="290">
        <v>30</v>
      </c>
      <c r="AT70" s="290">
        <v>9</v>
      </c>
      <c r="AU70" s="290">
        <v>2</v>
      </c>
      <c r="AV70" s="290">
        <v>4</v>
      </c>
      <c r="AW70" s="290">
        <v>0</v>
      </c>
      <c r="AX70" s="290">
        <v>45</v>
      </c>
      <c r="AZ70" s="300" t="s">
        <v>82</v>
      </c>
      <c r="BA70" s="300">
        <v>2019</v>
      </c>
      <c r="BB70" s="300">
        <v>403</v>
      </c>
      <c r="BC70" s="300">
        <v>280</v>
      </c>
      <c r="BD70" s="300">
        <v>412</v>
      </c>
      <c r="BE70" s="300">
        <v>497</v>
      </c>
      <c r="BF70" s="300">
        <v>465</v>
      </c>
      <c r="BG70" s="300">
        <v>2057</v>
      </c>
      <c r="BH70" s="300"/>
      <c r="BI70" s="300">
        <v>2019</v>
      </c>
      <c r="BJ70" s="300">
        <v>49</v>
      </c>
      <c r="BK70" s="300">
        <v>0</v>
      </c>
      <c r="BL70" s="300">
        <v>0</v>
      </c>
      <c r="BM70" s="300">
        <v>0</v>
      </c>
      <c r="BN70" s="300">
        <v>0</v>
      </c>
      <c r="BO70" s="300">
        <v>49</v>
      </c>
      <c r="BQ70" s="309" t="s">
        <v>599</v>
      </c>
      <c r="BR70" s="309">
        <v>2020</v>
      </c>
      <c r="BS70" s="309">
        <v>72</v>
      </c>
      <c r="BT70" s="309">
        <v>83</v>
      </c>
      <c r="BU70" s="309">
        <v>186</v>
      </c>
      <c r="BV70" s="309">
        <v>238</v>
      </c>
      <c r="BW70" s="309">
        <v>199</v>
      </c>
      <c r="BX70" s="309">
        <v>778</v>
      </c>
      <c r="BY70" s="309"/>
      <c r="BZ70" s="309">
        <v>2020</v>
      </c>
      <c r="CA70" s="309">
        <v>27</v>
      </c>
      <c r="CB70" s="309">
        <v>0</v>
      </c>
      <c r="CC70" s="309">
        <v>0</v>
      </c>
      <c r="CD70" s="309">
        <v>0</v>
      </c>
      <c r="CE70" s="309">
        <v>0</v>
      </c>
      <c r="CF70" s="309">
        <v>27</v>
      </c>
      <c r="CH70" s="237" t="s">
        <v>242</v>
      </c>
      <c r="CI70" s="237">
        <v>2019</v>
      </c>
      <c r="CJ70" s="237">
        <v>221</v>
      </c>
      <c r="CK70" s="237">
        <v>100</v>
      </c>
      <c r="CL70" s="237">
        <v>144</v>
      </c>
      <c r="CM70" s="237">
        <v>214</v>
      </c>
      <c r="CN70" s="237">
        <v>316</v>
      </c>
      <c r="CO70" s="237">
        <v>995</v>
      </c>
      <c r="CP70" s="237"/>
      <c r="CQ70" s="237">
        <v>2019</v>
      </c>
      <c r="CR70" s="237">
        <v>67</v>
      </c>
      <c r="CS70" s="237">
        <v>0</v>
      </c>
      <c r="CT70" s="237">
        <v>0</v>
      </c>
      <c r="CU70" s="237">
        <v>0</v>
      </c>
      <c r="CV70" s="237">
        <v>0</v>
      </c>
      <c r="CW70" s="237">
        <v>67</v>
      </c>
      <c r="DP70" s="349" t="s">
        <v>831</v>
      </c>
      <c r="DQ70" s="349">
        <v>2020</v>
      </c>
      <c r="DR70" s="349">
        <v>298</v>
      </c>
      <c r="DS70" s="349">
        <v>264</v>
      </c>
      <c r="DT70" s="349">
        <v>326</v>
      </c>
      <c r="DU70" s="349">
        <v>274</v>
      </c>
      <c r="DV70" s="349">
        <v>223</v>
      </c>
      <c r="DW70" s="349">
        <v>1385</v>
      </c>
      <c r="DX70" s="349"/>
      <c r="DY70" s="349">
        <v>2020</v>
      </c>
      <c r="DZ70" s="349">
        <v>27</v>
      </c>
      <c r="EA70" s="349">
        <v>0</v>
      </c>
      <c r="EB70" s="349">
        <v>0</v>
      </c>
      <c r="EC70" s="349">
        <v>0</v>
      </c>
      <c r="ED70" s="349">
        <v>0</v>
      </c>
      <c r="EE70" s="349">
        <v>27</v>
      </c>
      <c r="EG70" s="237" t="s">
        <v>1308</v>
      </c>
      <c r="EH70" s="237">
        <v>2019</v>
      </c>
      <c r="EI70" s="237" t="s">
        <v>792</v>
      </c>
      <c r="EJ70" s="237" t="s">
        <v>792</v>
      </c>
      <c r="EK70" s="237" t="s">
        <v>792</v>
      </c>
      <c r="EL70" s="237" t="s">
        <v>792</v>
      </c>
      <c r="EM70" s="237" t="s">
        <v>792</v>
      </c>
      <c r="EN70" s="237" t="s">
        <v>792</v>
      </c>
      <c r="EO70" s="237"/>
      <c r="EP70" s="237">
        <v>2019</v>
      </c>
      <c r="EQ70" s="237" t="s">
        <v>792</v>
      </c>
      <c r="ER70" s="237" t="s">
        <v>792</v>
      </c>
      <c r="ES70" s="237" t="s">
        <v>792</v>
      </c>
      <c r="ET70" s="237" t="s">
        <v>792</v>
      </c>
      <c r="EU70" s="237" t="s">
        <v>792</v>
      </c>
      <c r="EV70" s="237" t="s">
        <v>792</v>
      </c>
      <c r="EX70" s="309" t="s">
        <v>1190</v>
      </c>
      <c r="EY70" s="309">
        <v>2019</v>
      </c>
      <c r="EZ70" s="309">
        <v>654</v>
      </c>
      <c r="FA70" s="309">
        <v>987</v>
      </c>
      <c r="FB70" s="309">
        <v>704</v>
      </c>
      <c r="FC70" s="309">
        <v>588</v>
      </c>
      <c r="FD70" s="309">
        <v>608</v>
      </c>
      <c r="FE70" s="309">
        <v>3541</v>
      </c>
      <c r="FF70" s="309"/>
      <c r="FG70" s="309">
        <v>2019</v>
      </c>
      <c r="FH70" s="309">
        <v>110</v>
      </c>
      <c r="FI70" s="309">
        <v>1</v>
      </c>
      <c r="FJ70" s="309">
        <v>0</v>
      </c>
      <c r="FK70" s="309">
        <v>0</v>
      </c>
      <c r="FL70" s="309">
        <v>0</v>
      </c>
      <c r="FM70" s="309">
        <v>111</v>
      </c>
    </row>
    <row r="71" spans="1:169">
      <c r="A71" s="288" t="s">
        <v>674</v>
      </c>
      <c r="B71" s="288">
        <v>2019</v>
      </c>
      <c r="C71" s="288">
        <v>50</v>
      </c>
      <c r="D71" s="288">
        <v>10</v>
      </c>
      <c r="E71" s="288">
        <v>4</v>
      </c>
      <c r="F71" s="288">
        <v>0</v>
      </c>
      <c r="G71" s="288">
        <v>0</v>
      </c>
      <c r="H71" s="288">
        <v>64</v>
      </c>
      <c r="J71" s="288">
        <v>2019</v>
      </c>
      <c r="K71" s="288">
        <v>312</v>
      </c>
      <c r="L71" s="288">
        <v>377</v>
      </c>
      <c r="M71" s="288">
        <v>468</v>
      </c>
      <c r="N71" s="288">
        <v>482</v>
      </c>
      <c r="O71" s="288">
        <v>439</v>
      </c>
      <c r="P71" s="288">
        <v>2078</v>
      </c>
      <c r="R71" s="289" t="s">
        <v>900</v>
      </c>
      <c r="S71" s="289">
        <v>2020</v>
      </c>
      <c r="T71" s="289">
        <v>237</v>
      </c>
      <c r="U71" s="289">
        <v>121</v>
      </c>
      <c r="V71" s="289">
        <v>145</v>
      </c>
      <c r="W71" s="289">
        <v>215</v>
      </c>
      <c r="X71" s="289">
        <v>202</v>
      </c>
      <c r="Y71" s="289">
        <v>920</v>
      </c>
      <c r="Z71" s="289"/>
      <c r="AA71" s="289">
        <v>2020</v>
      </c>
      <c r="AB71" s="289">
        <v>12</v>
      </c>
      <c r="AC71" s="289">
        <v>0</v>
      </c>
      <c r="AD71" s="289">
        <v>0</v>
      </c>
      <c r="AE71" s="289">
        <v>0</v>
      </c>
      <c r="AF71" s="289">
        <v>0</v>
      </c>
      <c r="AG71" s="289">
        <v>12</v>
      </c>
      <c r="AI71" s="290" t="s">
        <v>407</v>
      </c>
      <c r="AJ71" s="290">
        <v>2019</v>
      </c>
      <c r="AK71" s="290">
        <v>1106</v>
      </c>
      <c r="AL71" s="290">
        <v>447</v>
      </c>
      <c r="AM71" s="290">
        <v>546</v>
      </c>
      <c r="AN71" s="290">
        <v>582</v>
      </c>
      <c r="AO71" s="290">
        <v>482</v>
      </c>
      <c r="AP71" s="290">
        <v>3163</v>
      </c>
      <c r="AQ71" s="290"/>
      <c r="AR71" s="290">
        <v>2019</v>
      </c>
      <c r="AS71" s="290">
        <v>68</v>
      </c>
      <c r="AT71" s="290">
        <v>0</v>
      </c>
      <c r="AU71" s="290">
        <v>0</v>
      </c>
      <c r="AV71" s="290">
        <v>0</v>
      </c>
      <c r="AW71" s="290">
        <v>0</v>
      </c>
      <c r="AX71" s="290">
        <v>68</v>
      </c>
      <c r="AZ71" s="300" t="s">
        <v>83</v>
      </c>
      <c r="BA71" s="300">
        <v>2019</v>
      </c>
      <c r="BB71" s="300">
        <v>459</v>
      </c>
      <c r="BC71" s="300">
        <v>317</v>
      </c>
      <c r="BD71" s="300">
        <v>480</v>
      </c>
      <c r="BE71" s="300">
        <v>566</v>
      </c>
      <c r="BF71" s="300">
        <v>546</v>
      </c>
      <c r="BG71" s="300">
        <v>2368</v>
      </c>
      <c r="BH71" s="300"/>
      <c r="BI71" s="300">
        <v>2019</v>
      </c>
      <c r="BJ71" s="300">
        <v>21</v>
      </c>
      <c r="BK71" s="300">
        <v>0</v>
      </c>
      <c r="BL71" s="300">
        <v>0</v>
      </c>
      <c r="BM71" s="300">
        <v>0</v>
      </c>
      <c r="BN71" s="300">
        <v>0</v>
      </c>
      <c r="BO71" s="300">
        <v>21</v>
      </c>
      <c r="BQ71" s="309" t="s">
        <v>602</v>
      </c>
      <c r="BR71" s="309">
        <v>2020</v>
      </c>
      <c r="BS71" s="309">
        <v>68</v>
      </c>
      <c r="BT71" s="309">
        <v>44</v>
      </c>
      <c r="BU71" s="309">
        <v>68</v>
      </c>
      <c r="BV71" s="309">
        <v>81</v>
      </c>
      <c r="BW71" s="309">
        <v>109</v>
      </c>
      <c r="BX71" s="309">
        <v>370</v>
      </c>
      <c r="BY71" s="309"/>
      <c r="BZ71" s="309">
        <v>2020</v>
      </c>
      <c r="CA71" s="309">
        <v>20</v>
      </c>
      <c r="CB71" s="309">
        <v>0</v>
      </c>
      <c r="CC71" s="309">
        <v>0</v>
      </c>
      <c r="CD71" s="309">
        <v>0</v>
      </c>
      <c r="CE71" s="309">
        <v>0</v>
      </c>
      <c r="CF71" s="309">
        <v>20</v>
      </c>
      <c r="CH71" s="237" t="s">
        <v>2164</v>
      </c>
      <c r="CI71" s="237">
        <v>2019</v>
      </c>
      <c r="CJ71" s="237" t="s">
        <v>792</v>
      </c>
      <c r="CK71" s="237" t="s">
        <v>792</v>
      </c>
      <c r="CL71" s="237" t="s">
        <v>792</v>
      </c>
      <c r="CM71" s="237" t="s">
        <v>792</v>
      </c>
      <c r="CN71" s="237" t="s">
        <v>792</v>
      </c>
      <c r="CO71" s="237" t="s">
        <v>792</v>
      </c>
      <c r="CP71" s="237"/>
      <c r="CQ71" s="237">
        <v>2019</v>
      </c>
      <c r="CR71" s="237" t="s">
        <v>792</v>
      </c>
      <c r="CS71" s="237" t="s">
        <v>792</v>
      </c>
      <c r="CT71" s="237" t="s">
        <v>792</v>
      </c>
      <c r="CU71" s="237" t="s">
        <v>792</v>
      </c>
      <c r="CV71" s="237" t="s">
        <v>792</v>
      </c>
      <c r="CW71" s="237" t="s">
        <v>792</v>
      </c>
      <c r="DP71" s="349" t="s">
        <v>833</v>
      </c>
      <c r="DQ71" s="349">
        <v>2020</v>
      </c>
      <c r="DR71" s="349">
        <v>147</v>
      </c>
      <c r="DS71" s="349">
        <v>121</v>
      </c>
      <c r="DT71" s="349">
        <v>177</v>
      </c>
      <c r="DU71" s="349">
        <v>182</v>
      </c>
      <c r="DV71" s="349">
        <v>177</v>
      </c>
      <c r="DW71" s="349">
        <v>804</v>
      </c>
      <c r="DX71" s="349"/>
      <c r="DY71" s="349">
        <v>2020</v>
      </c>
      <c r="DZ71" s="349">
        <v>15</v>
      </c>
      <c r="EA71" s="349">
        <v>0</v>
      </c>
      <c r="EB71" s="349">
        <v>0</v>
      </c>
      <c r="EC71" s="349">
        <v>0</v>
      </c>
      <c r="ED71" s="349">
        <v>0</v>
      </c>
      <c r="EE71" s="349">
        <v>15</v>
      </c>
      <c r="EG71" s="237" t="s">
        <v>1140</v>
      </c>
      <c r="EH71" s="237">
        <v>2019</v>
      </c>
      <c r="EI71" s="237" t="s">
        <v>792</v>
      </c>
      <c r="EJ71" s="237" t="s">
        <v>792</v>
      </c>
      <c r="EK71" s="237" t="s">
        <v>792</v>
      </c>
      <c r="EL71" s="237" t="s">
        <v>792</v>
      </c>
      <c r="EM71" s="237" t="s">
        <v>792</v>
      </c>
      <c r="EN71" s="237" t="s">
        <v>792</v>
      </c>
      <c r="EO71" s="237"/>
      <c r="EP71" s="237">
        <v>2019</v>
      </c>
      <c r="EQ71" s="237" t="s">
        <v>792</v>
      </c>
      <c r="ER71" s="237" t="s">
        <v>792</v>
      </c>
      <c r="ES71" s="237" t="s">
        <v>792</v>
      </c>
      <c r="ET71" s="237" t="s">
        <v>792</v>
      </c>
      <c r="EU71" s="237" t="s">
        <v>792</v>
      </c>
      <c r="EV71" s="237" t="s">
        <v>792</v>
      </c>
      <c r="EX71" s="309" t="s">
        <v>1904</v>
      </c>
      <c r="EY71" s="309">
        <v>2019</v>
      </c>
      <c r="EZ71" s="309" t="s">
        <v>792</v>
      </c>
      <c r="FA71" s="309" t="s">
        <v>792</v>
      </c>
      <c r="FB71" s="309" t="s">
        <v>792</v>
      </c>
      <c r="FC71" s="309" t="s">
        <v>792</v>
      </c>
      <c r="FD71" s="309" t="s">
        <v>792</v>
      </c>
      <c r="FE71" s="309" t="s">
        <v>792</v>
      </c>
      <c r="FF71" s="309"/>
      <c r="FG71" s="309">
        <v>2019</v>
      </c>
      <c r="FH71" s="309" t="s">
        <v>792</v>
      </c>
      <c r="FI71" s="309" t="s">
        <v>792</v>
      </c>
      <c r="FJ71" s="309" t="s">
        <v>792</v>
      </c>
      <c r="FK71" s="309" t="s">
        <v>792</v>
      </c>
      <c r="FL71" s="309" t="s">
        <v>792</v>
      </c>
      <c r="FM71" s="309" t="s">
        <v>792</v>
      </c>
    </row>
    <row r="72" spans="1:169">
      <c r="A72" s="288" t="s">
        <v>677</v>
      </c>
      <c r="B72" s="288">
        <v>2019</v>
      </c>
      <c r="C72" s="288">
        <v>48</v>
      </c>
      <c r="D72" s="288">
        <v>1</v>
      </c>
      <c r="E72" s="288">
        <v>1</v>
      </c>
      <c r="F72" s="288">
        <v>1</v>
      </c>
      <c r="G72" s="288">
        <v>0</v>
      </c>
      <c r="H72" s="288">
        <v>51</v>
      </c>
      <c r="J72" s="288">
        <v>2019</v>
      </c>
      <c r="K72" s="288">
        <v>109</v>
      </c>
      <c r="L72" s="288">
        <v>120</v>
      </c>
      <c r="M72" s="288">
        <v>163</v>
      </c>
      <c r="N72" s="288">
        <v>235</v>
      </c>
      <c r="O72" s="288">
        <v>233</v>
      </c>
      <c r="P72" s="288">
        <v>860</v>
      </c>
      <c r="R72" s="289" t="s">
        <v>901</v>
      </c>
      <c r="S72" s="289">
        <v>2020</v>
      </c>
      <c r="T72" s="289">
        <v>234</v>
      </c>
      <c r="U72" s="289">
        <v>264</v>
      </c>
      <c r="V72" s="289">
        <v>284</v>
      </c>
      <c r="W72" s="289">
        <v>298</v>
      </c>
      <c r="X72" s="289">
        <v>225</v>
      </c>
      <c r="Y72" s="289">
        <v>1305</v>
      </c>
      <c r="Z72" s="289"/>
      <c r="AA72" s="289">
        <v>2020</v>
      </c>
      <c r="AB72" s="289">
        <v>34</v>
      </c>
      <c r="AC72" s="289">
        <v>4</v>
      </c>
      <c r="AD72" s="289">
        <v>0</v>
      </c>
      <c r="AE72" s="289">
        <v>0</v>
      </c>
      <c r="AF72" s="289">
        <v>0</v>
      </c>
      <c r="AG72" s="289">
        <v>38</v>
      </c>
      <c r="AI72" s="290" t="s">
        <v>408</v>
      </c>
      <c r="AJ72" s="290">
        <v>2019</v>
      </c>
      <c r="AK72" s="290">
        <v>326</v>
      </c>
      <c r="AL72" s="290">
        <v>361</v>
      </c>
      <c r="AM72" s="290">
        <v>482</v>
      </c>
      <c r="AN72" s="290">
        <v>694</v>
      </c>
      <c r="AO72" s="290">
        <v>562</v>
      </c>
      <c r="AP72" s="290">
        <v>2425</v>
      </c>
      <c r="AQ72" s="290"/>
      <c r="AR72" s="290">
        <v>2019</v>
      </c>
      <c r="AS72" s="290">
        <v>26</v>
      </c>
      <c r="AT72" s="290">
        <v>10</v>
      </c>
      <c r="AU72" s="290">
        <v>3</v>
      </c>
      <c r="AV72" s="290">
        <v>0</v>
      </c>
      <c r="AW72" s="290">
        <v>1</v>
      </c>
      <c r="AX72" s="290">
        <v>40</v>
      </c>
      <c r="AZ72" s="300" t="s">
        <v>85</v>
      </c>
      <c r="BA72" s="300">
        <v>2019</v>
      </c>
      <c r="BB72" s="300">
        <v>147</v>
      </c>
      <c r="BC72" s="300">
        <v>220</v>
      </c>
      <c r="BD72" s="300">
        <v>350</v>
      </c>
      <c r="BE72" s="300">
        <v>496</v>
      </c>
      <c r="BF72" s="300">
        <v>484</v>
      </c>
      <c r="BG72" s="300">
        <v>1697</v>
      </c>
      <c r="BH72" s="300"/>
      <c r="BI72" s="300">
        <v>2019</v>
      </c>
      <c r="BJ72" s="300">
        <v>20</v>
      </c>
      <c r="BK72" s="300">
        <v>0</v>
      </c>
      <c r="BL72" s="300">
        <v>0</v>
      </c>
      <c r="BM72" s="300">
        <v>0</v>
      </c>
      <c r="BN72" s="300">
        <v>0</v>
      </c>
      <c r="BO72" s="300">
        <v>20</v>
      </c>
      <c r="BQ72" s="309" t="s">
        <v>605</v>
      </c>
      <c r="BR72" s="309">
        <v>2020</v>
      </c>
      <c r="BS72" s="309">
        <v>107</v>
      </c>
      <c r="BT72" s="309">
        <v>109</v>
      </c>
      <c r="BU72" s="309">
        <v>115</v>
      </c>
      <c r="BV72" s="309">
        <v>165</v>
      </c>
      <c r="BW72" s="309">
        <v>148</v>
      </c>
      <c r="BX72" s="309">
        <v>644</v>
      </c>
      <c r="BY72" s="309"/>
      <c r="BZ72" s="309">
        <v>2020</v>
      </c>
      <c r="CA72" s="309">
        <v>41</v>
      </c>
      <c r="CB72" s="309">
        <v>1</v>
      </c>
      <c r="CC72" s="309">
        <v>0</v>
      </c>
      <c r="CD72" s="309">
        <v>0</v>
      </c>
      <c r="CE72" s="309">
        <v>0</v>
      </c>
      <c r="CF72" s="309">
        <v>42</v>
      </c>
      <c r="CH72" s="237" t="s">
        <v>243</v>
      </c>
      <c r="CI72" s="237">
        <v>2019</v>
      </c>
      <c r="CJ72" s="237">
        <v>401</v>
      </c>
      <c r="CK72" s="237">
        <v>63</v>
      </c>
      <c r="CL72" s="237">
        <v>157</v>
      </c>
      <c r="CM72" s="237">
        <v>185</v>
      </c>
      <c r="CN72" s="237">
        <v>376</v>
      </c>
      <c r="CO72" s="237">
        <v>1182</v>
      </c>
      <c r="CP72" s="237"/>
      <c r="CQ72" s="237">
        <v>2019</v>
      </c>
      <c r="CR72" s="237">
        <v>138</v>
      </c>
      <c r="CS72" s="237">
        <v>0</v>
      </c>
      <c r="CT72" s="237">
        <v>0</v>
      </c>
      <c r="CU72" s="237">
        <v>0</v>
      </c>
      <c r="CV72" s="237">
        <v>0</v>
      </c>
      <c r="CW72" s="237">
        <v>138</v>
      </c>
      <c r="DP72" s="349" t="s">
        <v>835</v>
      </c>
      <c r="DQ72" s="349">
        <v>2020</v>
      </c>
      <c r="DR72" s="349">
        <v>2631</v>
      </c>
      <c r="DS72" s="349">
        <v>1168</v>
      </c>
      <c r="DT72" s="349">
        <v>921</v>
      </c>
      <c r="DU72" s="349">
        <v>850</v>
      </c>
      <c r="DV72" s="349">
        <v>1115</v>
      </c>
      <c r="DW72" s="349">
        <v>6685</v>
      </c>
      <c r="DX72" s="349"/>
      <c r="DY72" s="349">
        <v>2020</v>
      </c>
      <c r="DZ72" s="349">
        <v>312</v>
      </c>
      <c r="EA72" s="349">
        <v>27</v>
      </c>
      <c r="EB72" s="349">
        <v>0</v>
      </c>
      <c r="EC72" s="349">
        <v>0</v>
      </c>
      <c r="ED72" s="349">
        <v>0</v>
      </c>
      <c r="EE72" s="349">
        <v>339</v>
      </c>
      <c r="EG72" s="237" t="s">
        <v>1143</v>
      </c>
      <c r="EH72" s="237">
        <v>2019</v>
      </c>
      <c r="EI72" s="237" t="s">
        <v>792</v>
      </c>
      <c r="EJ72" s="237" t="s">
        <v>792</v>
      </c>
      <c r="EK72" s="237" t="s">
        <v>792</v>
      </c>
      <c r="EL72" s="237" t="s">
        <v>792</v>
      </c>
      <c r="EM72" s="237" t="s">
        <v>792</v>
      </c>
      <c r="EN72" s="237" t="s">
        <v>792</v>
      </c>
      <c r="EO72" s="237"/>
      <c r="EP72" s="237">
        <v>2019</v>
      </c>
      <c r="EQ72" s="237" t="s">
        <v>792</v>
      </c>
      <c r="ER72" s="237" t="s">
        <v>792</v>
      </c>
      <c r="ES72" s="237" t="s">
        <v>792</v>
      </c>
      <c r="ET72" s="237" t="s">
        <v>792</v>
      </c>
      <c r="EU72" s="237" t="s">
        <v>792</v>
      </c>
      <c r="EV72" s="237" t="s">
        <v>792</v>
      </c>
      <c r="EX72" s="309" t="s">
        <v>1192</v>
      </c>
      <c r="EY72" s="309">
        <v>2019</v>
      </c>
      <c r="EZ72" s="309">
        <v>167</v>
      </c>
      <c r="FA72" s="309">
        <v>263</v>
      </c>
      <c r="FB72" s="309">
        <v>302</v>
      </c>
      <c r="FC72" s="309">
        <v>379</v>
      </c>
      <c r="FD72" s="309">
        <v>403</v>
      </c>
      <c r="FE72" s="309">
        <v>1514</v>
      </c>
      <c r="FF72" s="309"/>
      <c r="FG72" s="309">
        <v>2019</v>
      </c>
      <c r="FH72" s="309">
        <v>49</v>
      </c>
      <c r="FI72" s="309">
        <v>12</v>
      </c>
      <c r="FJ72" s="309">
        <v>5</v>
      </c>
      <c r="FK72" s="309">
        <v>4</v>
      </c>
      <c r="FL72" s="309">
        <v>1</v>
      </c>
      <c r="FM72" s="309">
        <v>71</v>
      </c>
    </row>
    <row r="73" spans="1:169">
      <c r="A73" s="288" t="s">
        <v>679</v>
      </c>
      <c r="B73" s="288">
        <v>2019</v>
      </c>
      <c r="C73" s="288">
        <v>8</v>
      </c>
      <c r="D73" s="288">
        <v>4</v>
      </c>
      <c r="E73" s="288">
        <v>1</v>
      </c>
      <c r="F73" s="288">
        <v>1</v>
      </c>
      <c r="G73" s="288">
        <v>0</v>
      </c>
      <c r="H73" s="288">
        <v>14</v>
      </c>
      <c r="J73" s="288">
        <v>2019</v>
      </c>
      <c r="K73" s="288">
        <v>81</v>
      </c>
      <c r="L73" s="288">
        <v>188</v>
      </c>
      <c r="M73" s="288">
        <v>268</v>
      </c>
      <c r="N73" s="288">
        <v>327</v>
      </c>
      <c r="O73" s="288">
        <v>259</v>
      </c>
      <c r="P73" s="288">
        <v>1123</v>
      </c>
      <c r="R73" s="289" t="s">
        <v>902</v>
      </c>
      <c r="S73" s="289">
        <v>2020</v>
      </c>
      <c r="T73" s="289">
        <v>135</v>
      </c>
      <c r="U73" s="289">
        <v>97</v>
      </c>
      <c r="V73" s="289">
        <v>141</v>
      </c>
      <c r="W73" s="289">
        <v>176</v>
      </c>
      <c r="X73" s="289">
        <v>186</v>
      </c>
      <c r="Y73" s="289">
        <v>735</v>
      </c>
      <c r="Z73" s="289"/>
      <c r="AA73" s="289">
        <v>2020</v>
      </c>
      <c r="AB73" s="289">
        <v>7</v>
      </c>
      <c r="AC73" s="289">
        <v>0</v>
      </c>
      <c r="AD73" s="289">
        <v>0</v>
      </c>
      <c r="AE73" s="289">
        <v>0</v>
      </c>
      <c r="AF73" s="289">
        <v>0</v>
      </c>
      <c r="AG73" s="289">
        <v>7</v>
      </c>
      <c r="AI73" s="290" t="s">
        <v>409</v>
      </c>
      <c r="AJ73" s="290">
        <v>2019</v>
      </c>
      <c r="AK73" s="290">
        <v>706</v>
      </c>
      <c r="AL73" s="290">
        <v>1021</v>
      </c>
      <c r="AM73" s="290">
        <v>1525</v>
      </c>
      <c r="AN73" s="290">
        <v>1770</v>
      </c>
      <c r="AO73" s="290">
        <v>1074</v>
      </c>
      <c r="AP73" s="290">
        <v>6096</v>
      </c>
      <c r="AQ73" s="290"/>
      <c r="AR73" s="290">
        <v>2019</v>
      </c>
      <c r="AS73" s="290">
        <v>33</v>
      </c>
      <c r="AT73" s="290">
        <v>5</v>
      </c>
      <c r="AU73" s="290">
        <v>3</v>
      </c>
      <c r="AV73" s="290">
        <v>1</v>
      </c>
      <c r="AW73" s="290">
        <v>1</v>
      </c>
      <c r="AX73" s="290">
        <v>43</v>
      </c>
      <c r="AZ73" s="300" t="s">
        <v>86</v>
      </c>
      <c r="BA73" s="300">
        <v>2019</v>
      </c>
      <c r="BB73" s="300">
        <v>202</v>
      </c>
      <c r="BC73" s="300">
        <v>106</v>
      </c>
      <c r="BD73" s="300">
        <v>137</v>
      </c>
      <c r="BE73" s="300">
        <v>197</v>
      </c>
      <c r="BF73" s="300">
        <v>201</v>
      </c>
      <c r="BG73" s="300">
        <v>843</v>
      </c>
      <c r="BH73" s="300"/>
      <c r="BI73" s="300">
        <v>2019</v>
      </c>
      <c r="BJ73" s="300">
        <v>26</v>
      </c>
      <c r="BK73" s="300">
        <v>0</v>
      </c>
      <c r="BL73" s="300">
        <v>0</v>
      </c>
      <c r="BM73" s="300">
        <v>0</v>
      </c>
      <c r="BN73" s="300">
        <v>0</v>
      </c>
      <c r="BO73" s="300">
        <v>26</v>
      </c>
      <c r="BQ73" s="309" t="s">
        <v>608</v>
      </c>
      <c r="BR73" s="309">
        <v>2020</v>
      </c>
      <c r="BS73" s="309">
        <v>55</v>
      </c>
      <c r="BT73" s="309">
        <v>71</v>
      </c>
      <c r="BU73" s="309">
        <v>112</v>
      </c>
      <c r="BV73" s="309">
        <v>157</v>
      </c>
      <c r="BW73" s="309">
        <v>149</v>
      </c>
      <c r="BX73" s="309">
        <v>544</v>
      </c>
      <c r="BY73" s="309"/>
      <c r="BZ73" s="309">
        <v>2020</v>
      </c>
      <c r="CA73" s="309">
        <v>17</v>
      </c>
      <c r="CB73" s="309">
        <v>1</v>
      </c>
      <c r="CC73" s="309">
        <v>0</v>
      </c>
      <c r="CD73" s="309">
        <v>0</v>
      </c>
      <c r="CE73" s="309">
        <v>0</v>
      </c>
      <c r="CF73" s="309">
        <v>18</v>
      </c>
      <c r="CH73" s="237" t="s">
        <v>245</v>
      </c>
      <c r="CI73" s="237">
        <v>2019</v>
      </c>
      <c r="CJ73" s="237">
        <v>1146</v>
      </c>
      <c r="CK73" s="237">
        <v>833</v>
      </c>
      <c r="CL73" s="237">
        <v>1086</v>
      </c>
      <c r="CM73" s="237">
        <v>1097</v>
      </c>
      <c r="CN73" s="237">
        <v>875</v>
      </c>
      <c r="CO73" s="237">
        <v>5037</v>
      </c>
      <c r="CP73" s="237"/>
      <c r="CQ73" s="237">
        <v>2019</v>
      </c>
      <c r="CR73" s="237">
        <v>166</v>
      </c>
      <c r="CS73" s="237">
        <v>0</v>
      </c>
      <c r="CT73" s="237">
        <v>0</v>
      </c>
      <c r="CU73" s="237">
        <v>0</v>
      </c>
      <c r="CV73" s="237">
        <v>0</v>
      </c>
      <c r="CW73" s="237">
        <v>166</v>
      </c>
      <c r="EX73" s="309" t="s">
        <v>1194</v>
      </c>
      <c r="EY73" s="309">
        <v>2019</v>
      </c>
      <c r="EZ73" s="309" t="s">
        <v>792</v>
      </c>
      <c r="FA73" s="309" t="s">
        <v>792</v>
      </c>
      <c r="FB73" s="309" t="s">
        <v>792</v>
      </c>
      <c r="FC73" s="309" t="s">
        <v>792</v>
      </c>
      <c r="FD73" s="309" t="s">
        <v>792</v>
      </c>
      <c r="FE73" s="309" t="s">
        <v>792</v>
      </c>
      <c r="FF73" s="309"/>
      <c r="FG73" s="309">
        <v>2019</v>
      </c>
      <c r="FH73" s="309" t="s">
        <v>792</v>
      </c>
      <c r="FI73" s="309" t="s">
        <v>792</v>
      </c>
      <c r="FJ73" s="309" t="s">
        <v>792</v>
      </c>
      <c r="FK73" s="309" t="s">
        <v>792</v>
      </c>
      <c r="FL73" s="309" t="s">
        <v>792</v>
      </c>
      <c r="FM73" s="309" t="s">
        <v>792</v>
      </c>
    </row>
    <row r="74" spans="1:169">
      <c r="A74" s="288" t="s">
        <v>682</v>
      </c>
      <c r="B74" s="288">
        <v>2019</v>
      </c>
      <c r="C74" s="288">
        <v>20</v>
      </c>
      <c r="D74" s="288">
        <v>4</v>
      </c>
      <c r="E74" s="288">
        <v>1</v>
      </c>
      <c r="F74" s="288">
        <v>2</v>
      </c>
      <c r="G74" s="288">
        <v>0</v>
      </c>
      <c r="H74" s="288">
        <v>27</v>
      </c>
      <c r="J74" s="288">
        <v>2019</v>
      </c>
      <c r="K74" s="288">
        <v>123</v>
      </c>
      <c r="L74" s="288">
        <v>184</v>
      </c>
      <c r="M74" s="288">
        <v>291</v>
      </c>
      <c r="N74" s="288">
        <v>328</v>
      </c>
      <c r="O74" s="288">
        <v>267</v>
      </c>
      <c r="P74" s="288">
        <v>1193</v>
      </c>
      <c r="R74" s="289" t="s">
        <v>903</v>
      </c>
      <c r="S74" s="289">
        <v>2020</v>
      </c>
      <c r="T74" s="289">
        <v>553</v>
      </c>
      <c r="U74" s="289">
        <v>640</v>
      </c>
      <c r="V74" s="289">
        <v>714</v>
      </c>
      <c r="W74" s="289">
        <v>765</v>
      </c>
      <c r="X74" s="289">
        <v>544</v>
      </c>
      <c r="Y74" s="289">
        <v>3216</v>
      </c>
      <c r="Z74" s="289"/>
      <c r="AA74" s="289">
        <v>2020</v>
      </c>
      <c r="AB74" s="289">
        <v>23</v>
      </c>
      <c r="AC74" s="289">
        <v>4</v>
      </c>
      <c r="AD74" s="289">
        <v>1</v>
      </c>
      <c r="AE74" s="289">
        <v>1</v>
      </c>
      <c r="AF74" s="289">
        <v>0</v>
      </c>
      <c r="AG74" s="289">
        <v>29</v>
      </c>
      <c r="AI74" s="290" t="s">
        <v>410</v>
      </c>
      <c r="AJ74" s="290">
        <v>2019</v>
      </c>
      <c r="AK74" s="290">
        <v>270</v>
      </c>
      <c r="AL74" s="290">
        <v>506</v>
      </c>
      <c r="AM74" s="290">
        <v>814</v>
      </c>
      <c r="AN74" s="290">
        <v>1011</v>
      </c>
      <c r="AO74" s="290">
        <v>632</v>
      </c>
      <c r="AP74" s="290">
        <v>3233</v>
      </c>
      <c r="AQ74" s="290"/>
      <c r="AR74" s="290">
        <v>2019</v>
      </c>
      <c r="AS74" s="290">
        <v>20</v>
      </c>
      <c r="AT74" s="290">
        <v>3</v>
      </c>
      <c r="AU74" s="290">
        <v>1</v>
      </c>
      <c r="AV74" s="290">
        <v>0</v>
      </c>
      <c r="AW74" s="290">
        <v>0</v>
      </c>
      <c r="AX74" s="290">
        <v>24</v>
      </c>
      <c r="AZ74" s="300" t="s">
        <v>87</v>
      </c>
      <c r="BA74" s="300">
        <v>2019</v>
      </c>
      <c r="BB74" s="300">
        <v>264</v>
      </c>
      <c r="BC74" s="300">
        <v>263</v>
      </c>
      <c r="BD74" s="300">
        <v>492</v>
      </c>
      <c r="BE74" s="300">
        <v>609</v>
      </c>
      <c r="BF74" s="300">
        <v>573</v>
      </c>
      <c r="BG74" s="300">
        <v>2201</v>
      </c>
      <c r="BH74" s="300"/>
      <c r="BI74" s="300">
        <v>2019</v>
      </c>
      <c r="BJ74" s="300">
        <v>22</v>
      </c>
      <c r="BK74" s="300">
        <v>0</v>
      </c>
      <c r="BL74" s="300">
        <v>0</v>
      </c>
      <c r="BM74" s="300">
        <v>0</v>
      </c>
      <c r="BN74" s="300">
        <v>0</v>
      </c>
      <c r="BO74" s="300">
        <v>22</v>
      </c>
      <c r="BQ74" s="309" t="s">
        <v>611</v>
      </c>
      <c r="BR74" s="309">
        <v>2020</v>
      </c>
      <c r="BS74" s="309">
        <v>64</v>
      </c>
      <c r="BT74" s="309">
        <v>68</v>
      </c>
      <c r="BU74" s="309">
        <v>172</v>
      </c>
      <c r="BV74" s="309">
        <v>269</v>
      </c>
      <c r="BW74" s="309">
        <v>232</v>
      </c>
      <c r="BX74" s="309">
        <v>805</v>
      </c>
      <c r="BY74" s="309"/>
      <c r="BZ74" s="309">
        <v>2020</v>
      </c>
      <c r="CA74" s="309">
        <v>19</v>
      </c>
      <c r="CB74" s="309">
        <v>0</v>
      </c>
      <c r="CC74" s="309">
        <v>0</v>
      </c>
      <c r="CD74" s="309">
        <v>0</v>
      </c>
      <c r="CE74" s="309">
        <v>0</v>
      </c>
      <c r="CF74" s="309">
        <v>19</v>
      </c>
      <c r="CH74" s="237" t="s">
        <v>247</v>
      </c>
      <c r="CI74" s="237">
        <v>2019</v>
      </c>
      <c r="CJ74" s="237">
        <v>132</v>
      </c>
      <c r="CK74" s="237">
        <v>135</v>
      </c>
      <c r="CL74" s="237">
        <v>211</v>
      </c>
      <c r="CM74" s="237">
        <v>377</v>
      </c>
      <c r="CN74" s="237">
        <v>366</v>
      </c>
      <c r="CO74" s="237">
        <v>1221</v>
      </c>
      <c r="CP74" s="237"/>
      <c r="CQ74" s="237">
        <v>2019</v>
      </c>
      <c r="CR74" s="237">
        <v>20</v>
      </c>
      <c r="CS74" s="237">
        <v>0</v>
      </c>
      <c r="CT74" s="237">
        <v>0</v>
      </c>
      <c r="CU74" s="237">
        <v>0</v>
      </c>
      <c r="CV74" s="237">
        <v>0</v>
      </c>
      <c r="CW74" s="237">
        <v>20</v>
      </c>
      <c r="EG74" s="237" t="s">
        <v>1054</v>
      </c>
      <c r="EH74" s="237">
        <v>2020</v>
      </c>
      <c r="EI74" s="237">
        <v>626</v>
      </c>
      <c r="EJ74" s="237">
        <v>979</v>
      </c>
      <c r="EK74" s="237">
        <v>1135</v>
      </c>
      <c r="EL74" s="237">
        <v>1339</v>
      </c>
      <c r="EM74" s="237">
        <v>1395</v>
      </c>
      <c r="EN74" s="237">
        <v>5474</v>
      </c>
      <c r="EO74" s="237"/>
      <c r="EP74" s="237">
        <v>2020</v>
      </c>
      <c r="EQ74" s="237">
        <v>133</v>
      </c>
      <c r="ER74" s="237">
        <v>65</v>
      </c>
      <c r="ES74" s="237">
        <v>38</v>
      </c>
      <c r="ET74" s="237">
        <v>48</v>
      </c>
      <c r="EU74" s="237">
        <v>28</v>
      </c>
      <c r="EV74" s="237">
        <v>312</v>
      </c>
      <c r="EX74" s="309" t="s">
        <v>1914</v>
      </c>
      <c r="EY74" s="309">
        <v>2019</v>
      </c>
      <c r="EZ74" s="309" t="s">
        <v>792</v>
      </c>
      <c r="FA74" s="309" t="s">
        <v>792</v>
      </c>
      <c r="FB74" s="309" t="s">
        <v>792</v>
      </c>
      <c r="FC74" s="309" t="s">
        <v>792</v>
      </c>
      <c r="FD74" s="309" t="s">
        <v>792</v>
      </c>
      <c r="FE74" s="309" t="s">
        <v>792</v>
      </c>
      <c r="FF74" s="309"/>
      <c r="FG74" s="309">
        <v>2019</v>
      </c>
      <c r="FH74" s="309" t="s">
        <v>792</v>
      </c>
      <c r="FI74" s="309" t="s">
        <v>792</v>
      </c>
      <c r="FJ74" s="309" t="s">
        <v>792</v>
      </c>
      <c r="FK74" s="309" t="s">
        <v>792</v>
      </c>
      <c r="FL74" s="309" t="s">
        <v>792</v>
      </c>
      <c r="FM74" s="309" t="s">
        <v>792</v>
      </c>
    </row>
    <row r="75" spans="1:169">
      <c r="A75" s="288" t="s">
        <v>685</v>
      </c>
      <c r="B75" s="288">
        <v>2019</v>
      </c>
      <c r="C75" s="288">
        <v>8</v>
      </c>
      <c r="D75" s="288">
        <v>1</v>
      </c>
      <c r="E75" s="288">
        <v>2</v>
      </c>
      <c r="F75" s="288">
        <v>2</v>
      </c>
      <c r="G75" s="288">
        <v>0</v>
      </c>
      <c r="H75" s="288">
        <v>13</v>
      </c>
      <c r="J75" s="288">
        <v>2019</v>
      </c>
      <c r="K75" s="288">
        <v>70</v>
      </c>
      <c r="L75" s="288">
        <v>110</v>
      </c>
      <c r="M75" s="288">
        <v>197</v>
      </c>
      <c r="N75" s="288">
        <v>267</v>
      </c>
      <c r="O75" s="288">
        <v>209</v>
      </c>
      <c r="P75" s="288">
        <v>853</v>
      </c>
      <c r="R75" s="289" t="s">
        <v>904</v>
      </c>
      <c r="S75" s="289">
        <v>2020</v>
      </c>
      <c r="T75" s="289">
        <v>1873</v>
      </c>
      <c r="U75" s="289">
        <v>1371</v>
      </c>
      <c r="V75" s="289">
        <v>1531</v>
      </c>
      <c r="W75" s="289">
        <v>1528</v>
      </c>
      <c r="X75" s="289">
        <v>1067</v>
      </c>
      <c r="Y75" s="289">
        <v>7370</v>
      </c>
      <c r="Z75" s="289"/>
      <c r="AA75" s="289">
        <v>2020</v>
      </c>
      <c r="AB75" s="289">
        <v>157</v>
      </c>
      <c r="AC75" s="289">
        <v>7</v>
      </c>
      <c r="AD75" s="289">
        <v>1</v>
      </c>
      <c r="AE75" s="289">
        <v>2</v>
      </c>
      <c r="AF75" s="289">
        <v>0</v>
      </c>
      <c r="AG75" s="289">
        <v>167</v>
      </c>
      <c r="AI75" s="290" t="s">
        <v>411</v>
      </c>
      <c r="AJ75" s="290">
        <v>2019</v>
      </c>
      <c r="AK75" s="290">
        <v>128</v>
      </c>
      <c r="AL75" s="290">
        <v>259</v>
      </c>
      <c r="AM75" s="290">
        <v>545</v>
      </c>
      <c r="AN75" s="290">
        <v>798</v>
      </c>
      <c r="AO75" s="290">
        <v>562</v>
      </c>
      <c r="AP75" s="290">
        <v>2292</v>
      </c>
      <c r="AQ75" s="290"/>
      <c r="AR75" s="290">
        <v>2019</v>
      </c>
      <c r="AS75" s="290">
        <v>22</v>
      </c>
      <c r="AT75" s="290">
        <v>1</v>
      </c>
      <c r="AU75" s="290">
        <v>0</v>
      </c>
      <c r="AV75" s="290">
        <v>0</v>
      </c>
      <c r="AW75" s="290">
        <v>1</v>
      </c>
      <c r="AX75" s="290">
        <v>24</v>
      </c>
      <c r="AZ75" s="300" t="s">
        <v>88</v>
      </c>
      <c r="BA75" s="300">
        <v>2019</v>
      </c>
      <c r="BB75" s="300">
        <v>215</v>
      </c>
      <c r="BC75" s="300">
        <v>136</v>
      </c>
      <c r="BD75" s="300">
        <v>197</v>
      </c>
      <c r="BE75" s="300">
        <v>244</v>
      </c>
      <c r="BF75" s="300">
        <v>240</v>
      </c>
      <c r="BG75" s="300">
        <v>1032</v>
      </c>
      <c r="BH75" s="300"/>
      <c r="BI75" s="300">
        <v>2019</v>
      </c>
      <c r="BJ75" s="300">
        <v>18</v>
      </c>
      <c r="BK75" s="300">
        <v>0</v>
      </c>
      <c r="BL75" s="300">
        <v>0</v>
      </c>
      <c r="BM75" s="300">
        <v>0</v>
      </c>
      <c r="BN75" s="300">
        <v>0</v>
      </c>
      <c r="BO75" s="300">
        <v>18</v>
      </c>
      <c r="BQ75" s="309" t="s">
        <v>614</v>
      </c>
      <c r="BR75" s="309">
        <v>2020</v>
      </c>
      <c r="BS75" s="309">
        <v>47</v>
      </c>
      <c r="BT75" s="309">
        <v>58</v>
      </c>
      <c r="BU75" s="309">
        <v>147</v>
      </c>
      <c r="BV75" s="309">
        <v>198</v>
      </c>
      <c r="BW75" s="309">
        <v>198</v>
      </c>
      <c r="BX75" s="309">
        <v>648</v>
      </c>
      <c r="BY75" s="309"/>
      <c r="BZ75" s="309">
        <v>2020</v>
      </c>
      <c r="CA75" s="309">
        <v>13</v>
      </c>
      <c r="CB75" s="309">
        <v>0</v>
      </c>
      <c r="CC75" s="309">
        <v>0</v>
      </c>
      <c r="CD75" s="309">
        <v>0</v>
      </c>
      <c r="CE75" s="309">
        <v>0</v>
      </c>
      <c r="CF75" s="309">
        <v>13</v>
      </c>
      <c r="CH75" s="237" t="s">
        <v>249</v>
      </c>
      <c r="CI75" s="237">
        <v>2019</v>
      </c>
      <c r="CJ75" s="237">
        <v>100</v>
      </c>
      <c r="CK75" s="237">
        <v>98</v>
      </c>
      <c r="CL75" s="237">
        <v>212</v>
      </c>
      <c r="CM75" s="237">
        <v>249</v>
      </c>
      <c r="CN75" s="237">
        <v>264</v>
      </c>
      <c r="CO75" s="237">
        <v>923</v>
      </c>
      <c r="CP75" s="237"/>
      <c r="CQ75" s="237">
        <v>2019</v>
      </c>
      <c r="CR75" s="237">
        <v>28</v>
      </c>
      <c r="CS75" s="237">
        <v>0</v>
      </c>
      <c r="CT75" s="237">
        <v>0</v>
      </c>
      <c r="CU75" s="237">
        <v>0</v>
      </c>
      <c r="CV75" s="237">
        <v>0</v>
      </c>
      <c r="CW75" s="237">
        <v>28</v>
      </c>
      <c r="EG75" s="237" t="s">
        <v>1056</v>
      </c>
      <c r="EH75" s="237">
        <v>2020</v>
      </c>
      <c r="EI75" s="237">
        <v>149</v>
      </c>
      <c r="EJ75" s="237">
        <v>259</v>
      </c>
      <c r="EK75" s="237">
        <v>350</v>
      </c>
      <c r="EL75" s="237">
        <v>436</v>
      </c>
      <c r="EM75" s="237">
        <v>484</v>
      </c>
      <c r="EN75" s="237">
        <v>1678</v>
      </c>
      <c r="EO75" s="237"/>
      <c r="EP75" s="237">
        <v>2020</v>
      </c>
      <c r="EQ75" s="237">
        <v>32</v>
      </c>
      <c r="ER75" s="237">
        <v>18</v>
      </c>
      <c r="ES75" s="237">
        <v>9</v>
      </c>
      <c r="ET75" s="237">
        <v>8</v>
      </c>
      <c r="EU75" s="237">
        <v>15</v>
      </c>
      <c r="EV75" s="237">
        <v>82</v>
      </c>
      <c r="EX75" s="309" t="s">
        <v>1918</v>
      </c>
      <c r="EY75" s="309">
        <v>2019</v>
      </c>
      <c r="EZ75" s="309" t="s">
        <v>792</v>
      </c>
      <c r="FA75" s="309" t="s">
        <v>792</v>
      </c>
      <c r="FB75" s="309" t="s">
        <v>792</v>
      </c>
      <c r="FC75" s="309" t="s">
        <v>792</v>
      </c>
      <c r="FD75" s="309" t="s">
        <v>792</v>
      </c>
      <c r="FE75" s="309" t="s">
        <v>792</v>
      </c>
      <c r="FF75" s="309"/>
      <c r="FG75" s="309">
        <v>2019</v>
      </c>
      <c r="FH75" s="309" t="s">
        <v>792</v>
      </c>
      <c r="FI75" s="309" t="s">
        <v>792</v>
      </c>
      <c r="FJ75" s="309" t="s">
        <v>792</v>
      </c>
      <c r="FK75" s="309" t="s">
        <v>792</v>
      </c>
      <c r="FL75" s="309" t="s">
        <v>792</v>
      </c>
      <c r="FM75" s="309" t="s">
        <v>792</v>
      </c>
    </row>
    <row r="76" spans="1:169">
      <c r="A76" s="288" t="s">
        <v>688</v>
      </c>
      <c r="B76" s="288">
        <v>2019</v>
      </c>
      <c r="C76" s="288">
        <v>412</v>
      </c>
      <c r="D76" s="288">
        <v>152</v>
      </c>
      <c r="E76" s="288">
        <v>163</v>
      </c>
      <c r="F76" s="288">
        <v>198</v>
      </c>
      <c r="G76" s="288">
        <v>226</v>
      </c>
      <c r="H76" s="288">
        <v>1151</v>
      </c>
      <c r="J76" s="288">
        <v>2019</v>
      </c>
      <c r="K76" s="288">
        <v>867</v>
      </c>
      <c r="L76" s="288">
        <v>698</v>
      </c>
      <c r="M76" s="288">
        <v>596</v>
      </c>
      <c r="N76" s="288">
        <v>716</v>
      </c>
      <c r="O76" s="288">
        <v>912</v>
      </c>
      <c r="P76" s="288">
        <v>3789</v>
      </c>
      <c r="R76" s="289" t="s">
        <v>905</v>
      </c>
      <c r="S76" s="289">
        <v>2020</v>
      </c>
      <c r="T76" s="289">
        <v>550</v>
      </c>
      <c r="U76" s="289">
        <v>571</v>
      </c>
      <c r="V76" s="289">
        <v>737</v>
      </c>
      <c r="W76" s="289">
        <v>736</v>
      </c>
      <c r="X76" s="289">
        <v>546</v>
      </c>
      <c r="Y76" s="289">
        <v>3140</v>
      </c>
      <c r="Z76" s="289"/>
      <c r="AA76" s="289">
        <v>2020</v>
      </c>
      <c r="AB76" s="289">
        <v>14</v>
      </c>
      <c r="AC76" s="289">
        <v>0</v>
      </c>
      <c r="AD76" s="289">
        <v>0</v>
      </c>
      <c r="AE76" s="289">
        <v>0</v>
      </c>
      <c r="AF76" s="289">
        <v>0</v>
      </c>
      <c r="AG76" s="289">
        <v>14</v>
      </c>
      <c r="AI76" s="290" t="s">
        <v>412</v>
      </c>
      <c r="AJ76" s="290">
        <v>2019</v>
      </c>
      <c r="AK76" s="290">
        <v>520</v>
      </c>
      <c r="AL76" s="290">
        <v>277</v>
      </c>
      <c r="AM76" s="290">
        <v>433</v>
      </c>
      <c r="AN76" s="290">
        <v>559</v>
      </c>
      <c r="AO76" s="290">
        <v>530</v>
      </c>
      <c r="AP76" s="290">
        <v>2319</v>
      </c>
      <c r="AQ76" s="290"/>
      <c r="AR76" s="290">
        <v>2019</v>
      </c>
      <c r="AS76" s="290">
        <v>109</v>
      </c>
      <c r="AT76" s="290">
        <v>1</v>
      </c>
      <c r="AU76" s="290">
        <v>0</v>
      </c>
      <c r="AV76" s="290">
        <v>0</v>
      </c>
      <c r="AW76" s="290">
        <v>0</v>
      </c>
      <c r="AX76" s="290">
        <v>110</v>
      </c>
      <c r="AZ76" s="300" t="s">
        <v>89</v>
      </c>
      <c r="BA76" s="300">
        <v>2019</v>
      </c>
      <c r="BB76" s="300">
        <v>36</v>
      </c>
      <c r="BC76" s="300">
        <v>37</v>
      </c>
      <c r="BD76" s="300">
        <v>69</v>
      </c>
      <c r="BE76" s="300">
        <v>95</v>
      </c>
      <c r="BF76" s="300">
        <v>163</v>
      </c>
      <c r="BG76" s="300">
        <v>400</v>
      </c>
      <c r="BH76" s="300"/>
      <c r="BI76" s="300">
        <v>2019</v>
      </c>
      <c r="BJ76" s="300">
        <v>1</v>
      </c>
      <c r="BK76" s="300">
        <v>0</v>
      </c>
      <c r="BL76" s="300">
        <v>0</v>
      </c>
      <c r="BM76" s="300">
        <v>0</v>
      </c>
      <c r="BN76" s="300">
        <v>0</v>
      </c>
      <c r="BO76" s="300">
        <v>1</v>
      </c>
      <c r="BQ76" s="309" t="s">
        <v>617</v>
      </c>
      <c r="BR76" s="309">
        <v>2020</v>
      </c>
      <c r="BS76" s="309">
        <v>62</v>
      </c>
      <c r="BT76" s="309">
        <v>86</v>
      </c>
      <c r="BU76" s="309">
        <v>142</v>
      </c>
      <c r="BV76" s="309">
        <v>170</v>
      </c>
      <c r="BW76" s="309">
        <v>174</v>
      </c>
      <c r="BX76" s="309">
        <v>634</v>
      </c>
      <c r="BY76" s="309"/>
      <c r="BZ76" s="309">
        <v>2020</v>
      </c>
      <c r="CA76" s="309">
        <v>15</v>
      </c>
      <c r="CB76" s="309">
        <v>0</v>
      </c>
      <c r="CC76" s="309">
        <v>0</v>
      </c>
      <c r="CD76" s="309">
        <v>0</v>
      </c>
      <c r="CE76" s="309">
        <v>0</v>
      </c>
      <c r="CF76" s="309">
        <v>15</v>
      </c>
      <c r="CH76" s="237" t="s">
        <v>281</v>
      </c>
      <c r="CI76" s="237">
        <v>2019</v>
      </c>
      <c r="CJ76" s="237">
        <v>141</v>
      </c>
      <c r="CK76" s="237">
        <v>180</v>
      </c>
      <c r="CL76" s="237">
        <v>291</v>
      </c>
      <c r="CM76" s="237">
        <v>413</v>
      </c>
      <c r="CN76" s="237">
        <v>378</v>
      </c>
      <c r="CO76" s="237">
        <v>1403</v>
      </c>
      <c r="CP76" s="237"/>
      <c r="CQ76" s="237">
        <v>2019</v>
      </c>
      <c r="CR76" s="237">
        <v>25</v>
      </c>
      <c r="CS76" s="237">
        <v>0</v>
      </c>
      <c r="CT76" s="237">
        <v>0</v>
      </c>
      <c r="CU76" s="237">
        <v>0</v>
      </c>
      <c r="CV76" s="237">
        <v>0</v>
      </c>
      <c r="CW76" s="237">
        <v>25</v>
      </c>
      <c r="EG76" s="237" t="s">
        <v>1059</v>
      </c>
      <c r="EH76" s="237">
        <v>2020</v>
      </c>
      <c r="EI76" s="237">
        <v>236</v>
      </c>
      <c r="EJ76" s="237">
        <v>382</v>
      </c>
      <c r="EK76" s="237">
        <v>542</v>
      </c>
      <c r="EL76" s="237">
        <v>687</v>
      </c>
      <c r="EM76" s="237">
        <v>695</v>
      </c>
      <c r="EN76" s="237">
        <v>2542</v>
      </c>
      <c r="EO76" s="237"/>
      <c r="EP76" s="237">
        <v>2020</v>
      </c>
      <c r="EQ76" s="237">
        <v>44</v>
      </c>
      <c r="ER76" s="237">
        <v>19</v>
      </c>
      <c r="ES76" s="237">
        <v>8</v>
      </c>
      <c r="ET76" s="237">
        <v>8</v>
      </c>
      <c r="EU76" s="237">
        <v>9</v>
      </c>
      <c r="EV76" s="237">
        <v>88</v>
      </c>
      <c r="EX76" s="309" t="s">
        <v>1196</v>
      </c>
      <c r="EY76" s="309">
        <v>2019</v>
      </c>
      <c r="EZ76" s="309">
        <v>194</v>
      </c>
      <c r="FA76" s="309">
        <v>313</v>
      </c>
      <c r="FB76" s="309">
        <v>348</v>
      </c>
      <c r="FC76" s="309">
        <v>416</v>
      </c>
      <c r="FD76" s="309">
        <v>479</v>
      </c>
      <c r="FE76" s="309">
        <v>1750</v>
      </c>
      <c r="FF76" s="309"/>
      <c r="FG76" s="309">
        <v>2019</v>
      </c>
      <c r="FH76" s="309">
        <v>26</v>
      </c>
      <c r="FI76" s="309">
        <v>5</v>
      </c>
      <c r="FJ76" s="309">
        <v>2</v>
      </c>
      <c r="FK76" s="309">
        <v>3</v>
      </c>
      <c r="FL76" s="309">
        <v>3</v>
      </c>
      <c r="FM76" s="309">
        <v>39</v>
      </c>
    </row>
    <row r="77" spans="1:169">
      <c r="A77" s="288" t="s">
        <v>691</v>
      </c>
      <c r="B77" s="288">
        <v>2019</v>
      </c>
      <c r="C77" s="288">
        <v>284</v>
      </c>
      <c r="D77" s="288">
        <v>88</v>
      </c>
      <c r="E77" s="288">
        <v>25</v>
      </c>
      <c r="F77" s="288">
        <v>17</v>
      </c>
      <c r="G77" s="288">
        <v>38</v>
      </c>
      <c r="H77" s="288">
        <v>452</v>
      </c>
      <c r="J77" s="288">
        <v>2019</v>
      </c>
      <c r="K77" s="288">
        <v>663</v>
      </c>
      <c r="L77" s="288">
        <v>590</v>
      </c>
      <c r="M77" s="288">
        <v>536</v>
      </c>
      <c r="N77" s="288">
        <v>640</v>
      </c>
      <c r="O77" s="288">
        <v>851</v>
      </c>
      <c r="P77" s="288">
        <v>3280</v>
      </c>
      <c r="R77" s="289" t="s">
        <v>906</v>
      </c>
      <c r="S77" s="289">
        <v>2020</v>
      </c>
      <c r="T77" s="289">
        <v>590</v>
      </c>
      <c r="U77" s="289">
        <v>425</v>
      </c>
      <c r="V77" s="289">
        <v>624</v>
      </c>
      <c r="W77" s="289">
        <v>716</v>
      </c>
      <c r="X77" s="289">
        <v>517</v>
      </c>
      <c r="Y77" s="289">
        <v>2872</v>
      </c>
      <c r="Z77" s="289"/>
      <c r="AA77" s="289">
        <v>2020</v>
      </c>
      <c r="AB77" s="289">
        <v>16</v>
      </c>
      <c r="AC77" s="289">
        <v>0</v>
      </c>
      <c r="AD77" s="289">
        <v>0</v>
      </c>
      <c r="AE77" s="289">
        <v>0</v>
      </c>
      <c r="AF77" s="289">
        <v>0</v>
      </c>
      <c r="AG77" s="289">
        <v>16</v>
      </c>
      <c r="AI77" s="290" t="s">
        <v>413</v>
      </c>
      <c r="AJ77" s="290">
        <v>2019</v>
      </c>
      <c r="AK77" s="290">
        <v>368</v>
      </c>
      <c r="AL77" s="290">
        <v>267</v>
      </c>
      <c r="AM77" s="290">
        <v>428</v>
      </c>
      <c r="AN77" s="290">
        <v>528</v>
      </c>
      <c r="AO77" s="290">
        <v>509</v>
      </c>
      <c r="AP77" s="290">
        <v>2100</v>
      </c>
      <c r="AQ77" s="290"/>
      <c r="AR77" s="290">
        <v>2019</v>
      </c>
      <c r="AS77" s="290">
        <v>95</v>
      </c>
      <c r="AT77" s="290">
        <v>0</v>
      </c>
      <c r="AU77" s="290">
        <v>0</v>
      </c>
      <c r="AV77" s="290">
        <v>0</v>
      </c>
      <c r="AW77" s="290">
        <v>0</v>
      </c>
      <c r="AX77" s="290">
        <v>95</v>
      </c>
      <c r="AZ77" s="300" t="s">
        <v>90</v>
      </c>
      <c r="BA77" s="300">
        <v>2019</v>
      </c>
      <c r="BB77" s="300">
        <v>162</v>
      </c>
      <c r="BC77" s="300">
        <v>167</v>
      </c>
      <c r="BD77" s="300">
        <v>345</v>
      </c>
      <c r="BE77" s="300">
        <v>472</v>
      </c>
      <c r="BF77" s="300">
        <v>497</v>
      </c>
      <c r="BG77" s="300">
        <v>1643</v>
      </c>
      <c r="BH77" s="300"/>
      <c r="BI77" s="300">
        <v>2019</v>
      </c>
      <c r="BJ77" s="300">
        <v>31</v>
      </c>
      <c r="BK77" s="300">
        <v>0</v>
      </c>
      <c r="BL77" s="300">
        <v>0</v>
      </c>
      <c r="BM77" s="300">
        <v>0</v>
      </c>
      <c r="BN77" s="300">
        <v>0</v>
      </c>
      <c r="BO77" s="300">
        <v>31</v>
      </c>
      <c r="BQ77" s="309" t="s">
        <v>619</v>
      </c>
      <c r="BR77" s="309">
        <v>2020</v>
      </c>
      <c r="BS77" s="309">
        <v>63</v>
      </c>
      <c r="BT77" s="309">
        <v>63</v>
      </c>
      <c r="BU77" s="309">
        <v>106</v>
      </c>
      <c r="BV77" s="309">
        <v>185</v>
      </c>
      <c r="BW77" s="309">
        <v>167</v>
      </c>
      <c r="BX77" s="309">
        <v>584</v>
      </c>
      <c r="BY77" s="309"/>
      <c r="BZ77" s="309">
        <v>2020</v>
      </c>
      <c r="CA77" s="309">
        <v>22</v>
      </c>
      <c r="CB77" s="309">
        <v>0</v>
      </c>
      <c r="CC77" s="309">
        <v>0</v>
      </c>
      <c r="CD77" s="309">
        <v>0</v>
      </c>
      <c r="CE77" s="309">
        <v>0</v>
      </c>
      <c r="CF77" s="309">
        <v>22</v>
      </c>
      <c r="CH77" s="237" t="s">
        <v>1343</v>
      </c>
      <c r="CI77" s="237">
        <v>2019</v>
      </c>
      <c r="CJ77" s="237" t="s">
        <v>792</v>
      </c>
      <c r="CK77" s="237" t="s">
        <v>792</v>
      </c>
      <c r="CL77" s="237" t="s">
        <v>792</v>
      </c>
      <c r="CM77" s="237" t="s">
        <v>792</v>
      </c>
      <c r="CN77" s="237" t="s">
        <v>792</v>
      </c>
      <c r="CO77" s="237" t="s">
        <v>792</v>
      </c>
      <c r="CP77" s="237"/>
      <c r="CQ77" s="237">
        <v>2019</v>
      </c>
      <c r="CR77" s="237" t="s">
        <v>792</v>
      </c>
      <c r="CS77" s="237" t="s">
        <v>792</v>
      </c>
      <c r="CT77" s="237" t="s">
        <v>792</v>
      </c>
      <c r="CU77" s="237" t="s">
        <v>792</v>
      </c>
      <c r="CV77" s="237" t="s">
        <v>792</v>
      </c>
      <c r="CW77" s="237" t="s">
        <v>792</v>
      </c>
      <c r="EG77" s="237" t="s">
        <v>1062</v>
      </c>
      <c r="EH77" s="237">
        <v>2020</v>
      </c>
      <c r="EI77" s="237">
        <v>76</v>
      </c>
      <c r="EJ77" s="237">
        <v>159</v>
      </c>
      <c r="EK77" s="237">
        <v>176</v>
      </c>
      <c r="EL77" s="237">
        <v>248</v>
      </c>
      <c r="EM77" s="237">
        <v>282</v>
      </c>
      <c r="EN77" s="237">
        <v>941</v>
      </c>
      <c r="EO77" s="237"/>
      <c r="EP77" s="237">
        <v>2020</v>
      </c>
      <c r="EQ77" s="237">
        <v>19</v>
      </c>
      <c r="ER77" s="237">
        <v>11</v>
      </c>
      <c r="ES77" s="237">
        <v>5</v>
      </c>
      <c r="ET77" s="237">
        <v>1</v>
      </c>
      <c r="EU77" s="237">
        <v>3</v>
      </c>
      <c r="EV77" s="237">
        <v>39</v>
      </c>
      <c r="EX77" s="309" t="s">
        <v>1198</v>
      </c>
      <c r="EY77" s="309">
        <v>2019</v>
      </c>
      <c r="EZ77" s="309">
        <v>604</v>
      </c>
      <c r="FA77" s="309">
        <v>710</v>
      </c>
      <c r="FB77" s="309">
        <v>748</v>
      </c>
      <c r="FC77" s="309">
        <v>850</v>
      </c>
      <c r="FD77" s="309">
        <v>918</v>
      </c>
      <c r="FE77" s="309">
        <v>3830</v>
      </c>
      <c r="FF77" s="309"/>
      <c r="FG77" s="309">
        <v>2019</v>
      </c>
      <c r="FH77" s="309">
        <v>112</v>
      </c>
      <c r="FI77" s="309">
        <v>54</v>
      </c>
      <c r="FJ77" s="309">
        <v>30</v>
      </c>
      <c r="FK77" s="309">
        <v>25</v>
      </c>
      <c r="FL77" s="309">
        <v>17</v>
      </c>
      <c r="FM77" s="309">
        <v>238</v>
      </c>
    </row>
    <row r="78" spans="1:169">
      <c r="A78" s="288" t="s">
        <v>694</v>
      </c>
      <c r="B78" s="288">
        <v>2019</v>
      </c>
      <c r="C78" s="288">
        <v>12</v>
      </c>
      <c r="D78" s="288">
        <v>3</v>
      </c>
      <c r="E78" s="288">
        <v>1</v>
      </c>
      <c r="F78" s="288">
        <v>0</v>
      </c>
      <c r="G78" s="288">
        <v>0</v>
      </c>
      <c r="H78" s="288">
        <v>16</v>
      </c>
      <c r="J78" s="288">
        <v>2019</v>
      </c>
      <c r="K78" s="288">
        <v>233</v>
      </c>
      <c r="L78" s="288">
        <v>344</v>
      </c>
      <c r="M78" s="288">
        <v>523</v>
      </c>
      <c r="N78" s="288">
        <v>687</v>
      </c>
      <c r="O78" s="288">
        <v>561</v>
      </c>
      <c r="P78" s="288">
        <v>2348</v>
      </c>
      <c r="R78" s="289" t="s">
        <v>907</v>
      </c>
      <c r="S78" s="289">
        <v>2020</v>
      </c>
      <c r="T78" s="289">
        <v>121</v>
      </c>
      <c r="U78" s="289">
        <v>115</v>
      </c>
      <c r="V78" s="289">
        <v>127</v>
      </c>
      <c r="W78" s="289">
        <v>162</v>
      </c>
      <c r="X78" s="289">
        <v>171</v>
      </c>
      <c r="Y78" s="289">
        <v>696</v>
      </c>
      <c r="Z78" s="289"/>
      <c r="AA78" s="289">
        <v>2020</v>
      </c>
      <c r="AB78" s="289">
        <v>10</v>
      </c>
      <c r="AC78" s="289">
        <v>0</v>
      </c>
      <c r="AD78" s="289">
        <v>0</v>
      </c>
      <c r="AE78" s="289">
        <v>0</v>
      </c>
      <c r="AF78" s="289">
        <v>0</v>
      </c>
      <c r="AG78" s="289">
        <v>10</v>
      </c>
      <c r="AI78" s="290" t="s">
        <v>414</v>
      </c>
      <c r="AJ78" s="290">
        <v>2019</v>
      </c>
      <c r="AK78" s="290">
        <v>524</v>
      </c>
      <c r="AL78" s="290">
        <v>328</v>
      </c>
      <c r="AM78" s="290">
        <v>485</v>
      </c>
      <c r="AN78" s="290">
        <v>588</v>
      </c>
      <c r="AO78" s="290">
        <v>561</v>
      </c>
      <c r="AP78" s="290">
        <v>2486</v>
      </c>
      <c r="AQ78" s="290"/>
      <c r="AR78" s="290">
        <v>2019</v>
      </c>
      <c r="AS78" s="290">
        <v>145</v>
      </c>
      <c r="AT78" s="290">
        <v>1</v>
      </c>
      <c r="AU78" s="290">
        <v>0</v>
      </c>
      <c r="AV78" s="290">
        <v>0</v>
      </c>
      <c r="AW78" s="290">
        <v>1</v>
      </c>
      <c r="AX78" s="290">
        <v>147</v>
      </c>
      <c r="AZ78" s="300" t="s">
        <v>183</v>
      </c>
      <c r="BA78" s="300">
        <v>2019</v>
      </c>
      <c r="BB78" s="300">
        <v>88</v>
      </c>
      <c r="BC78" s="300">
        <v>111</v>
      </c>
      <c r="BD78" s="300">
        <v>207</v>
      </c>
      <c r="BE78" s="300">
        <v>285</v>
      </c>
      <c r="BF78" s="300">
        <v>274</v>
      </c>
      <c r="BG78" s="300">
        <v>965</v>
      </c>
      <c r="BH78" s="300"/>
      <c r="BI78" s="300">
        <v>2019</v>
      </c>
      <c r="BJ78" s="300">
        <v>13</v>
      </c>
      <c r="BK78" s="300">
        <v>0</v>
      </c>
      <c r="BL78" s="300">
        <v>0</v>
      </c>
      <c r="BM78" s="300">
        <v>0</v>
      </c>
      <c r="BN78" s="300">
        <v>0</v>
      </c>
      <c r="BO78" s="300">
        <v>13</v>
      </c>
      <c r="BQ78" s="309" t="s">
        <v>622</v>
      </c>
      <c r="BR78" s="309">
        <v>2020</v>
      </c>
      <c r="BS78" s="309">
        <v>64</v>
      </c>
      <c r="BT78" s="309">
        <v>45</v>
      </c>
      <c r="BU78" s="309">
        <v>91</v>
      </c>
      <c r="BV78" s="309">
        <v>125</v>
      </c>
      <c r="BW78" s="309">
        <v>130</v>
      </c>
      <c r="BX78" s="309">
        <v>455</v>
      </c>
      <c r="BY78" s="309"/>
      <c r="BZ78" s="309">
        <v>2020</v>
      </c>
      <c r="CA78" s="309">
        <v>20</v>
      </c>
      <c r="CB78" s="309">
        <v>0</v>
      </c>
      <c r="CC78" s="309">
        <v>0</v>
      </c>
      <c r="CD78" s="309">
        <v>0</v>
      </c>
      <c r="CE78" s="309">
        <v>0</v>
      </c>
      <c r="CF78" s="309">
        <v>20</v>
      </c>
      <c r="CH78" s="237" t="s">
        <v>253</v>
      </c>
      <c r="CI78" s="237">
        <v>2019</v>
      </c>
      <c r="CJ78" s="237">
        <v>191</v>
      </c>
      <c r="CK78" s="237">
        <v>87</v>
      </c>
      <c r="CL78" s="237">
        <v>150</v>
      </c>
      <c r="CM78" s="237">
        <v>158</v>
      </c>
      <c r="CN78" s="237">
        <v>170</v>
      </c>
      <c r="CO78" s="237">
        <v>756</v>
      </c>
      <c r="CP78" s="237"/>
      <c r="CQ78" s="237">
        <v>2019</v>
      </c>
      <c r="CR78" s="237">
        <v>64</v>
      </c>
      <c r="CS78" s="237">
        <v>0</v>
      </c>
      <c r="CT78" s="237">
        <v>0</v>
      </c>
      <c r="CU78" s="237">
        <v>0</v>
      </c>
      <c r="CV78" s="237">
        <v>0</v>
      </c>
      <c r="CW78" s="237">
        <v>64</v>
      </c>
      <c r="EG78" s="237" t="s">
        <v>1065</v>
      </c>
      <c r="EH78" s="237">
        <v>2020</v>
      </c>
      <c r="EI78" s="237">
        <v>133</v>
      </c>
      <c r="EJ78" s="237">
        <v>202</v>
      </c>
      <c r="EK78" s="237">
        <v>255</v>
      </c>
      <c r="EL78" s="237">
        <v>324</v>
      </c>
      <c r="EM78" s="237">
        <v>335</v>
      </c>
      <c r="EN78" s="237">
        <v>1249</v>
      </c>
      <c r="EO78" s="237"/>
      <c r="EP78" s="237">
        <v>2020</v>
      </c>
      <c r="EQ78" s="237">
        <v>21</v>
      </c>
      <c r="ER78" s="237">
        <v>7</v>
      </c>
      <c r="ES78" s="237">
        <v>3</v>
      </c>
      <c r="ET78" s="237">
        <v>1</v>
      </c>
      <c r="EU78" s="237">
        <v>2</v>
      </c>
      <c r="EV78" s="237">
        <v>34</v>
      </c>
      <c r="EX78" s="309" t="s">
        <v>1200</v>
      </c>
      <c r="EY78" s="309">
        <v>2019</v>
      </c>
      <c r="EZ78" s="309">
        <v>543</v>
      </c>
      <c r="FA78" s="309">
        <v>587</v>
      </c>
      <c r="FB78" s="309">
        <v>462</v>
      </c>
      <c r="FC78" s="309">
        <v>537</v>
      </c>
      <c r="FD78" s="309">
        <v>593</v>
      </c>
      <c r="FE78" s="309">
        <v>2722</v>
      </c>
      <c r="FF78" s="309"/>
      <c r="FG78" s="309">
        <v>2019</v>
      </c>
      <c r="FH78" s="309">
        <v>84</v>
      </c>
      <c r="FI78" s="309">
        <v>21</v>
      </c>
      <c r="FJ78" s="309">
        <v>7</v>
      </c>
      <c r="FK78" s="309">
        <v>4</v>
      </c>
      <c r="FL78" s="309">
        <v>5</v>
      </c>
      <c r="FM78" s="309">
        <v>121</v>
      </c>
    </row>
    <row r="79" spans="1:169">
      <c r="A79" s="288" t="s">
        <v>697</v>
      </c>
      <c r="B79" s="288">
        <v>2019</v>
      </c>
      <c r="C79" s="288">
        <v>31</v>
      </c>
      <c r="D79" s="288">
        <v>5</v>
      </c>
      <c r="E79" s="288">
        <v>1</v>
      </c>
      <c r="F79" s="288">
        <v>1</v>
      </c>
      <c r="G79" s="288">
        <v>0</v>
      </c>
      <c r="H79" s="288">
        <v>38</v>
      </c>
      <c r="J79" s="288">
        <v>2019</v>
      </c>
      <c r="K79" s="288">
        <v>756</v>
      </c>
      <c r="L79" s="288">
        <v>684</v>
      </c>
      <c r="M79" s="288">
        <v>750</v>
      </c>
      <c r="N79" s="288">
        <v>720</v>
      </c>
      <c r="O79" s="288">
        <v>476</v>
      </c>
      <c r="P79" s="288">
        <v>3386</v>
      </c>
      <c r="R79" s="289" t="s">
        <v>1261</v>
      </c>
      <c r="S79" s="289">
        <v>2020</v>
      </c>
      <c r="T79" s="289" t="s">
        <v>792</v>
      </c>
      <c r="U79" s="289" t="s">
        <v>792</v>
      </c>
      <c r="V79" s="289" t="s">
        <v>792</v>
      </c>
      <c r="W79" s="289" t="s">
        <v>792</v>
      </c>
      <c r="X79" s="289" t="s">
        <v>792</v>
      </c>
      <c r="Y79" s="289" t="s">
        <v>792</v>
      </c>
      <c r="Z79" s="289"/>
      <c r="AA79" s="289">
        <v>2020</v>
      </c>
      <c r="AB79" s="289" t="s">
        <v>792</v>
      </c>
      <c r="AC79" s="289" t="s">
        <v>792</v>
      </c>
      <c r="AD79" s="289" t="s">
        <v>792</v>
      </c>
      <c r="AE79" s="289" t="s">
        <v>792</v>
      </c>
      <c r="AF79" s="289" t="s">
        <v>792</v>
      </c>
      <c r="AG79" s="289" t="s">
        <v>792</v>
      </c>
      <c r="AI79" s="290" t="s">
        <v>415</v>
      </c>
      <c r="AJ79" s="290">
        <v>2019</v>
      </c>
      <c r="AK79" s="290">
        <v>1046</v>
      </c>
      <c r="AL79" s="290">
        <v>841</v>
      </c>
      <c r="AM79" s="290">
        <v>994</v>
      </c>
      <c r="AN79" s="290">
        <v>1016</v>
      </c>
      <c r="AO79" s="290">
        <v>776</v>
      </c>
      <c r="AP79" s="290">
        <v>4673</v>
      </c>
      <c r="AQ79" s="290"/>
      <c r="AR79" s="290">
        <v>2019</v>
      </c>
      <c r="AS79" s="290">
        <v>168</v>
      </c>
      <c r="AT79" s="290">
        <v>2</v>
      </c>
      <c r="AU79" s="290">
        <v>0</v>
      </c>
      <c r="AV79" s="290">
        <v>0</v>
      </c>
      <c r="AW79" s="290">
        <v>0</v>
      </c>
      <c r="AX79" s="290">
        <v>170</v>
      </c>
      <c r="AZ79" s="300" t="s">
        <v>92</v>
      </c>
      <c r="BA79" s="300">
        <v>2019</v>
      </c>
      <c r="BB79" s="300">
        <v>941</v>
      </c>
      <c r="BC79" s="300">
        <v>480</v>
      </c>
      <c r="BD79" s="300">
        <v>732</v>
      </c>
      <c r="BE79" s="300">
        <v>966</v>
      </c>
      <c r="BF79" s="300">
        <v>883</v>
      </c>
      <c r="BG79" s="300">
        <v>4002</v>
      </c>
      <c r="BH79" s="300"/>
      <c r="BI79" s="300">
        <v>2019</v>
      </c>
      <c r="BJ79" s="300">
        <v>218</v>
      </c>
      <c r="BK79" s="300">
        <v>0</v>
      </c>
      <c r="BL79" s="300">
        <v>0</v>
      </c>
      <c r="BM79" s="300">
        <v>0</v>
      </c>
      <c r="BN79" s="300">
        <v>0</v>
      </c>
      <c r="BO79" s="300">
        <v>218</v>
      </c>
      <c r="CH79" s="237" t="s">
        <v>275</v>
      </c>
      <c r="CI79" s="237">
        <v>2019</v>
      </c>
      <c r="CJ79" s="237">
        <v>1229</v>
      </c>
      <c r="CK79" s="237">
        <v>1246</v>
      </c>
      <c r="CL79" s="237">
        <v>1350</v>
      </c>
      <c r="CM79" s="237">
        <v>1392</v>
      </c>
      <c r="CN79" s="237">
        <v>1046</v>
      </c>
      <c r="CO79" s="237">
        <v>6263</v>
      </c>
      <c r="CP79" s="237"/>
      <c r="CQ79" s="237">
        <v>2019</v>
      </c>
      <c r="CR79" s="237">
        <v>296</v>
      </c>
      <c r="CS79" s="237">
        <v>14</v>
      </c>
      <c r="CT79" s="237">
        <v>0</v>
      </c>
      <c r="CU79" s="237">
        <v>0</v>
      </c>
      <c r="CV79" s="237">
        <v>0</v>
      </c>
      <c r="CW79" s="237">
        <v>310</v>
      </c>
      <c r="EG79" s="237" t="s">
        <v>1068</v>
      </c>
      <c r="EH79" s="237">
        <v>2020</v>
      </c>
      <c r="EI79" s="237">
        <v>44</v>
      </c>
      <c r="EJ79" s="237">
        <v>95</v>
      </c>
      <c r="EK79" s="237">
        <v>129</v>
      </c>
      <c r="EL79" s="237">
        <v>184</v>
      </c>
      <c r="EM79" s="237">
        <v>247</v>
      </c>
      <c r="EN79" s="237">
        <v>699</v>
      </c>
      <c r="EO79" s="237"/>
      <c r="EP79" s="237">
        <v>2020</v>
      </c>
      <c r="EQ79" s="237">
        <v>7</v>
      </c>
      <c r="ER79" s="237">
        <v>3</v>
      </c>
      <c r="ES79" s="237">
        <v>1</v>
      </c>
      <c r="ET79" s="237">
        <v>1</v>
      </c>
      <c r="EU79" s="237">
        <v>0</v>
      </c>
      <c r="EV79" s="237">
        <v>12</v>
      </c>
      <c r="EX79" s="309" t="s">
        <v>1202</v>
      </c>
      <c r="EY79" s="309">
        <v>2019</v>
      </c>
      <c r="EZ79" s="309">
        <v>167</v>
      </c>
      <c r="FA79" s="309">
        <v>293</v>
      </c>
      <c r="FB79" s="309">
        <v>347</v>
      </c>
      <c r="FC79" s="309">
        <v>413</v>
      </c>
      <c r="FD79" s="309">
        <v>545</v>
      </c>
      <c r="FE79" s="309">
        <v>1765</v>
      </c>
      <c r="FF79" s="309"/>
      <c r="FG79" s="309">
        <v>2019</v>
      </c>
      <c r="FH79" s="309">
        <v>29</v>
      </c>
      <c r="FI79" s="309">
        <v>10</v>
      </c>
      <c r="FJ79" s="309">
        <v>6</v>
      </c>
      <c r="FK79" s="309">
        <v>4</v>
      </c>
      <c r="FL79" s="309">
        <v>3</v>
      </c>
      <c r="FM79" s="309">
        <v>52</v>
      </c>
    </row>
    <row r="80" spans="1:169">
      <c r="A80" s="288" t="s">
        <v>700</v>
      </c>
      <c r="B80" s="288">
        <v>2019</v>
      </c>
      <c r="C80" s="288">
        <v>22</v>
      </c>
      <c r="D80" s="288">
        <v>0</v>
      </c>
      <c r="E80" s="288">
        <v>2</v>
      </c>
      <c r="F80" s="288">
        <v>0</v>
      </c>
      <c r="G80" s="288">
        <v>0</v>
      </c>
      <c r="H80" s="288">
        <v>24</v>
      </c>
      <c r="J80" s="288">
        <v>2019</v>
      </c>
      <c r="K80" s="288">
        <v>170</v>
      </c>
      <c r="L80" s="288">
        <v>291</v>
      </c>
      <c r="M80" s="288">
        <v>414</v>
      </c>
      <c r="N80" s="288">
        <v>505</v>
      </c>
      <c r="O80" s="288">
        <v>319</v>
      </c>
      <c r="P80" s="288">
        <v>1699</v>
      </c>
      <c r="R80" s="289" t="s">
        <v>1262</v>
      </c>
      <c r="S80" s="289">
        <v>2020</v>
      </c>
      <c r="T80" s="289" t="s">
        <v>792</v>
      </c>
      <c r="U80" s="289" t="s">
        <v>792</v>
      </c>
      <c r="V80" s="289" t="s">
        <v>792</v>
      </c>
      <c r="W80" s="289" t="s">
        <v>792</v>
      </c>
      <c r="X80" s="289" t="s">
        <v>792</v>
      </c>
      <c r="Y80" s="289" t="s">
        <v>792</v>
      </c>
      <c r="Z80" s="289"/>
      <c r="AA80" s="289">
        <v>2020</v>
      </c>
      <c r="AB80" s="289" t="s">
        <v>792</v>
      </c>
      <c r="AC80" s="289" t="s">
        <v>792</v>
      </c>
      <c r="AD80" s="289" t="s">
        <v>792</v>
      </c>
      <c r="AE80" s="289" t="s">
        <v>792</v>
      </c>
      <c r="AF80" s="289" t="s">
        <v>792</v>
      </c>
      <c r="AG80" s="289" t="s">
        <v>792</v>
      </c>
      <c r="AI80" s="290" t="s">
        <v>416</v>
      </c>
      <c r="AJ80" s="290">
        <v>2019</v>
      </c>
      <c r="AK80" s="290">
        <v>277</v>
      </c>
      <c r="AL80" s="290">
        <v>281</v>
      </c>
      <c r="AM80" s="290">
        <v>393</v>
      </c>
      <c r="AN80" s="290">
        <v>524</v>
      </c>
      <c r="AO80" s="290">
        <v>510</v>
      </c>
      <c r="AP80" s="290">
        <v>1985</v>
      </c>
      <c r="AQ80" s="290"/>
      <c r="AR80" s="290">
        <v>2019</v>
      </c>
      <c r="AS80" s="290">
        <v>44</v>
      </c>
      <c r="AT80" s="290">
        <v>1</v>
      </c>
      <c r="AU80" s="290">
        <v>0</v>
      </c>
      <c r="AV80" s="290">
        <v>0</v>
      </c>
      <c r="AW80" s="290">
        <v>0</v>
      </c>
      <c r="AX80" s="290">
        <v>45</v>
      </c>
      <c r="AZ80" s="300" t="s">
        <v>94</v>
      </c>
      <c r="BA80" s="300">
        <v>2019</v>
      </c>
      <c r="BB80" s="300">
        <v>30</v>
      </c>
      <c r="BC80" s="300">
        <v>34</v>
      </c>
      <c r="BD80" s="300">
        <v>85</v>
      </c>
      <c r="BE80" s="300">
        <v>127</v>
      </c>
      <c r="BF80" s="300">
        <v>183</v>
      </c>
      <c r="BG80" s="300">
        <v>459</v>
      </c>
      <c r="BH80" s="300"/>
      <c r="BI80" s="300">
        <v>2019</v>
      </c>
      <c r="BJ80" s="300">
        <v>10</v>
      </c>
      <c r="BK80" s="300">
        <v>0</v>
      </c>
      <c r="BL80" s="300">
        <v>0</v>
      </c>
      <c r="BM80" s="300">
        <v>0</v>
      </c>
      <c r="BN80" s="300">
        <v>0</v>
      </c>
      <c r="BO80" s="300">
        <v>10</v>
      </c>
      <c r="CH80" s="237" t="s">
        <v>251</v>
      </c>
      <c r="CI80" s="237">
        <v>2019</v>
      </c>
      <c r="CJ80" s="237">
        <v>567</v>
      </c>
      <c r="CK80" s="237">
        <v>490</v>
      </c>
      <c r="CL80" s="237">
        <v>922</v>
      </c>
      <c r="CM80" s="237">
        <v>1319</v>
      </c>
      <c r="CN80" s="237">
        <v>1286</v>
      </c>
      <c r="CO80" s="237">
        <v>4584</v>
      </c>
      <c r="CP80" s="237"/>
      <c r="CQ80" s="237">
        <v>2019</v>
      </c>
      <c r="CR80" s="237">
        <v>152</v>
      </c>
      <c r="CS80" s="237">
        <v>0</v>
      </c>
      <c r="CT80" s="237">
        <v>0</v>
      </c>
      <c r="CU80" s="237">
        <v>0</v>
      </c>
      <c r="CV80" s="237">
        <v>0</v>
      </c>
      <c r="CW80" s="237">
        <v>152</v>
      </c>
      <c r="EG80" s="237" t="s">
        <v>1071</v>
      </c>
      <c r="EH80" s="237">
        <v>2020</v>
      </c>
      <c r="EI80" s="237">
        <v>268</v>
      </c>
      <c r="EJ80" s="237">
        <v>526</v>
      </c>
      <c r="EK80" s="237">
        <v>667</v>
      </c>
      <c r="EL80" s="237">
        <v>770</v>
      </c>
      <c r="EM80" s="237">
        <v>822</v>
      </c>
      <c r="EN80" s="237">
        <v>3053</v>
      </c>
      <c r="EO80" s="237"/>
      <c r="EP80" s="237">
        <v>2020</v>
      </c>
      <c r="EQ80" s="237">
        <v>35</v>
      </c>
      <c r="ER80" s="237">
        <v>19</v>
      </c>
      <c r="ES80" s="237">
        <v>10</v>
      </c>
      <c r="ET80" s="237">
        <v>8</v>
      </c>
      <c r="EU80" s="237">
        <v>11</v>
      </c>
      <c r="EV80" s="237">
        <v>83</v>
      </c>
      <c r="EX80" s="309" t="s">
        <v>1204</v>
      </c>
      <c r="EY80" s="309">
        <v>2019</v>
      </c>
      <c r="EZ80" s="309">
        <v>318</v>
      </c>
      <c r="FA80" s="309">
        <v>506</v>
      </c>
      <c r="FB80" s="309">
        <v>540</v>
      </c>
      <c r="FC80" s="309">
        <v>573</v>
      </c>
      <c r="FD80" s="309">
        <v>770</v>
      </c>
      <c r="FE80" s="309">
        <v>2707</v>
      </c>
      <c r="FF80" s="309"/>
      <c r="FG80" s="309">
        <v>2019</v>
      </c>
      <c r="FH80" s="309">
        <v>50</v>
      </c>
      <c r="FI80" s="309">
        <v>30</v>
      </c>
      <c r="FJ80" s="309">
        <v>15</v>
      </c>
      <c r="FK80" s="309">
        <v>13</v>
      </c>
      <c r="FL80" s="309">
        <v>13</v>
      </c>
      <c r="FM80" s="309">
        <v>121</v>
      </c>
    </row>
    <row r="81" spans="1:169">
      <c r="A81" s="288" t="s">
        <v>703</v>
      </c>
      <c r="B81" s="288">
        <v>2019</v>
      </c>
      <c r="C81" s="288">
        <v>34</v>
      </c>
      <c r="D81" s="288">
        <v>2</v>
      </c>
      <c r="E81" s="288">
        <v>1</v>
      </c>
      <c r="F81" s="288">
        <v>0</v>
      </c>
      <c r="G81" s="288">
        <v>0</v>
      </c>
      <c r="H81" s="288">
        <v>37</v>
      </c>
      <c r="J81" s="288">
        <v>2019</v>
      </c>
      <c r="K81" s="288">
        <v>276</v>
      </c>
      <c r="L81" s="288">
        <v>454</v>
      </c>
      <c r="M81" s="288">
        <v>609</v>
      </c>
      <c r="N81" s="288">
        <v>709</v>
      </c>
      <c r="O81" s="288">
        <v>540</v>
      </c>
      <c r="P81" s="288">
        <v>2588</v>
      </c>
      <c r="R81" s="289" t="s">
        <v>908</v>
      </c>
      <c r="S81" s="289">
        <v>2020</v>
      </c>
      <c r="T81" s="289">
        <v>193</v>
      </c>
      <c r="U81" s="289">
        <v>139</v>
      </c>
      <c r="V81" s="289">
        <v>247</v>
      </c>
      <c r="W81" s="289">
        <v>408</v>
      </c>
      <c r="X81" s="289">
        <v>332</v>
      </c>
      <c r="Y81" s="289">
        <v>1319</v>
      </c>
      <c r="Z81" s="289"/>
      <c r="AA81" s="289">
        <v>2020</v>
      </c>
      <c r="AB81" s="289">
        <v>28</v>
      </c>
      <c r="AC81" s="289">
        <v>1</v>
      </c>
      <c r="AD81" s="289">
        <v>0</v>
      </c>
      <c r="AE81" s="289">
        <v>0</v>
      </c>
      <c r="AF81" s="289">
        <v>0</v>
      </c>
      <c r="AG81" s="289">
        <v>29</v>
      </c>
      <c r="AI81" s="290" t="s">
        <v>417</v>
      </c>
      <c r="AJ81" s="290">
        <v>2019</v>
      </c>
      <c r="AK81" s="290">
        <v>548</v>
      </c>
      <c r="AL81" s="290">
        <v>441</v>
      </c>
      <c r="AM81" s="290">
        <v>862</v>
      </c>
      <c r="AN81" s="290">
        <v>1256</v>
      </c>
      <c r="AO81" s="290">
        <v>1059</v>
      </c>
      <c r="AP81" s="290">
        <v>4166</v>
      </c>
      <c r="AQ81" s="290"/>
      <c r="AR81" s="290">
        <v>2019</v>
      </c>
      <c r="AS81" s="290">
        <v>35</v>
      </c>
      <c r="AT81" s="290">
        <v>0</v>
      </c>
      <c r="AU81" s="290">
        <v>0</v>
      </c>
      <c r="AV81" s="290">
        <v>0</v>
      </c>
      <c r="AW81" s="290">
        <v>0</v>
      </c>
      <c r="AX81" s="290">
        <v>35</v>
      </c>
      <c r="AZ81" s="300" t="s">
        <v>96</v>
      </c>
      <c r="BA81" s="300">
        <v>2019</v>
      </c>
      <c r="BB81" s="300">
        <v>367</v>
      </c>
      <c r="BC81" s="300">
        <v>439</v>
      </c>
      <c r="BD81" s="300">
        <v>661</v>
      </c>
      <c r="BE81" s="300">
        <v>927</v>
      </c>
      <c r="BF81" s="300">
        <v>913</v>
      </c>
      <c r="BG81" s="300">
        <v>3307</v>
      </c>
      <c r="BH81" s="300"/>
      <c r="BI81" s="300">
        <v>2019</v>
      </c>
      <c r="BJ81" s="300">
        <v>53</v>
      </c>
      <c r="BK81" s="300">
        <v>1</v>
      </c>
      <c r="BL81" s="300">
        <v>0</v>
      </c>
      <c r="BM81" s="300">
        <v>0</v>
      </c>
      <c r="BN81" s="300">
        <v>0</v>
      </c>
      <c r="BO81" s="300">
        <v>54</v>
      </c>
      <c r="CH81" s="237" t="s">
        <v>255</v>
      </c>
      <c r="CI81" s="237">
        <v>2019</v>
      </c>
      <c r="CJ81" s="237">
        <v>250</v>
      </c>
      <c r="CK81" s="237">
        <v>326</v>
      </c>
      <c r="CL81" s="237">
        <v>631</v>
      </c>
      <c r="CM81" s="237">
        <v>924</v>
      </c>
      <c r="CN81" s="237">
        <v>945</v>
      </c>
      <c r="CO81" s="237">
        <v>3076</v>
      </c>
      <c r="CP81" s="237"/>
      <c r="CQ81" s="237">
        <v>2019</v>
      </c>
      <c r="CR81" s="237">
        <v>22</v>
      </c>
      <c r="CS81" s="237">
        <v>0</v>
      </c>
      <c r="CT81" s="237">
        <v>0</v>
      </c>
      <c r="CU81" s="237">
        <v>0</v>
      </c>
      <c r="CV81" s="237">
        <v>0</v>
      </c>
      <c r="CW81" s="237">
        <v>22</v>
      </c>
      <c r="EG81" s="237" t="s">
        <v>1074</v>
      </c>
      <c r="EH81" s="237">
        <v>2020</v>
      </c>
      <c r="EI81" s="237">
        <v>135</v>
      </c>
      <c r="EJ81" s="237">
        <v>221</v>
      </c>
      <c r="EK81" s="237">
        <v>299</v>
      </c>
      <c r="EL81" s="237">
        <v>334</v>
      </c>
      <c r="EM81" s="237">
        <v>384</v>
      </c>
      <c r="EN81" s="237">
        <v>1373</v>
      </c>
      <c r="EO81" s="237"/>
      <c r="EP81" s="237">
        <v>2020</v>
      </c>
      <c r="EQ81" s="237">
        <v>36</v>
      </c>
      <c r="ER81" s="237">
        <v>16</v>
      </c>
      <c r="ES81" s="237">
        <v>9</v>
      </c>
      <c r="ET81" s="237">
        <v>12</v>
      </c>
      <c r="EU81" s="237">
        <v>16</v>
      </c>
      <c r="EV81" s="237">
        <v>89</v>
      </c>
      <c r="EX81" s="309" t="s">
        <v>1206</v>
      </c>
      <c r="EY81" s="309">
        <v>2019</v>
      </c>
      <c r="EZ81" s="309">
        <v>375</v>
      </c>
      <c r="FA81" s="309">
        <v>433</v>
      </c>
      <c r="FB81" s="309">
        <v>418</v>
      </c>
      <c r="FC81" s="309">
        <v>463</v>
      </c>
      <c r="FD81" s="309">
        <v>544</v>
      </c>
      <c r="FE81" s="309">
        <v>2233</v>
      </c>
      <c r="FF81" s="309"/>
      <c r="FG81" s="309">
        <v>2019</v>
      </c>
      <c r="FH81" s="309">
        <v>51</v>
      </c>
      <c r="FI81" s="309">
        <v>20</v>
      </c>
      <c r="FJ81" s="309">
        <v>9</v>
      </c>
      <c r="FK81" s="309">
        <v>8</v>
      </c>
      <c r="FL81" s="309">
        <v>5</v>
      </c>
      <c r="FM81" s="309">
        <v>93</v>
      </c>
    </row>
    <row r="82" spans="1:169">
      <c r="A82" s="288" t="s">
        <v>706</v>
      </c>
      <c r="B82" s="288">
        <v>2019</v>
      </c>
      <c r="C82" s="288">
        <v>41</v>
      </c>
      <c r="D82" s="288">
        <v>2</v>
      </c>
      <c r="E82" s="288">
        <v>2</v>
      </c>
      <c r="F82" s="288">
        <v>0</v>
      </c>
      <c r="G82" s="288">
        <v>1</v>
      </c>
      <c r="H82" s="288">
        <v>46</v>
      </c>
      <c r="J82" s="288">
        <v>2019</v>
      </c>
      <c r="K82" s="288">
        <v>824</v>
      </c>
      <c r="L82" s="288">
        <v>846</v>
      </c>
      <c r="M82" s="288">
        <v>1177</v>
      </c>
      <c r="N82" s="288">
        <v>1396</v>
      </c>
      <c r="O82" s="288">
        <v>958</v>
      </c>
      <c r="P82" s="288">
        <v>5201</v>
      </c>
      <c r="R82" s="289" t="s">
        <v>909</v>
      </c>
      <c r="S82" s="289">
        <v>2020</v>
      </c>
      <c r="T82" s="289">
        <v>197</v>
      </c>
      <c r="U82" s="289">
        <v>257</v>
      </c>
      <c r="V82" s="289">
        <v>430</v>
      </c>
      <c r="W82" s="289">
        <v>531</v>
      </c>
      <c r="X82" s="289">
        <v>472</v>
      </c>
      <c r="Y82" s="289">
        <v>1887</v>
      </c>
      <c r="Z82" s="289"/>
      <c r="AA82" s="289">
        <v>2020</v>
      </c>
      <c r="AB82" s="289">
        <v>20</v>
      </c>
      <c r="AC82" s="289">
        <v>1</v>
      </c>
      <c r="AD82" s="289">
        <v>1</v>
      </c>
      <c r="AE82" s="289">
        <v>0</v>
      </c>
      <c r="AF82" s="289">
        <v>0</v>
      </c>
      <c r="AG82" s="289">
        <v>22</v>
      </c>
      <c r="AI82" s="290" t="s">
        <v>418</v>
      </c>
      <c r="AJ82" s="290">
        <v>2019</v>
      </c>
      <c r="AK82" s="290">
        <v>282</v>
      </c>
      <c r="AL82" s="290">
        <v>414</v>
      </c>
      <c r="AM82" s="290">
        <v>664</v>
      </c>
      <c r="AN82" s="290">
        <v>910</v>
      </c>
      <c r="AO82" s="290">
        <v>784</v>
      </c>
      <c r="AP82" s="290">
        <v>3054</v>
      </c>
      <c r="AQ82" s="290"/>
      <c r="AR82" s="290">
        <v>2019</v>
      </c>
      <c r="AS82" s="290">
        <v>21</v>
      </c>
      <c r="AT82" s="290">
        <v>2</v>
      </c>
      <c r="AU82" s="290">
        <v>6</v>
      </c>
      <c r="AV82" s="290">
        <v>1</v>
      </c>
      <c r="AW82" s="290">
        <v>0</v>
      </c>
      <c r="AX82" s="290">
        <v>30</v>
      </c>
      <c r="AZ82" s="300" t="s">
        <v>151</v>
      </c>
      <c r="BA82" s="300">
        <v>2019</v>
      </c>
      <c r="BB82" s="300">
        <v>128</v>
      </c>
      <c r="BC82" s="300">
        <v>71</v>
      </c>
      <c r="BD82" s="300">
        <v>147</v>
      </c>
      <c r="BE82" s="300">
        <v>192</v>
      </c>
      <c r="BF82" s="300">
        <v>172</v>
      </c>
      <c r="BG82" s="300">
        <v>710</v>
      </c>
      <c r="BH82" s="300"/>
      <c r="BI82" s="300">
        <v>2019</v>
      </c>
      <c r="BJ82" s="300">
        <v>45</v>
      </c>
      <c r="BK82" s="300">
        <v>0</v>
      </c>
      <c r="BL82" s="300">
        <v>0</v>
      </c>
      <c r="BM82" s="300">
        <v>0</v>
      </c>
      <c r="BN82" s="300">
        <v>0</v>
      </c>
      <c r="BO82" s="300">
        <v>45</v>
      </c>
      <c r="CH82" s="237" t="s">
        <v>265</v>
      </c>
      <c r="CI82" s="237">
        <v>2019</v>
      </c>
      <c r="CJ82" s="237">
        <v>128</v>
      </c>
      <c r="CK82" s="237">
        <v>61</v>
      </c>
      <c r="CL82" s="237">
        <v>82</v>
      </c>
      <c r="CM82" s="237">
        <v>128</v>
      </c>
      <c r="CN82" s="237">
        <v>122</v>
      </c>
      <c r="CO82" s="237">
        <v>521</v>
      </c>
      <c r="CP82" s="237"/>
      <c r="CQ82" s="237">
        <v>2019</v>
      </c>
      <c r="CR82" s="237">
        <v>54</v>
      </c>
      <c r="CS82" s="237">
        <v>0</v>
      </c>
      <c r="CT82" s="237">
        <v>0</v>
      </c>
      <c r="CU82" s="237">
        <v>0</v>
      </c>
      <c r="CV82" s="237">
        <v>0</v>
      </c>
      <c r="CW82" s="237">
        <v>54</v>
      </c>
      <c r="EG82" s="237" t="s">
        <v>1077</v>
      </c>
      <c r="EH82" s="237">
        <v>2020</v>
      </c>
      <c r="EI82" s="237">
        <v>197</v>
      </c>
      <c r="EJ82" s="237">
        <v>303</v>
      </c>
      <c r="EK82" s="237">
        <v>336</v>
      </c>
      <c r="EL82" s="237">
        <v>397</v>
      </c>
      <c r="EM82" s="237">
        <v>525</v>
      </c>
      <c r="EN82" s="237">
        <v>1758</v>
      </c>
      <c r="EO82" s="237"/>
      <c r="EP82" s="237">
        <v>2020</v>
      </c>
      <c r="EQ82" s="237">
        <v>62</v>
      </c>
      <c r="ER82" s="237">
        <v>35</v>
      </c>
      <c r="ES82" s="237">
        <v>13</v>
      </c>
      <c r="ET82" s="237">
        <v>12</v>
      </c>
      <c r="EU82" s="237">
        <v>18</v>
      </c>
      <c r="EV82" s="237">
        <v>140</v>
      </c>
      <c r="EX82" s="309" t="s">
        <v>1208</v>
      </c>
      <c r="EY82" s="309">
        <v>2019</v>
      </c>
      <c r="EZ82" s="309">
        <v>348</v>
      </c>
      <c r="FA82" s="309">
        <v>474</v>
      </c>
      <c r="FB82" s="309">
        <v>517</v>
      </c>
      <c r="FC82" s="309">
        <v>566</v>
      </c>
      <c r="FD82" s="309">
        <v>666</v>
      </c>
      <c r="FE82" s="309">
        <v>2571</v>
      </c>
      <c r="FF82" s="309"/>
      <c r="FG82" s="309">
        <v>2019</v>
      </c>
      <c r="FH82" s="309">
        <v>41</v>
      </c>
      <c r="FI82" s="309">
        <v>19</v>
      </c>
      <c r="FJ82" s="309">
        <v>9</v>
      </c>
      <c r="FK82" s="309">
        <v>6</v>
      </c>
      <c r="FL82" s="309">
        <v>7</v>
      </c>
      <c r="FM82" s="309">
        <v>82</v>
      </c>
    </row>
    <row r="83" spans="1:169">
      <c r="A83" s="288" t="s">
        <v>709</v>
      </c>
      <c r="B83" s="288">
        <v>2019</v>
      </c>
      <c r="C83" s="288">
        <v>55</v>
      </c>
      <c r="D83" s="288">
        <v>10</v>
      </c>
      <c r="E83" s="288">
        <v>1</v>
      </c>
      <c r="F83" s="288">
        <v>1</v>
      </c>
      <c r="G83" s="288">
        <v>0</v>
      </c>
      <c r="H83" s="288">
        <v>67</v>
      </c>
      <c r="J83" s="288">
        <v>2019</v>
      </c>
      <c r="K83" s="288">
        <v>358</v>
      </c>
      <c r="L83" s="288">
        <v>431</v>
      </c>
      <c r="M83" s="288">
        <v>609</v>
      </c>
      <c r="N83" s="288">
        <v>727</v>
      </c>
      <c r="O83" s="288">
        <v>643</v>
      </c>
      <c r="P83" s="288">
        <v>2768</v>
      </c>
      <c r="R83" s="289" t="s">
        <v>910</v>
      </c>
      <c r="S83" s="289">
        <v>2020</v>
      </c>
      <c r="T83" s="289">
        <v>1075</v>
      </c>
      <c r="U83" s="289">
        <v>1200</v>
      </c>
      <c r="V83" s="289">
        <v>1206</v>
      </c>
      <c r="W83" s="289">
        <v>1156</v>
      </c>
      <c r="X83" s="289">
        <v>938</v>
      </c>
      <c r="Y83" s="289">
        <v>5575</v>
      </c>
      <c r="Z83" s="289"/>
      <c r="AA83" s="289">
        <v>2020</v>
      </c>
      <c r="AB83" s="289">
        <v>184</v>
      </c>
      <c r="AC83" s="289">
        <v>21</v>
      </c>
      <c r="AD83" s="289">
        <v>8</v>
      </c>
      <c r="AE83" s="289">
        <v>3</v>
      </c>
      <c r="AF83" s="289">
        <v>2</v>
      </c>
      <c r="AG83" s="289">
        <v>218</v>
      </c>
      <c r="AI83" s="290" t="s">
        <v>419</v>
      </c>
      <c r="AJ83" s="290">
        <v>2019</v>
      </c>
      <c r="AK83" s="290">
        <v>700</v>
      </c>
      <c r="AL83" s="290">
        <v>825</v>
      </c>
      <c r="AM83" s="290">
        <v>974</v>
      </c>
      <c r="AN83" s="290">
        <v>917</v>
      </c>
      <c r="AO83" s="290">
        <v>562</v>
      </c>
      <c r="AP83" s="290">
        <v>3978</v>
      </c>
      <c r="AQ83" s="290"/>
      <c r="AR83" s="290">
        <v>2019</v>
      </c>
      <c r="AS83" s="290">
        <v>28</v>
      </c>
      <c r="AT83" s="290">
        <v>2</v>
      </c>
      <c r="AU83" s="290">
        <v>0</v>
      </c>
      <c r="AV83" s="290">
        <v>0</v>
      </c>
      <c r="AW83" s="290">
        <v>0</v>
      </c>
      <c r="AX83" s="290">
        <v>30</v>
      </c>
      <c r="AZ83" s="300" t="s">
        <v>97</v>
      </c>
      <c r="BA83" s="300">
        <v>2019</v>
      </c>
      <c r="BB83" s="300">
        <v>234</v>
      </c>
      <c r="BC83" s="300">
        <v>205</v>
      </c>
      <c r="BD83" s="300">
        <v>340</v>
      </c>
      <c r="BE83" s="300">
        <v>434</v>
      </c>
      <c r="BF83" s="300">
        <v>356</v>
      </c>
      <c r="BG83" s="300">
        <v>1569</v>
      </c>
      <c r="BH83" s="300"/>
      <c r="BI83" s="300">
        <v>2019</v>
      </c>
      <c r="BJ83" s="300">
        <v>81</v>
      </c>
      <c r="BK83" s="300">
        <v>2</v>
      </c>
      <c r="BL83" s="300">
        <v>0</v>
      </c>
      <c r="BM83" s="300">
        <v>0</v>
      </c>
      <c r="BN83" s="300">
        <v>0</v>
      </c>
      <c r="BO83" s="300">
        <v>83</v>
      </c>
      <c r="CH83" s="237" t="s">
        <v>267</v>
      </c>
      <c r="CI83" s="237">
        <v>2019</v>
      </c>
      <c r="CJ83" s="237">
        <v>111</v>
      </c>
      <c r="CK83" s="237">
        <v>130</v>
      </c>
      <c r="CL83" s="237">
        <v>253</v>
      </c>
      <c r="CM83" s="237">
        <v>426</v>
      </c>
      <c r="CN83" s="237">
        <v>381</v>
      </c>
      <c r="CO83" s="237">
        <v>1301</v>
      </c>
      <c r="CP83" s="237"/>
      <c r="CQ83" s="237">
        <v>2019</v>
      </c>
      <c r="CR83" s="237">
        <v>18</v>
      </c>
      <c r="CS83" s="237">
        <v>0</v>
      </c>
      <c r="CT83" s="237">
        <v>0</v>
      </c>
      <c r="CU83" s="237">
        <v>0</v>
      </c>
      <c r="CV83" s="237">
        <v>0</v>
      </c>
      <c r="CW83" s="237">
        <v>18</v>
      </c>
      <c r="EG83" s="237" t="s">
        <v>1080</v>
      </c>
      <c r="EH83" s="237">
        <v>2020</v>
      </c>
      <c r="EI83" s="237">
        <v>480</v>
      </c>
      <c r="EJ83" s="237">
        <v>685</v>
      </c>
      <c r="EK83" s="237">
        <v>862</v>
      </c>
      <c r="EL83" s="237">
        <v>885</v>
      </c>
      <c r="EM83" s="237">
        <v>866</v>
      </c>
      <c r="EN83" s="237">
        <v>3778</v>
      </c>
      <c r="EO83" s="237"/>
      <c r="EP83" s="237">
        <v>2020</v>
      </c>
      <c r="EQ83" s="237">
        <v>81</v>
      </c>
      <c r="ER83" s="237">
        <v>42</v>
      </c>
      <c r="ES83" s="237">
        <v>24</v>
      </c>
      <c r="ET83" s="237">
        <v>31</v>
      </c>
      <c r="EU83" s="237">
        <v>21</v>
      </c>
      <c r="EV83" s="237">
        <v>199</v>
      </c>
      <c r="EX83" s="309" t="s">
        <v>1210</v>
      </c>
      <c r="EY83" s="309">
        <v>2019</v>
      </c>
      <c r="EZ83" s="309">
        <v>139</v>
      </c>
      <c r="FA83" s="309">
        <v>176</v>
      </c>
      <c r="FB83" s="309">
        <v>246</v>
      </c>
      <c r="FC83" s="309">
        <v>318</v>
      </c>
      <c r="FD83" s="309">
        <v>403</v>
      </c>
      <c r="FE83" s="309">
        <v>1282</v>
      </c>
      <c r="FF83" s="309"/>
      <c r="FG83" s="309">
        <v>2019</v>
      </c>
      <c r="FH83" s="309">
        <v>19</v>
      </c>
      <c r="FI83" s="309">
        <v>4</v>
      </c>
      <c r="FJ83" s="309">
        <v>2</v>
      </c>
      <c r="FK83" s="309">
        <v>3</v>
      </c>
      <c r="FL83" s="309">
        <v>1</v>
      </c>
      <c r="FM83" s="309">
        <v>29</v>
      </c>
    </row>
    <row r="84" spans="1:169">
      <c r="A84" s="288" t="s">
        <v>712</v>
      </c>
      <c r="B84" s="288">
        <v>2019</v>
      </c>
      <c r="C84" s="288" t="s">
        <v>792</v>
      </c>
      <c r="D84" s="288" t="s">
        <v>792</v>
      </c>
      <c r="E84" s="288" t="s">
        <v>792</v>
      </c>
      <c r="F84" s="288" t="s">
        <v>792</v>
      </c>
      <c r="G84" s="288" t="s">
        <v>792</v>
      </c>
      <c r="H84" s="288" t="s">
        <v>792</v>
      </c>
      <c r="J84" s="288">
        <v>2019</v>
      </c>
      <c r="K84" s="288" t="s">
        <v>792</v>
      </c>
      <c r="L84" s="288" t="s">
        <v>792</v>
      </c>
      <c r="M84" s="288" t="s">
        <v>792</v>
      </c>
      <c r="N84" s="288" t="s">
        <v>792</v>
      </c>
      <c r="O84" s="288" t="s">
        <v>792</v>
      </c>
      <c r="P84" s="288" t="s">
        <v>792</v>
      </c>
      <c r="R84" s="289" t="s">
        <v>911</v>
      </c>
      <c r="S84" s="289">
        <v>2020</v>
      </c>
      <c r="T84" s="289">
        <v>1346</v>
      </c>
      <c r="U84" s="289">
        <v>980</v>
      </c>
      <c r="V84" s="289">
        <v>1117</v>
      </c>
      <c r="W84" s="289">
        <v>1214</v>
      </c>
      <c r="X84" s="289">
        <v>839</v>
      </c>
      <c r="Y84" s="289">
        <v>5496</v>
      </c>
      <c r="Z84" s="289"/>
      <c r="AA84" s="289">
        <v>2020</v>
      </c>
      <c r="AB84" s="289">
        <v>104</v>
      </c>
      <c r="AC84" s="289">
        <v>3</v>
      </c>
      <c r="AD84" s="289">
        <v>0</v>
      </c>
      <c r="AE84" s="289">
        <v>1</v>
      </c>
      <c r="AF84" s="289">
        <v>0</v>
      </c>
      <c r="AG84" s="289">
        <v>108</v>
      </c>
      <c r="AI84" s="290" t="s">
        <v>420</v>
      </c>
      <c r="AJ84" s="290">
        <v>2019</v>
      </c>
      <c r="AK84" s="290">
        <v>322</v>
      </c>
      <c r="AL84" s="290">
        <v>462</v>
      </c>
      <c r="AM84" s="290">
        <v>738</v>
      </c>
      <c r="AN84" s="290">
        <v>886</v>
      </c>
      <c r="AO84" s="290">
        <v>493</v>
      </c>
      <c r="AP84" s="290">
        <v>2901</v>
      </c>
      <c r="AQ84" s="290"/>
      <c r="AR84" s="290">
        <v>2019</v>
      </c>
      <c r="AS84" s="290">
        <v>37</v>
      </c>
      <c r="AT84" s="290">
        <v>0</v>
      </c>
      <c r="AU84" s="290">
        <v>0</v>
      </c>
      <c r="AV84" s="290">
        <v>0</v>
      </c>
      <c r="AW84" s="290">
        <v>0</v>
      </c>
      <c r="AX84" s="290">
        <v>37</v>
      </c>
      <c r="AZ84" s="300" t="s">
        <v>154</v>
      </c>
      <c r="BA84" s="300">
        <v>2019</v>
      </c>
      <c r="BB84" s="300">
        <v>127</v>
      </c>
      <c r="BC84" s="300">
        <v>50</v>
      </c>
      <c r="BD84" s="300">
        <v>117</v>
      </c>
      <c r="BE84" s="300">
        <v>147</v>
      </c>
      <c r="BF84" s="300">
        <v>151</v>
      </c>
      <c r="BG84" s="300">
        <v>592</v>
      </c>
      <c r="BH84" s="300"/>
      <c r="BI84" s="300">
        <v>2019</v>
      </c>
      <c r="BJ84" s="300">
        <v>32</v>
      </c>
      <c r="BK84" s="300">
        <v>0</v>
      </c>
      <c r="BL84" s="300">
        <v>0</v>
      </c>
      <c r="BM84" s="300">
        <v>0</v>
      </c>
      <c r="BN84" s="300">
        <v>0</v>
      </c>
      <c r="BO84" s="300">
        <v>32</v>
      </c>
      <c r="CH84" s="237" t="s">
        <v>232</v>
      </c>
      <c r="CI84" s="237">
        <v>2019</v>
      </c>
      <c r="CJ84" s="237">
        <v>48</v>
      </c>
      <c r="CK84" s="237">
        <v>48</v>
      </c>
      <c r="CL84" s="237">
        <v>105</v>
      </c>
      <c r="CM84" s="237">
        <v>153</v>
      </c>
      <c r="CN84" s="237">
        <v>177</v>
      </c>
      <c r="CO84" s="237">
        <v>531</v>
      </c>
      <c r="CP84" s="237"/>
      <c r="CQ84" s="237">
        <v>2019</v>
      </c>
      <c r="CR84" s="237">
        <v>10</v>
      </c>
      <c r="CS84" s="237">
        <v>0</v>
      </c>
      <c r="CT84" s="237">
        <v>0</v>
      </c>
      <c r="CU84" s="237">
        <v>0</v>
      </c>
      <c r="CV84" s="237">
        <v>0</v>
      </c>
      <c r="CW84" s="237">
        <v>10</v>
      </c>
      <c r="EG84" s="237" t="s">
        <v>1083</v>
      </c>
      <c r="EH84" s="237">
        <v>2020</v>
      </c>
      <c r="EI84" s="237">
        <v>58</v>
      </c>
      <c r="EJ84" s="237">
        <v>114</v>
      </c>
      <c r="EK84" s="237">
        <v>116</v>
      </c>
      <c r="EL84" s="237">
        <v>157</v>
      </c>
      <c r="EM84" s="237">
        <v>197</v>
      </c>
      <c r="EN84" s="237">
        <v>642</v>
      </c>
      <c r="EO84" s="237"/>
      <c r="EP84" s="237">
        <v>2020</v>
      </c>
      <c r="EQ84" s="237">
        <v>14</v>
      </c>
      <c r="ER84" s="237">
        <v>1</v>
      </c>
      <c r="ES84" s="237">
        <v>2</v>
      </c>
      <c r="ET84" s="237">
        <v>5</v>
      </c>
      <c r="EU84" s="237">
        <v>1</v>
      </c>
      <c r="EV84" s="237">
        <v>23</v>
      </c>
      <c r="EX84" s="309" t="s">
        <v>1212</v>
      </c>
      <c r="EY84" s="309">
        <v>2019</v>
      </c>
      <c r="EZ84" s="309">
        <v>442</v>
      </c>
      <c r="FA84" s="309">
        <v>372</v>
      </c>
      <c r="FB84" s="309">
        <v>500</v>
      </c>
      <c r="FC84" s="309">
        <v>547</v>
      </c>
      <c r="FD84" s="309">
        <v>794</v>
      </c>
      <c r="FE84" s="309">
        <v>2655</v>
      </c>
      <c r="FF84" s="309"/>
      <c r="FG84" s="309">
        <v>2019</v>
      </c>
      <c r="FH84" s="309">
        <v>25</v>
      </c>
      <c r="FI84" s="309">
        <v>7</v>
      </c>
      <c r="FJ84" s="309">
        <v>9</v>
      </c>
      <c r="FK84" s="309">
        <v>11</v>
      </c>
      <c r="FL84" s="309">
        <v>16</v>
      </c>
      <c r="FM84" s="309">
        <v>68</v>
      </c>
    </row>
    <row r="85" spans="1:169">
      <c r="A85" s="288" t="s">
        <v>715</v>
      </c>
      <c r="B85" s="288">
        <v>2019</v>
      </c>
      <c r="C85" s="288" t="s">
        <v>792</v>
      </c>
      <c r="D85" s="288" t="s">
        <v>792</v>
      </c>
      <c r="E85" s="288" t="s">
        <v>792</v>
      </c>
      <c r="F85" s="288" t="s">
        <v>792</v>
      </c>
      <c r="G85" s="288" t="s">
        <v>792</v>
      </c>
      <c r="H85" s="288" t="s">
        <v>792</v>
      </c>
      <c r="J85" s="288">
        <v>2019</v>
      </c>
      <c r="K85" s="288" t="s">
        <v>792</v>
      </c>
      <c r="L85" s="288" t="s">
        <v>792</v>
      </c>
      <c r="M85" s="288" t="s">
        <v>792</v>
      </c>
      <c r="N85" s="288" t="s">
        <v>792</v>
      </c>
      <c r="O85" s="288" t="s">
        <v>792</v>
      </c>
      <c r="P85" s="288" t="s">
        <v>792</v>
      </c>
      <c r="R85" s="289" t="s">
        <v>912</v>
      </c>
      <c r="S85" s="289">
        <v>2020</v>
      </c>
      <c r="T85" s="289">
        <v>716</v>
      </c>
      <c r="U85" s="289">
        <v>415</v>
      </c>
      <c r="V85" s="289">
        <v>463</v>
      </c>
      <c r="W85" s="289">
        <v>500</v>
      </c>
      <c r="X85" s="289">
        <v>395</v>
      </c>
      <c r="Y85" s="289">
        <v>2489</v>
      </c>
      <c r="Z85" s="289"/>
      <c r="AA85" s="289">
        <v>2020</v>
      </c>
      <c r="AB85" s="289">
        <v>13</v>
      </c>
      <c r="AC85" s="289">
        <v>0</v>
      </c>
      <c r="AD85" s="289">
        <v>0</v>
      </c>
      <c r="AE85" s="289">
        <v>0</v>
      </c>
      <c r="AF85" s="289">
        <v>0</v>
      </c>
      <c r="AG85" s="289">
        <v>13</v>
      </c>
      <c r="AI85" s="290" t="s">
        <v>421</v>
      </c>
      <c r="AJ85" s="290">
        <v>2019</v>
      </c>
      <c r="AK85" s="290">
        <v>406</v>
      </c>
      <c r="AL85" s="290">
        <v>508</v>
      </c>
      <c r="AM85" s="290">
        <v>806</v>
      </c>
      <c r="AN85" s="290">
        <v>931</v>
      </c>
      <c r="AO85" s="290">
        <v>550</v>
      </c>
      <c r="AP85" s="290">
        <v>3201</v>
      </c>
      <c r="AQ85" s="290"/>
      <c r="AR85" s="290">
        <v>2019</v>
      </c>
      <c r="AS85" s="290">
        <v>52</v>
      </c>
      <c r="AT85" s="290">
        <v>4</v>
      </c>
      <c r="AU85" s="290">
        <v>2</v>
      </c>
      <c r="AV85" s="290">
        <v>1</v>
      </c>
      <c r="AW85" s="290">
        <v>2</v>
      </c>
      <c r="AX85" s="290">
        <v>61</v>
      </c>
      <c r="AZ85" s="300" t="s">
        <v>98</v>
      </c>
      <c r="BA85" s="300">
        <v>2019</v>
      </c>
      <c r="BB85" s="300">
        <v>62</v>
      </c>
      <c r="BC85" s="300">
        <v>63</v>
      </c>
      <c r="BD85" s="300">
        <v>78</v>
      </c>
      <c r="BE85" s="300">
        <v>151</v>
      </c>
      <c r="BF85" s="300">
        <v>116</v>
      </c>
      <c r="BG85" s="300">
        <v>470</v>
      </c>
      <c r="BH85" s="300"/>
      <c r="BI85" s="300">
        <v>2019</v>
      </c>
      <c r="BJ85" s="300">
        <v>19</v>
      </c>
      <c r="BK85" s="300">
        <v>0</v>
      </c>
      <c r="BL85" s="300">
        <v>0</v>
      </c>
      <c r="BM85" s="300">
        <v>0</v>
      </c>
      <c r="BN85" s="300">
        <v>0</v>
      </c>
      <c r="BO85" s="300">
        <v>19</v>
      </c>
      <c r="CH85" s="237" t="s">
        <v>234</v>
      </c>
      <c r="CI85" s="237">
        <v>2019</v>
      </c>
      <c r="CJ85" s="237">
        <v>71</v>
      </c>
      <c r="CK85" s="237">
        <v>76</v>
      </c>
      <c r="CL85" s="237">
        <v>150</v>
      </c>
      <c r="CM85" s="237">
        <v>159</v>
      </c>
      <c r="CN85" s="237">
        <v>163</v>
      </c>
      <c r="CO85" s="237">
        <v>619</v>
      </c>
      <c r="CP85" s="237"/>
      <c r="CQ85" s="237">
        <v>2019</v>
      </c>
      <c r="CR85" s="237">
        <v>14</v>
      </c>
      <c r="CS85" s="237">
        <v>0</v>
      </c>
      <c r="CT85" s="237">
        <v>0</v>
      </c>
      <c r="CU85" s="237">
        <v>0</v>
      </c>
      <c r="CV85" s="237">
        <v>0</v>
      </c>
      <c r="CW85" s="237">
        <v>14</v>
      </c>
      <c r="EG85" s="237" t="s">
        <v>1086</v>
      </c>
      <c r="EH85" s="237">
        <v>2020</v>
      </c>
      <c r="EI85" s="237">
        <v>168</v>
      </c>
      <c r="EJ85" s="237">
        <v>271</v>
      </c>
      <c r="EK85" s="237">
        <v>339</v>
      </c>
      <c r="EL85" s="237">
        <v>389</v>
      </c>
      <c r="EM85" s="237">
        <v>450</v>
      </c>
      <c r="EN85" s="237">
        <v>1617</v>
      </c>
      <c r="EO85" s="237"/>
      <c r="EP85" s="237">
        <v>2020</v>
      </c>
      <c r="EQ85" s="237">
        <v>40</v>
      </c>
      <c r="ER85" s="237">
        <v>19</v>
      </c>
      <c r="ES85" s="237">
        <v>15</v>
      </c>
      <c r="ET85" s="237">
        <v>9</v>
      </c>
      <c r="EU85" s="237">
        <v>5</v>
      </c>
      <c r="EV85" s="237">
        <v>88</v>
      </c>
      <c r="EX85" s="309" t="s">
        <v>1214</v>
      </c>
      <c r="EY85" s="309">
        <v>2019</v>
      </c>
      <c r="EZ85" s="309">
        <v>199</v>
      </c>
      <c r="FA85" s="309">
        <v>268</v>
      </c>
      <c r="FB85" s="309">
        <v>382</v>
      </c>
      <c r="FC85" s="309">
        <v>485</v>
      </c>
      <c r="FD85" s="309">
        <v>594</v>
      </c>
      <c r="FE85" s="309">
        <v>1928</v>
      </c>
      <c r="FF85" s="309"/>
      <c r="FG85" s="309">
        <v>2019</v>
      </c>
      <c r="FH85" s="309">
        <v>33</v>
      </c>
      <c r="FI85" s="309">
        <v>5</v>
      </c>
      <c r="FJ85" s="309">
        <v>9</v>
      </c>
      <c r="FK85" s="309">
        <v>1</v>
      </c>
      <c r="FL85" s="309">
        <v>1</v>
      </c>
      <c r="FM85" s="309">
        <v>49</v>
      </c>
    </row>
    <row r="86" spans="1:169">
      <c r="A86" s="288" t="s">
        <v>718</v>
      </c>
      <c r="B86" s="288">
        <v>2019</v>
      </c>
      <c r="C86" s="288" t="s">
        <v>792</v>
      </c>
      <c r="D86" s="288" t="s">
        <v>792</v>
      </c>
      <c r="E86" s="288" t="s">
        <v>792</v>
      </c>
      <c r="F86" s="288" t="s">
        <v>792</v>
      </c>
      <c r="G86" s="288" t="s">
        <v>792</v>
      </c>
      <c r="H86" s="288" t="s">
        <v>792</v>
      </c>
      <c r="J86" s="288">
        <v>2019</v>
      </c>
      <c r="K86" s="288" t="s">
        <v>792</v>
      </c>
      <c r="L86" s="288" t="s">
        <v>792</v>
      </c>
      <c r="M86" s="288" t="s">
        <v>792</v>
      </c>
      <c r="N86" s="288" t="s">
        <v>792</v>
      </c>
      <c r="O86" s="288" t="s">
        <v>792</v>
      </c>
      <c r="P86" s="288" t="s">
        <v>792</v>
      </c>
      <c r="R86" s="289" t="s">
        <v>913</v>
      </c>
      <c r="S86" s="289">
        <v>2020</v>
      </c>
      <c r="T86" s="289">
        <v>139</v>
      </c>
      <c r="U86" s="289">
        <v>207</v>
      </c>
      <c r="V86" s="289">
        <v>327</v>
      </c>
      <c r="W86" s="289">
        <v>343</v>
      </c>
      <c r="X86" s="289">
        <v>280</v>
      </c>
      <c r="Y86" s="289">
        <v>1296</v>
      </c>
      <c r="Z86" s="289"/>
      <c r="AA86" s="289">
        <v>2020</v>
      </c>
      <c r="AB86" s="289">
        <v>11</v>
      </c>
      <c r="AC86" s="289">
        <v>0</v>
      </c>
      <c r="AD86" s="289">
        <v>1</v>
      </c>
      <c r="AE86" s="289">
        <v>0</v>
      </c>
      <c r="AF86" s="289">
        <v>0</v>
      </c>
      <c r="AG86" s="289">
        <v>12</v>
      </c>
      <c r="AI86" s="290" t="s">
        <v>422</v>
      </c>
      <c r="AJ86" s="290">
        <v>2019</v>
      </c>
      <c r="AK86" s="290">
        <v>413</v>
      </c>
      <c r="AL86" s="290">
        <v>536</v>
      </c>
      <c r="AM86" s="290">
        <v>710</v>
      </c>
      <c r="AN86" s="290">
        <v>890</v>
      </c>
      <c r="AO86" s="290">
        <v>590</v>
      </c>
      <c r="AP86" s="290">
        <v>3139</v>
      </c>
      <c r="AQ86" s="290"/>
      <c r="AR86" s="290">
        <v>2019</v>
      </c>
      <c r="AS86" s="290">
        <v>46</v>
      </c>
      <c r="AT86" s="290">
        <v>1</v>
      </c>
      <c r="AU86" s="290">
        <v>1</v>
      </c>
      <c r="AV86" s="290">
        <v>1</v>
      </c>
      <c r="AW86" s="290">
        <v>0</v>
      </c>
      <c r="AX86" s="290">
        <v>49</v>
      </c>
      <c r="AZ86" s="300" t="s">
        <v>156</v>
      </c>
      <c r="BA86" s="300">
        <v>2019</v>
      </c>
      <c r="BB86" s="300">
        <v>63</v>
      </c>
      <c r="BC86" s="300">
        <v>58</v>
      </c>
      <c r="BD86" s="300">
        <v>118</v>
      </c>
      <c r="BE86" s="300">
        <v>153</v>
      </c>
      <c r="BF86" s="300">
        <v>159</v>
      </c>
      <c r="BG86" s="300">
        <v>551</v>
      </c>
      <c r="BH86" s="300"/>
      <c r="BI86" s="300">
        <v>2019</v>
      </c>
      <c r="BJ86" s="300">
        <v>12</v>
      </c>
      <c r="BK86" s="300">
        <v>0</v>
      </c>
      <c r="BL86" s="300">
        <v>0</v>
      </c>
      <c r="BM86" s="300">
        <v>0</v>
      </c>
      <c r="BN86" s="300">
        <v>0</v>
      </c>
      <c r="BO86" s="300">
        <v>12</v>
      </c>
      <c r="CH86" s="237" t="s">
        <v>236</v>
      </c>
      <c r="CI86" s="237">
        <v>2019</v>
      </c>
      <c r="CJ86" s="237">
        <v>58</v>
      </c>
      <c r="CK86" s="237">
        <v>70</v>
      </c>
      <c r="CL86" s="237">
        <v>142</v>
      </c>
      <c r="CM86" s="237">
        <v>190</v>
      </c>
      <c r="CN86" s="237">
        <v>142</v>
      </c>
      <c r="CO86" s="237">
        <v>602</v>
      </c>
      <c r="CP86" s="237"/>
      <c r="CQ86" s="237">
        <v>2019</v>
      </c>
      <c r="CR86" s="237">
        <v>2</v>
      </c>
      <c r="CS86" s="237">
        <v>0</v>
      </c>
      <c r="CT86" s="237">
        <v>0</v>
      </c>
      <c r="CU86" s="237">
        <v>0</v>
      </c>
      <c r="CV86" s="237">
        <v>0</v>
      </c>
      <c r="CW86" s="237">
        <v>2</v>
      </c>
      <c r="EG86" s="237" t="s">
        <v>1089</v>
      </c>
      <c r="EH86" s="237">
        <v>2020</v>
      </c>
      <c r="EI86" s="237">
        <v>78</v>
      </c>
      <c r="EJ86" s="237">
        <v>168</v>
      </c>
      <c r="EK86" s="237">
        <v>243</v>
      </c>
      <c r="EL86" s="237">
        <v>319</v>
      </c>
      <c r="EM86" s="237">
        <v>347</v>
      </c>
      <c r="EN86" s="237">
        <v>1155</v>
      </c>
      <c r="EO86" s="237"/>
      <c r="EP86" s="237">
        <v>2020</v>
      </c>
      <c r="EQ86" s="237">
        <v>8</v>
      </c>
      <c r="ER86" s="237">
        <v>8</v>
      </c>
      <c r="ES86" s="237">
        <v>1</v>
      </c>
      <c r="ET86" s="237">
        <v>5</v>
      </c>
      <c r="EU86" s="237">
        <v>4</v>
      </c>
      <c r="EV86" s="237">
        <v>26</v>
      </c>
      <c r="EX86" s="309" t="s">
        <v>1216</v>
      </c>
      <c r="EY86" s="309">
        <v>2019</v>
      </c>
      <c r="EZ86" s="309">
        <v>174</v>
      </c>
      <c r="FA86" s="309">
        <v>286</v>
      </c>
      <c r="FB86" s="309">
        <v>309</v>
      </c>
      <c r="FC86" s="309">
        <v>383</v>
      </c>
      <c r="FD86" s="309">
        <v>492</v>
      </c>
      <c r="FE86" s="309">
        <v>1644</v>
      </c>
      <c r="FF86" s="309"/>
      <c r="FG86" s="309">
        <v>2019</v>
      </c>
      <c r="FH86" s="309">
        <v>20</v>
      </c>
      <c r="FI86" s="309">
        <v>10</v>
      </c>
      <c r="FJ86" s="309">
        <v>4</v>
      </c>
      <c r="FK86" s="309">
        <v>1</v>
      </c>
      <c r="FL86" s="309">
        <v>4</v>
      </c>
      <c r="FM86" s="309">
        <v>39</v>
      </c>
    </row>
    <row r="87" spans="1:169">
      <c r="A87" s="288" t="s">
        <v>712</v>
      </c>
      <c r="B87" s="288">
        <v>2019</v>
      </c>
      <c r="C87" s="288" t="s">
        <v>792</v>
      </c>
      <c r="D87" s="288" t="s">
        <v>792</v>
      </c>
      <c r="E87" s="288" t="s">
        <v>792</v>
      </c>
      <c r="F87" s="288" t="s">
        <v>792</v>
      </c>
      <c r="G87" s="288" t="s">
        <v>792</v>
      </c>
      <c r="H87" s="288" t="s">
        <v>792</v>
      </c>
      <c r="J87" s="288">
        <v>2019</v>
      </c>
      <c r="K87" s="288" t="s">
        <v>792</v>
      </c>
      <c r="L87" s="288" t="s">
        <v>792</v>
      </c>
      <c r="M87" s="288" t="s">
        <v>792</v>
      </c>
      <c r="N87" s="288" t="s">
        <v>792</v>
      </c>
      <c r="O87" s="288" t="s">
        <v>792</v>
      </c>
      <c r="P87" s="288" t="s">
        <v>792</v>
      </c>
      <c r="R87" s="289" t="s">
        <v>914</v>
      </c>
      <c r="S87" s="289">
        <v>2020</v>
      </c>
      <c r="T87" s="289">
        <v>122</v>
      </c>
      <c r="U87" s="289">
        <v>210</v>
      </c>
      <c r="V87" s="289">
        <v>279</v>
      </c>
      <c r="W87" s="289">
        <v>360</v>
      </c>
      <c r="X87" s="289">
        <v>258</v>
      </c>
      <c r="Y87" s="289">
        <v>1229</v>
      </c>
      <c r="Z87" s="289"/>
      <c r="AA87" s="289">
        <v>2020</v>
      </c>
      <c r="AB87" s="289">
        <v>13</v>
      </c>
      <c r="AC87" s="289">
        <v>3</v>
      </c>
      <c r="AD87" s="289">
        <v>0</v>
      </c>
      <c r="AE87" s="289">
        <v>0</v>
      </c>
      <c r="AF87" s="289">
        <v>0</v>
      </c>
      <c r="AG87" s="289">
        <v>16</v>
      </c>
      <c r="AI87" s="290" t="s">
        <v>423</v>
      </c>
      <c r="AJ87" s="290">
        <v>2019</v>
      </c>
      <c r="AK87" s="290">
        <v>224</v>
      </c>
      <c r="AL87" s="290">
        <v>301</v>
      </c>
      <c r="AM87" s="290">
        <v>452</v>
      </c>
      <c r="AN87" s="290">
        <v>632</v>
      </c>
      <c r="AO87" s="290">
        <v>421</v>
      </c>
      <c r="AP87" s="290">
        <v>2030</v>
      </c>
      <c r="AQ87" s="290"/>
      <c r="AR87" s="290">
        <v>2019</v>
      </c>
      <c r="AS87" s="290">
        <v>32</v>
      </c>
      <c r="AT87" s="290">
        <v>1</v>
      </c>
      <c r="AU87" s="290">
        <v>0</v>
      </c>
      <c r="AV87" s="290">
        <v>0</v>
      </c>
      <c r="AW87" s="290">
        <v>0</v>
      </c>
      <c r="AX87" s="290">
        <v>33</v>
      </c>
      <c r="AZ87" s="300" t="s">
        <v>100</v>
      </c>
      <c r="BA87" s="300">
        <v>2019</v>
      </c>
      <c r="BB87" s="300">
        <v>65</v>
      </c>
      <c r="BC87" s="300">
        <v>29</v>
      </c>
      <c r="BD87" s="300">
        <v>83</v>
      </c>
      <c r="BE87" s="300">
        <v>153</v>
      </c>
      <c r="BF87" s="300">
        <v>146</v>
      </c>
      <c r="BG87" s="300">
        <v>476</v>
      </c>
      <c r="BH87" s="300"/>
      <c r="BI87" s="300">
        <v>2019</v>
      </c>
      <c r="BJ87" s="300">
        <v>16</v>
      </c>
      <c r="BK87" s="300">
        <v>0</v>
      </c>
      <c r="BL87" s="300">
        <v>0</v>
      </c>
      <c r="BM87" s="300">
        <v>0</v>
      </c>
      <c r="BN87" s="300">
        <v>0</v>
      </c>
      <c r="BO87" s="300">
        <v>16</v>
      </c>
      <c r="CH87" s="237" t="s">
        <v>238</v>
      </c>
      <c r="CI87" s="237">
        <v>2019</v>
      </c>
      <c r="CJ87" s="237">
        <v>33</v>
      </c>
      <c r="CK87" s="237">
        <v>47</v>
      </c>
      <c r="CL87" s="237">
        <v>68</v>
      </c>
      <c r="CM87" s="237">
        <v>105</v>
      </c>
      <c r="CN87" s="237">
        <v>95</v>
      </c>
      <c r="CO87" s="237">
        <v>348</v>
      </c>
      <c r="CP87" s="237"/>
      <c r="CQ87" s="237">
        <v>2019</v>
      </c>
      <c r="CR87" s="237">
        <v>11</v>
      </c>
      <c r="CS87" s="237">
        <v>0</v>
      </c>
      <c r="CT87" s="237">
        <v>0</v>
      </c>
      <c r="CU87" s="237">
        <v>0</v>
      </c>
      <c r="CV87" s="237">
        <v>0</v>
      </c>
      <c r="CW87" s="237">
        <v>11</v>
      </c>
      <c r="EG87" s="237" t="s">
        <v>1092</v>
      </c>
      <c r="EH87" s="237">
        <v>2020</v>
      </c>
      <c r="EI87" s="237">
        <v>517</v>
      </c>
      <c r="EJ87" s="237">
        <v>586</v>
      </c>
      <c r="EK87" s="237">
        <v>664</v>
      </c>
      <c r="EL87" s="237">
        <v>774</v>
      </c>
      <c r="EM87" s="237">
        <v>925</v>
      </c>
      <c r="EN87" s="237">
        <v>3466</v>
      </c>
      <c r="EO87" s="237"/>
      <c r="EP87" s="237">
        <v>2020</v>
      </c>
      <c r="EQ87" s="237">
        <v>62</v>
      </c>
      <c r="ER87" s="237">
        <v>26</v>
      </c>
      <c r="ES87" s="237">
        <v>11</v>
      </c>
      <c r="ET87" s="237">
        <v>11</v>
      </c>
      <c r="EU87" s="237">
        <v>16</v>
      </c>
      <c r="EV87" s="237">
        <v>126</v>
      </c>
      <c r="EX87" s="309" t="s">
        <v>1218</v>
      </c>
      <c r="EY87" s="309">
        <v>2019</v>
      </c>
      <c r="EZ87" s="309">
        <v>117</v>
      </c>
      <c r="FA87" s="309">
        <v>161</v>
      </c>
      <c r="FB87" s="309">
        <v>262</v>
      </c>
      <c r="FC87" s="309">
        <v>291</v>
      </c>
      <c r="FD87" s="309">
        <v>408</v>
      </c>
      <c r="FE87" s="309">
        <v>1239</v>
      </c>
      <c r="FF87" s="309"/>
      <c r="FG87" s="309">
        <v>2019</v>
      </c>
      <c r="FH87" s="309">
        <v>24</v>
      </c>
      <c r="FI87" s="309">
        <v>8</v>
      </c>
      <c r="FJ87" s="309">
        <v>3</v>
      </c>
      <c r="FK87" s="309">
        <v>3</v>
      </c>
      <c r="FL87" s="309">
        <v>2</v>
      </c>
      <c r="FM87" s="309">
        <v>40</v>
      </c>
    </row>
    <row r="88" spans="1:169">
      <c r="A88" s="288" t="s">
        <v>1269</v>
      </c>
      <c r="B88" s="288">
        <v>2019</v>
      </c>
      <c r="C88" s="288" t="s">
        <v>792</v>
      </c>
      <c r="D88" s="288" t="s">
        <v>792</v>
      </c>
      <c r="E88" s="288" t="s">
        <v>792</v>
      </c>
      <c r="F88" s="288" t="s">
        <v>792</v>
      </c>
      <c r="G88" s="288" t="s">
        <v>792</v>
      </c>
      <c r="H88" s="288" t="s">
        <v>792</v>
      </c>
      <c r="J88" s="288">
        <v>2019</v>
      </c>
      <c r="K88" s="288" t="s">
        <v>792</v>
      </c>
      <c r="L88" s="288" t="s">
        <v>792</v>
      </c>
      <c r="M88" s="288" t="s">
        <v>792</v>
      </c>
      <c r="N88" s="288" t="s">
        <v>792</v>
      </c>
      <c r="O88" s="288" t="s">
        <v>792</v>
      </c>
      <c r="P88" s="288" t="s">
        <v>792</v>
      </c>
      <c r="R88" s="289" t="s">
        <v>915</v>
      </c>
      <c r="S88" s="289">
        <v>2020</v>
      </c>
      <c r="T88" s="289">
        <v>1101</v>
      </c>
      <c r="U88" s="289">
        <v>966</v>
      </c>
      <c r="V88" s="289">
        <v>1374</v>
      </c>
      <c r="W88" s="289">
        <v>1713</v>
      </c>
      <c r="X88" s="289">
        <v>1234</v>
      </c>
      <c r="Y88" s="289">
        <v>6388</v>
      </c>
      <c r="Z88" s="289"/>
      <c r="AA88" s="289">
        <v>2020</v>
      </c>
      <c r="AB88" s="289">
        <v>32</v>
      </c>
      <c r="AC88" s="289">
        <v>1</v>
      </c>
      <c r="AD88" s="289">
        <v>0</v>
      </c>
      <c r="AE88" s="289">
        <v>0</v>
      </c>
      <c r="AF88" s="289">
        <v>0</v>
      </c>
      <c r="AG88" s="289">
        <v>33</v>
      </c>
      <c r="AI88" s="290" t="s">
        <v>424</v>
      </c>
      <c r="AJ88" s="290">
        <v>2019</v>
      </c>
      <c r="AK88" s="290">
        <v>80</v>
      </c>
      <c r="AL88" s="290">
        <v>176</v>
      </c>
      <c r="AM88" s="290">
        <v>308</v>
      </c>
      <c r="AN88" s="290">
        <v>443</v>
      </c>
      <c r="AO88" s="290">
        <v>393</v>
      </c>
      <c r="AP88" s="290">
        <v>1400</v>
      </c>
      <c r="AQ88" s="290"/>
      <c r="AR88" s="290">
        <v>2019</v>
      </c>
      <c r="AS88" s="290">
        <v>12</v>
      </c>
      <c r="AT88" s="290">
        <v>6</v>
      </c>
      <c r="AU88" s="290">
        <v>0</v>
      </c>
      <c r="AV88" s="290">
        <v>0</v>
      </c>
      <c r="AW88" s="290">
        <v>0</v>
      </c>
      <c r="AX88" s="290">
        <v>18</v>
      </c>
      <c r="AZ88" s="300" t="s">
        <v>101</v>
      </c>
      <c r="BA88" s="300">
        <v>2019</v>
      </c>
      <c r="BB88" s="300">
        <v>501</v>
      </c>
      <c r="BC88" s="300">
        <v>384</v>
      </c>
      <c r="BD88" s="300">
        <v>384</v>
      </c>
      <c r="BE88" s="300">
        <v>415</v>
      </c>
      <c r="BF88" s="300">
        <v>375</v>
      </c>
      <c r="BG88" s="300">
        <v>2059</v>
      </c>
      <c r="BH88" s="300"/>
      <c r="BI88" s="300">
        <v>2019</v>
      </c>
      <c r="BJ88" s="300">
        <v>27</v>
      </c>
      <c r="BK88" s="300">
        <v>0</v>
      </c>
      <c r="BL88" s="300">
        <v>0</v>
      </c>
      <c r="BM88" s="300">
        <v>0</v>
      </c>
      <c r="BN88" s="300">
        <v>0</v>
      </c>
      <c r="BO88" s="300">
        <v>27</v>
      </c>
      <c r="CH88" s="237" t="s">
        <v>240</v>
      </c>
      <c r="CI88" s="237">
        <v>2019</v>
      </c>
      <c r="CJ88" s="237">
        <v>50</v>
      </c>
      <c r="CK88" s="237">
        <v>62</v>
      </c>
      <c r="CL88" s="237">
        <v>90</v>
      </c>
      <c r="CM88" s="237">
        <v>139</v>
      </c>
      <c r="CN88" s="237">
        <v>157</v>
      </c>
      <c r="CO88" s="237">
        <v>498</v>
      </c>
      <c r="CP88" s="237"/>
      <c r="CQ88" s="237">
        <v>2019</v>
      </c>
      <c r="CR88" s="237">
        <v>14</v>
      </c>
      <c r="CS88" s="237">
        <v>1</v>
      </c>
      <c r="CT88" s="237">
        <v>0</v>
      </c>
      <c r="CU88" s="237">
        <v>0</v>
      </c>
      <c r="CV88" s="237">
        <v>0</v>
      </c>
      <c r="CW88" s="237">
        <v>15</v>
      </c>
      <c r="EG88" s="237" t="s">
        <v>1095</v>
      </c>
      <c r="EH88" s="237">
        <v>2020</v>
      </c>
      <c r="EI88" s="237">
        <v>240</v>
      </c>
      <c r="EJ88" s="237">
        <v>416</v>
      </c>
      <c r="EK88" s="237">
        <v>514</v>
      </c>
      <c r="EL88" s="237">
        <v>577</v>
      </c>
      <c r="EM88" s="237">
        <v>740</v>
      </c>
      <c r="EN88" s="237">
        <v>2487</v>
      </c>
      <c r="EO88" s="237"/>
      <c r="EP88" s="237">
        <v>2020</v>
      </c>
      <c r="EQ88" s="237">
        <v>58</v>
      </c>
      <c r="ER88" s="237">
        <v>26</v>
      </c>
      <c r="ES88" s="237">
        <v>10</v>
      </c>
      <c r="ET88" s="237">
        <v>19</v>
      </c>
      <c r="EU88" s="237">
        <v>9</v>
      </c>
      <c r="EV88" s="237">
        <v>122</v>
      </c>
      <c r="EX88" s="309" t="s">
        <v>1220</v>
      </c>
      <c r="EY88" s="309">
        <v>2019</v>
      </c>
      <c r="EZ88" s="309">
        <v>497</v>
      </c>
      <c r="FA88" s="309">
        <v>529</v>
      </c>
      <c r="FB88" s="309">
        <v>428</v>
      </c>
      <c r="FC88" s="309">
        <v>462</v>
      </c>
      <c r="FD88" s="309">
        <v>530</v>
      </c>
      <c r="FE88" s="309">
        <v>2446</v>
      </c>
      <c r="FF88" s="309"/>
      <c r="FG88" s="309">
        <v>2019</v>
      </c>
      <c r="FH88" s="309">
        <v>54</v>
      </c>
      <c r="FI88" s="309">
        <v>22</v>
      </c>
      <c r="FJ88" s="309">
        <v>6</v>
      </c>
      <c r="FK88" s="309">
        <v>8</v>
      </c>
      <c r="FL88" s="309">
        <v>0</v>
      </c>
      <c r="FM88" s="309">
        <v>90</v>
      </c>
    </row>
    <row r="89" spans="1:169">
      <c r="A89" s="288" t="s">
        <v>1266</v>
      </c>
      <c r="B89" s="288">
        <v>2019</v>
      </c>
      <c r="C89" s="288">
        <v>99</v>
      </c>
      <c r="D89" s="288">
        <v>12</v>
      </c>
      <c r="E89" s="288">
        <v>5</v>
      </c>
      <c r="F89" s="288">
        <v>0</v>
      </c>
      <c r="G89" s="288">
        <v>1</v>
      </c>
      <c r="H89" s="288">
        <v>117</v>
      </c>
      <c r="J89" s="288">
        <v>2019</v>
      </c>
      <c r="K89" s="288">
        <v>502</v>
      </c>
      <c r="L89" s="288">
        <v>527</v>
      </c>
      <c r="M89" s="288">
        <v>641</v>
      </c>
      <c r="N89" s="288">
        <v>787</v>
      </c>
      <c r="O89" s="288">
        <v>621</v>
      </c>
      <c r="P89" s="288">
        <v>3078</v>
      </c>
      <c r="R89" s="289" t="s">
        <v>916</v>
      </c>
      <c r="S89" s="289">
        <v>2020</v>
      </c>
      <c r="T89" s="289">
        <v>201</v>
      </c>
      <c r="U89" s="289">
        <v>250</v>
      </c>
      <c r="V89" s="289">
        <v>374</v>
      </c>
      <c r="W89" s="289">
        <v>451</v>
      </c>
      <c r="X89" s="289">
        <v>374</v>
      </c>
      <c r="Y89" s="289">
        <v>1650</v>
      </c>
      <c r="Z89" s="289"/>
      <c r="AA89" s="289">
        <v>2020</v>
      </c>
      <c r="AB89" s="289">
        <v>21</v>
      </c>
      <c r="AC89" s="289">
        <v>3</v>
      </c>
      <c r="AD89" s="289">
        <v>1</v>
      </c>
      <c r="AE89" s="289">
        <v>0</v>
      </c>
      <c r="AF89" s="289">
        <v>0</v>
      </c>
      <c r="AG89" s="289">
        <v>25</v>
      </c>
      <c r="AI89" s="290" t="s">
        <v>425</v>
      </c>
      <c r="AJ89" s="290">
        <v>2019</v>
      </c>
      <c r="AK89" s="290">
        <v>56</v>
      </c>
      <c r="AL89" s="290">
        <v>102</v>
      </c>
      <c r="AM89" s="290">
        <v>156</v>
      </c>
      <c r="AN89" s="290">
        <v>182</v>
      </c>
      <c r="AO89" s="290">
        <v>139</v>
      </c>
      <c r="AP89" s="290">
        <v>635</v>
      </c>
      <c r="AQ89" s="290"/>
      <c r="AR89" s="290">
        <v>2019</v>
      </c>
      <c r="AS89" s="290">
        <v>8</v>
      </c>
      <c r="AT89" s="290">
        <v>6</v>
      </c>
      <c r="AU89" s="290">
        <v>1</v>
      </c>
      <c r="AV89" s="290">
        <v>2</v>
      </c>
      <c r="AW89" s="290">
        <v>0</v>
      </c>
      <c r="AX89" s="290">
        <v>17</v>
      </c>
      <c r="AZ89" s="300" t="s">
        <v>102</v>
      </c>
      <c r="BA89" s="300">
        <v>2019</v>
      </c>
      <c r="BB89" s="300">
        <v>235</v>
      </c>
      <c r="BC89" s="300">
        <v>198</v>
      </c>
      <c r="BD89" s="300">
        <v>325</v>
      </c>
      <c r="BE89" s="300">
        <v>387</v>
      </c>
      <c r="BF89" s="300">
        <v>311</v>
      </c>
      <c r="BG89" s="300">
        <v>1456</v>
      </c>
      <c r="BH89" s="300"/>
      <c r="BI89" s="300">
        <v>2019</v>
      </c>
      <c r="BJ89" s="300">
        <v>19</v>
      </c>
      <c r="BK89" s="300">
        <v>0</v>
      </c>
      <c r="BL89" s="300">
        <v>0</v>
      </c>
      <c r="BM89" s="300">
        <v>0</v>
      </c>
      <c r="BN89" s="300">
        <v>0</v>
      </c>
      <c r="BO89" s="300">
        <v>19</v>
      </c>
      <c r="EG89" s="237" t="s">
        <v>1098</v>
      </c>
      <c r="EH89" s="237">
        <v>2020</v>
      </c>
      <c r="EI89" s="237">
        <v>131</v>
      </c>
      <c r="EJ89" s="237">
        <v>260</v>
      </c>
      <c r="EK89" s="237">
        <v>293</v>
      </c>
      <c r="EL89" s="237">
        <v>387</v>
      </c>
      <c r="EM89" s="237">
        <v>421</v>
      </c>
      <c r="EN89" s="237">
        <v>1492</v>
      </c>
      <c r="EO89" s="237"/>
      <c r="EP89" s="237">
        <v>2020</v>
      </c>
      <c r="EQ89" s="237">
        <v>8</v>
      </c>
      <c r="ER89" s="237">
        <v>2</v>
      </c>
      <c r="ES89" s="237">
        <v>3</v>
      </c>
      <c r="ET89" s="237">
        <v>0</v>
      </c>
      <c r="EU89" s="237">
        <v>0</v>
      </c>
      <c r="EV89" s="237">
        <v>13</v>
      </c>
      <c r="EX89" s="309" t="s">
        <v>1222</v>
      </c>
      <c r="EY89" s="309">
        <v>2019</v>
      </c>
      <c r="EZ89" s="309">
        <v>238</v>
      </c>
      <c r="FA89" s="309">
        <v>359</v>
      </c>
      <c r="FB89" s="309">
        <v>455</v>
      </c>
      <c r="FC89" s="309">
        <v>554</v>
      </c>
      <c r="FD89" s="309">
        <v>713</v>
      </c>
      <c r="FE89" s="309">
        <v>2319</v>
      </c>
      <c r="FF89" s="309"/>
      <c r="FG89" s="309">
        <v>2019</v>
      </c>
      <c r="FH89" s="309">
        <v>24</v>
      </c>
      <c r="FI89" s="309">
        <v>4</v>
      </c>
      <c r="FJ89" s="309">
        <v>4</v>
      </c>
      <c r="FK89" s="309">
        <v>3</v>
      </c>
      <c r="FL89" s="309">
        <v>4</v>
      </c>
      <c r="FM89" s="309">
        <v>39</v>
      </c>
    </row>
    <row r="90" spans="1:169">
      <c r="A90" s="288" t="s">
        <v>724</v>
      </c>
      <c r="B90" s="288">
        <v>2019</v>
      </c>
      <c r="C90" s="288">
        <v>29</v>
      </c>
      <c r="D90" s="288">
        <v>11</v>
      </c>
      <c r="E90" s="288">
        <v>6</v>
      </c>
      <c r="F90" s="288">
        <v>0</v>
      </c>
      <c r="G90" s="288">
        <v>0</v>
      </c>
      <c r="H90" s="288">
        <v>46</v>
      </c>
      <c r="J90" s="288">
        <v>2019</v>
      </c>
      <c r="K90" s="288">
        <v>217</v>
      </c>
      <c r="L90" s="288">
        <v>390</v>
      </c>
      <c r="M90" s="288">
        <v>527</v>
      </c>
      <c r="N90" s="288">
        <v>561</v>
      </c>
      <c r="O90" s="288">
        <v>425</v>
      </c>
      <c r="P90" s="288">
        <v>2120</v>
      </c>
      <c r="R90" s="289" t="s">
        <v>917</v>
      </c>
      <c r="S90" s="289">
        <v>2020</v>
      </c>
      <c r="T90" s="289">
        <v>192</v>
      </c>
      <c r="U90" s="289">
        <v>371</v>
      </c>
      <c r="V90" s="289">
        <v>621</v>
      </c>
      <c r="W90" s="289">
        <v>713</v>
      </c>
      <c r="X90" s="289">
        <v>479</v>
      </c>
      <c r="Y90" s="289">
        <v>2376</v>
      </c>
      <c r="Z90" s="289"/>
      <c r="AA90" s="289">
        <v>2020</v>
      </c>
      <c r="AB90" s="289">
        <v>9</v>
      </c>
      <c r="AC90" s="289">
        <v>1</v>
      </c>
      <c r="AD90" s="289">
        <v>1</v>
      </c>
      <c r="AE90" s="289">
        <v>0</v>
      </c>
      <c r="AF90" s="289">
        <v>0</v>
      </c>
      <c r="AG90" s="289">
        <v>11</v>
      </c>
      <c r="AI90" s="290" t="s">
        <v>426</v>
      </c>
      <c r="AJ90" s="290">
        <v>2019</v>
      </c>
      <c r="AK90" s="290">
        <v>121</v>
      </c>
      <c r="AL90" s="290">
        <v>146</v>
      </c>
      <c r="AM90" s="290">
        <v>232</v>
      </c>
      <c r="AN90" s="290">
        <v>340</v>
      </c>
      <c r="AO90" s="290">
        <v>292</v>
      </c>
      <c r="AP90" s="290">
        <v>1131</v>
      </c>
      <c r="AQ90" s="290"/>
      <c r="AR90" s="290">
        <v>2019</v>
      </c>
      <c r="AS90" s="290">
        <v>50</v>
      </c>
      <c r="AT90" s="290">
        <v>0</v>
      </c>
      <c r="AU90" s="290">
        <v>2</v>
      </c>
      <c r="AV90" s="290">
        <v>0</v>
      </c>
      <c r="AW90" s="290">
        <v>2</v>
      </c>
      <c r="AX90" s="290">
        <v>54</v>
      </c>
      <c r="AZ90" s="300" t="s">
        <v>104</v>
      </c>
      <c r="BA90" s="300">
        <v>2019</v>
      </c>
      <c r="BB90" s="300">
        <v>118</v>
      </c>
      <c r="BC90" s="300">
        <v>157</v>
      </c>
      <c r="BD90" s="300">
        <v>280</v>
      </c>
      <c r="BE90" s="300">
        <v>322</v>
      </c>
      <c r="BF90" s="300">
        <v>270</v>
      </c>
      <c r="BG90" s="300">
        <v>1147</v>
      </c>
      <c r="BH90" s="300"/>
      <c r="BI90" s="300">
        <v>2019</v>
      </c>
      <c r="BJ90" s="300">
        <v>11</v>
      </c>
      <c r="BK90" s="300">
        <v>0</v>
      </c>
      <c r="BL90" s="300">
        <v>0</v>
      </c>
      <c r="BM90" s="300">
        <v>0</v>
      </c>
      <c r="BN90" s="300">
        <v>0</v>
      </c>
      <c r="BO90" s="300">
        <v>11</v>
      </c>
      <c r="CH90" s="237" t="s">
        <v>206</v>
      </c>
      <c r="CI90" s="237">
        <v>2020</v>
      </c>
      <c r="CJ90" s="237">
        <v>110</v>
      </c>
      <c r="CK90" s="237">
        <v>66</v>
      </c>
      <c r="CL90" s="237">
        <v>116</v>
      </c>
      <c r="CM90" s="237">
        <v>187</v>
      </c>
      <c r="CN90" s="237">
        <v>195</v>
      </c>
      <c r="CO90" s="237">
        <v>674</v>
      </c>
      <c r="CP90" s="237"/>
      <c r="CQ90" s="237">
        <v>2020</v>
      </c>
      <c r="CR90" s="237">
        <v>41</v>
      </c>
      <c r="CS90" s="237">
        <v>0</v>
      </c>
      <c r="CT90" s="237">
        <v>0</v>
      </c>
      <c r="CU90" s="237">
        <v>0</v>
      </c>
      <c r="CV90" s="237">
        <v>0</v>
      </c>
      <c r="CW90" s="237">
        <v>41</v>
      </c>
      <c r="EG90" s="237" t="s">
        <v>1101</v>
      </c>
      <c r="EH90" s="237">
        <v>2020</v>
      </c>
      <c r="EI90" s="237">
        <v>20</v>
      </c>
      <c r="EJ90" s="237">
        <v>52</v>
      </c>
      <c r="EK90" s="237">
        <v>82</v>
      </c>
      <c r="EL90" s="237">
        <v>139</v>
      </c>
      <c r="EM90" s="237">
        <v>162</v>
      </c>
      <c r="EN90" s="237">
        <v>455</v>
      </c>
      <c r="EO90" s="237"/>
      <c r="EP90" s="237">
        <v>2020</v>
      </c>
      <c r="EQ90" s="237">
        <v>1</v>
      </c>
      <c r="ER90" s="237">
        <v>5</v>
      </c>
      <c r="ES90" s="237">
        <v>0</v>
      </c>
      <c r="ET90" s="237">
        <v>1</v>
      </c>
      <c r="EU90" s="237">
        <v>0</v>
      </c>
      <c r="EV90" s="237">
        <v>7</v>
      </c>
      <c r="EX90" s="309" t="s">
        <v>1224</v>
      </c>
      <c r="EY90" s="309">
        <v>2019</v>
      </c>
      <c r="EZ90" s="309">
        <v>226</v>
      </c>
      <c r="FA90" s="309">
        <v>307</v>
      </c>
      <c r="FB90" s="309">
        <v>399</v>
      </c>
      <c r="FC90" s="309">
        <v>457</v>
      </c>
      <c r="FD90" s="309">
        <v>628</v>
      </c>
      <c r="FE90" s="309">
        <v>2017</v>
      </c>
      <c r="FF90" s="309"/>
      <c r="FG90" s="309">
        <v>2019</v>
      </c>
      <c r="FH90" s="309">
        <v>22</v>
      </c>
      <c r="FI90" s="309">
        <v>7</v>
      </c>
      <c r="FJ90" s="309">
        <v>1</v>
      </c>
      <c r="FK90" s="309">
        <v>2</v>
      </c>
      <c r="FL90" s="309">
        <v>7</v>
      </c>
      <c r="FM90" s="309">
        <v>39</v>
      </c>
    </row>
    <row r="91" spans="1:169">
      <c r="A91" s="288" t="s">
        <v>727</v>
      </c>
      <c r="B91" s="288">
        <v>2019</v>
      </c>
      <c r="C91" s="288">
        <v>80</v>
      </c>
      <c r="D91" s="288">
        <v>8</v>
      </c>
      <c r="E91" s="288">
        <v>2</v>
      </c>
      <c r="F91" s="288">
        <v>0</v>
      </c>
      <c r="G91" s="288">
        <v>1</v>
      </c>
      <c r="H91" s="288">
        <v>91</v>
      </c>
      <c r="J91" s="288">
        <v>2019</v>
      </c>
      <c r="K91" s="288">
        <v>540</v>
      </c>
      <c r="L91" s="288">
        <v>614</v>
      </c>
      <c r="M91" s="288">
        <v>637</v>
      </c>
      <c r="N91" s="288">
        <v>611</v>
      </c>
      <c r="O91" s="288">
        <v>400</v>
      </c>
      <c r="P91" s="288">
        <v>2802</v>
      </c>
      <c r="R91" s="289" t="s">
        <v>918</v>
      </c>
      <c r="S91" s="289">
        <v>2020</v>
      </c>
      <c r="T91" s="289">
        <v>203</v>
      </c>
      <c r="U91" s="289">
        <v>379</v>
      </c>
      <c r="V91" s="289">
        <v>557</v>
      </c>
      <c r="W91" s="289">
        <v>669</v>
      </c>
      <c r="X91" s="289">
        <v>454</v>
      </c>
      <c r="Y91" s="289">
        <v>2262</v>
      </c>
      <c r="Z91" s="289"/>
      <c r="AA91" s="289">
        <v>2020</v>
      </c>
      <c r="AB91" s="289">
        <v>9</v>
      </c>
      <c r="AC91" s="289">
        <v>1</v>
      </c>
      <c r="AD91" s="289">
        <v>0</v>
      </c>
      <c r="AE91" s="289">
        <v>0</v>
      </c>
      <c r="AF91" s="289">
        <v>0</v>
      </c>
      <c r="AG91" s="289">
        <v>10</v>
      </c>
      <c r="AI91" s="290" t="s">
        <v>427</v>
      </c>
      <c r="AJ91" s="290">
        <v>2019</v>
      </c>
      <c r="AK91" s="290">
        <v>188</v>
      </c>
      <c r="AL91" s="290">
        <v>314</v>
      </c>
      <c r="AM91" s="290">
        <v>511</v>
      </c>
      <c r="AN91" s="290">
        <v>698</v>
      </c>
      <c r="AO91" s="290">
        <v>503</v>
      </c>
      <c r="AP91" s="290">
        <v>2214</v>
      </c>
      <c r="AQ91" s="290"/>
      <c r="AR91" s="290">
        <v>2019</v>
      </c>
      <c r="AS91" s="290">
        <v>19</v>
      </c>
      <c r="AT91" s="290">
        <v>1</v>
      </c>
      <c r="AU91" s="290">
        <v>0</v>
      </c>
      <c r="AV91" s="290">
        <v>0</v>
      </c>
      <c r="AW91" s="290">
        <v>0</v>
      </c>
      <c r="AX91" s="290">
        <v>20</v>
      </c>
      <c r="AZ91" s="300" t="s">
        <v>106</v>
      </c>
      <c r="BA91" s="300">
        <v>2019</v>
      </c>
      <c r="BB91" s="300">
        <v>170</v>
      </c>
      <c r="BC91" s="300">
        <v>172</v>
      </c>
      <c r="BD91" s="300">
        <v>254</v>
      </c>
      <c r="BE91" s="300">
        <v>279</v>
      </c>
      <c r="BF91" s="300">
        <v>267</v>
      </c>
      <c r="BG91" s="300">
        <v>1142</v>
      </c>
      <c r="BH91" s="300"/>
      <c r="BI91" s="300">
        <v>2019</v>
      </c>
      <c r="BJ91" s="300">
        <v>18</v>
      </c>
      <c r="BK91" s="300">
        <v>0</v>
      </c>
      <c r="BL91" s="300">
        <v>0</v>
      </c>
      <c r="BM91" s="300">
        <v>0</v>
      </c>
      <c r="BN91" s="300">
        <v>0</v>
      </c>
      <c r="BO91" s="300">
        <v>18</v>
      </c>
      <c r="CH91" s="237" t="s">
        <v>208</v>
      </c>
      <c r="CI91" s="237">
        <v>2020</v>
      </c>
      <c r="CJ91" s="237">
        <v>86</v>
      </c>
      <c r="CK91" s="237">
        <v>58</v>
      </c>
      <c r="CL91" s="237">
        <v>137</v>
      </c>
      <c r="CM91" s="237">
        <v>211</v>
      </c>
      <c r="CN91" s="237">
        <v>209</v>
      </c>
      <c r="CO91" s="237">
        <v>701</v>
      </c>
      <c r="CP91" s="237"/>
      <c r="CQ91" s="237">
        <v>2020</v>
      </c>
      <c r="CR91" s="237">
        <v>47</v>
      </c>
      <c r="CS91" s="237">
        <v>0</v>
      </c>
      <c r="CT91" s="237">
        <v>0</v>
      </c>
      <c r="CU91" s="237">
        <v>0</v>
      </c>
      <c r="CV91" s="237">
        <v>0</v>
      </c>
      <c r="CW91" s="237">
        <v>47</v>
      </c>
      <c r="EG91" s="237" t="s">
        <v>1104</v>
      </c>
      <c r="EH91" s="237">
        <v>2020</v>
      </c>
      <c r="EI91" s="237">
        <v>54</v>
      </c>
      <c r="EJ91" s="237">
        <v>118</v>
      </c>
      <c r="EK91" s="237">
        <v>178</v>
      </c>
      <c r="EL91" s="237">
        <v>255</v>
      </c>
      <c r="EM91" s="237">
        <v>313</v>
      </c>
      <c r="EN91" s="237">
        <v>918</v>
      </c>
      <c r="EO91" s="237"/>
      <c r="EP91" s="237">
        <v>2020</v>
      </c>
      <c r="EQ91" s="237">
        <v>4</v>
      </c>
      <c r="ER91" s="237">
        <v>4</v>
      </c>
      <c r="ES91" s="237">
        <v>2</v>
      </c>
      <c r="ET91" s="237">
        <v>3</v>
      </c>
      <c r="EU91" s="237">
        <v>1</v>
      </c>
      <c r="EV91" s="237">
        <v>14</v>
      </c>
      <c r="EX91" s="309" t="s">
        <v>1967</v>
      </c>
      <c r="EY91" s="309">
        <v>2019</v>
      </c>
      <c r="EZ91" s="309" t="s">
        <v>792</v>
      </c>
      <c r="FA91" s="309" t="s">
        <v>792</v>
      </c>
      <c r="FB91" s="309" t="s">
        <v>792</v>
      </c>
      <c r="FC91" s="309" t="s">
        <v>792</v>
      </c>
      <c r="FD91" s="309" t="s">
        <v>792</v>
      </c>
      <c r="FE91" s="309" t="s">
        <v>792</v>
      </c>
      <c r="FF91" s="309"/>
      <c r="FG91" s="309">
        <v>2019</v>
      </c>
      <c r="FH91" s="309" t="s">
        <v>792</v>
      </c>
      <c r="FI91" s="309" t="s">
        <v>792</v>
      </c>
      <c r="FJ91" s="309" t="s">
        <v>792</v>
      </c>
      <c r="FK91" s="309" t="s">
        <v>792</v>
      </c>
      <c r="FL91" s="309" t="s">
        <v>792</v>
      </c>
      <c r="FM91" s="309" t="s">
        <v>792</v>
      </c>
    </row>
    <row r="92" spans="1:169">
      <c r="A92" s="288" t="s">
        <v>730</v>
      </c>
      <c r="B92" s="288">
        <v>2019</v>
      </c>
      <c r="C92" s="288">
        <v>123</v>
      </c>
      <c r="D92" s="288">
        <v>8</v>
      </c>
      <c r="E92" s="288">
        <v>5</v>
      </c>
      <c r="F92" s="288">
        <v>4</v>
      </c>
      <c r="G92" s="288">
        <v>1</v>
      </c>
      <c r="H92" s="288">
        <v>141</v>
      </c>
      <c r="J92" s="288">
        <v>2019</v>
      </c>
      <c r="K92" s="288">
        <v>687</v>
      </c>
      <c r="L92" s="288">
        <v>585</v>
      </c>
      <c r="M92" s="288">
        <v>711</v>
      </c>
      <c r="N92" s="288">
        <v>740</v>
      </c>
      <c r="O92" s="288">
        <v>484</v>
      </c>
      <c r="P92" s="288">
        <v>3207</v>
      </c>
      <c r="R92" s="289" t="s">
        <v>919</v>
      </c>
      <c r="S92" s="289">
        <v>2020</v>
      </c>
      <c r="T92" s="289">
        <v>725</v>
      </c>
      <c r="U92" s="289">
        <v>409</v>
      </c>
      <c r="V92" s="289">
        <v>418</v>
      </c>
      <c r="W92" s="289">
        <v>394</v>
      </c>
      <c r="X92" s="289">
        <v>236</v>
      </c>
      <c r="Y92" s="289">
        <v>2182</v>
      </c>
      <c r="Z92" s="289"/>
      <c r="AA92" s="289">
        <v>2020</v>
      </c>
      <c r="AB92" s="289">
        <v>49</v>
      </c>
      <c r="AC92" s="289">
        <v>0</v>
      </c>
      <c r="AD92" s="289">
        <v>0</v>
      </c>
      <c r="AE92" s="289">
        <v>0</v>
      </c>
      <c r="AF92" s="289">
        <v>0</v>
      </c>
      <c r="AG92" s="289">
        <v>49</v>
      </c>
      <c r="AI92" s="290" t="s">
        <v>428</v>
      </c>
      <c r="AJ92" s="290">
        <v>2019</v>
      </c>
      <c r="AK92" s="290">
        <v>144</v>
      </c>
      <c r="AL92" s="290">
        <v>174</v>
      </c>
      <c r="AM92" s="290">
        <v>232</v>
      </c>
      <c r="AN92" s="290">
        <v>305</v>
      </c>
      <c r="AO92" s="290">
        <v>218</v>
      </c>
      <c r="AP92" s="290">
        <v>1073</v>
      </c>
      <c r="AQ92" s="290"/>
      <c r="AR92" s="290">
        <v>2019</v>
      </c>
      <c r="AS92" s="290">
        <v>20</v>
      </c>
      <c r="AT92" s="290">
        <v>0</v>
      </c>
      <c r="AU92" s="290">
        <v>0</v>
      </c>
      <c r="AV92" s="290">
        <v>0</v>
      </c>
      <c r="AW92" s="290">
        <v>0</v>
      </c>
      <c r="AX92" s="290">
        <v>20</v>
      </c>
      <c r="AZ92" s="300" t="s">
        <v>186</v>
      </c>
      <c r="BA92" s="300">
        <v>2019</v>
      </c>
      <c r="BB92" s="300">
        <v>475</v>
      </c>
      <c r="BC92" s="300">
        <v>567</v>
      </c>
      <c r="BD92" s="300">
        <v>730</v>
      </c>
      <c r="BE92" s="300">
        <v>858</v>
      </c>
      <c r="BF92" s="300">
        <v>697</v>
      </c>
      <c r="BG92" s="300">
        <v>3327</v>
      </c>
      <c r="BH92" s="300"/>
      <c r="BI92" s="300">
        <v>2019</v>
      </c>
      <c r="BJ92" s="300">
        <v>21</v>
      </c>
      <c r="BK92" s="300">
        <v>0</v>
      </c>
      <c r="BL92" s="300">
        <v>0</v>
      </c>
      <c r="BM92" s="300">
        <v>0</v>
      </c>
      <c r="BN92" s="300">
        <v>0</v>
      </c>
      <c r="BO92" s="300">
        <v>21</v>
      </c>
      <c r="CH92" s="237" t="s">
        <v>210</v>
      </c>
      <c r="CI92" s="237">
        <v>2020</v>
      </c>
      <c r="CJ92" s="237">
        <v>45</v>
      </c>
      <c r="CK92" s="237">
        <v>33</v>
      </c>
      <c r="CL92" s="237">
        <v>57</v>
      </c>
      <c r="CM92" s="237">
        <v>128</v>
      </c>
      <c r="CN92" s="237">
        <v>141</v>
      </c>
      <c r="CO92" s="237">
        <v>404</v>
      </c>
      <c r="CP92" s="237"/>
      <c r="CQ92" s="237">
        <v>2020</v>
      </c>
      <c r="CR92" s="237">
        <v>7</v>
      </c>
      <c r="CS92" s="237">
        <v>0</v>
      </c>
      <c r="CT92" s="237">
        <v>0</v>
      </c>
      <c r="CU92" s="237">
        <v>0</v>
      </c>
      <c r="CV92" s="237">
        <v>0</v>
      </c>
      <c r="CW92" s="237">
        <v>7</v>
      </c>
      <c r="EG92" s="237" t="s">
        <v>1107</v>
      </c>
      <c r="EH92" s="237">
        <v>2020</v>
      </c>
      <c r="EI92" s="237">
        <v>28</v>
      </c>
      <c r="EJ92" s="237">
        <v>86</v>
      </c>
      <c r="EK92" s="237">
        <v>159</v>
      </c>
      <c r="EL92" s="237">
        <v>174</v>
      </c>
      <c r="EM92" s="237">
        <v>197</v>
      </c>
      <c r="EN92" s="237">
        <v>644</v>
      </c>
      <c r="EO92" s="237"/>
      <c r="EP92" s="237">
        <v>2020</v>
      </c>
      <c r="EQ92" s="237">
        <v>2</v>
      </c>
      <c r="ER92" s="237">
        <v>2</v>
      </c>
      <c r="ES92" s="237">
        <v>1</v>
      </c>
      <c r="ET92" s="237">
        <v>3</v>
      </c>
      <c r="EU92" s="237">
        <v>1</v>
      </c>
      <c r="EV92" s="237">
        <v>9</v>
      </c>
      <c r="EX92" s="309" t="s">
        <v>1970</v>
      </c>
      <c r="EY92" s="309">
        <v>2019</v>
      </c>
      <c r="EZ92" s="309" t="s">
        <v>792</v>
      </c>
      <c r="FA92" s="309" t="s">
        <v>792</v>
      </c>
      <c r="FB92" s="309" t="s">
        <v>792</v>
      </c>
      <c r="FC92" s="309" t="s">
        <v>792</v>
      </c>
      <c r="FD92" s="309" t="s">
        <v>792</v>
      </c>
      <c r="FE92" s="309" t="s">
        <v>792</v>
      </c>
      <c r="FF92" s="309"/>
      <c r="FG92" s="309">
        <v>2019</v>
      </c>
      <c r="FH92" s="309" t="s">
        <v>792</v>
      </c>
      <c r="FI92" s="309" t="s">
        <v>792</v>
      </c>
      <c r="FJ92" s="309" t="s">
        <v>792</v>
      </c>
      <c r="FK92" s="309" t="s">
        <v>792</v>
      </c>
      <c r="FL92" s="309" t="s">
        <v>792</v>
      </c>
      <c r="FM92" s="309" t="s">
        <v>792</v>
      </c>
    </row>
    <row r="93" spans="1:169">
      <c r="A93" s="288" t="s">
        <v>733</v>
      </c>
      <c r="B93" s="288">
        <v>2019</v>
      </c>
      <c r="C93" s="288">
        <v>26</v>
      </c>
      <c r="D93" s="288">
        <v>4</v>
      </c>
      <c r="E93" s="288">
        <v>3</v>
      </c>
      <c r="F93" s="288">
        <v>2</v>
      </c>
      <c r="G93" s="288">
        <v>0</v>
      </c>
      <c r="H93" s="288">
        <v>35</v>
      </c>
      <c r="J93" s="288">
        <v>2019</v>
      </c>
      <c r="K93" s="288">
        <v>182</v>
      </c>
      <c r="L93" s="288">
        <v>274</v>
      </c>
      <c r="M93" s="288">
        <v>339</v>
      </c>
      <c r="N93" s="288">
        <v>424</v>
      </c>
      <c r="O93" s="288">
        <v>327</v>
      </c>
      <c r="P93" s="288">
        <v>1546</v>
      </c>
      <c r="R93" s="289" t="s">
        <v>920</v>
      </c>
      <c r="S93" s="289">
        <v>2020</v>
      </c>
      <c r="T93" s="289">
        <v>611</v>
      </c>
      <c r="U93" s="289">
        <v>601</v>
      </c>
      <c r="V93" s="289">
        <v>536</v>
      </c>
      <c r="W93" s="289">
        <v>650</v>
      </c>
      <c r="X93" s="289">
        <v>528</v>
      </c>
      <c r="Y93" s="289">
        <v>2926</v>
      </c>
      <c r="Z93" s="289"/>
      <c r="AA93" s="289">
        <v>2020</v>
      </c>
      <c r="AB93" s="289">
        <v>13</v>
      </c>
      <c r="AC93" s="289">
        <v>2</v>
      </c>
      <c r="AD93" s="289">
        <v>1</v>
      </c>
      <c r="AE93" s="289">
        <v>0</v>
      </c>
      <c r="AF93" s="289">
        <v>0</v>
      </c>
      <c r="AG93" s="289">
        <v>16</v>
      </c>
      <c r="AI93" s="290" t="s">
        <v>429</v>
      </c>
      <c r="AJ93" s="290">
        <v>2019</v>
      </c>
      <c r="AK93" s="290" t="s">
        <v>360</v>
      </c>
      <c r="AL93" s="290" t="s">
        <v>360</v>
      </c>
      <c r="AM93" s="290" t="s">
        <v>360</v>
      </c>
      <c r="AN93" s="290" t="s">
        <v>360</v>
      </c>
      <c r="AO93" s="290" t="s">
        <v>360</v>
      </c>
      <c r="AP93" s="290" t="s">
        <v>360</v>
      </c>
      <c r="AQ93" s="290"/>
      <c r="AR93" s="290">
        <v>2019</v>
      </c>
      <c r="AS93" s="290" t="s">
        <v>360</v>
      </c>
      <c r="AT93" s="290" t="s">
        <v>360</v>
      </c>
      <c r="AU93" s="290" t="s">
        <v>360</v>
      </c>
      <c r="AV93" s="290" t="s">
        <v>360</v>
      </c>
      <c r="AW93" s="290" t="s">
        <v>360</v>
      </c>
      <c r="AX93" s="290" t="s">
        <v>360</v>
      </c>
      <c r="AZ93" s="300" t="s">
        <v>108</v>
      </c>
      <c r="BA93" s="300">
        <v>2019</v>
      </c>
      <c r="BB93" s="300">
        <v>2232</v>
      </c>
      <c r="BC93" s="300">
        <v>1409</v>
      </c>
      <c r="BD93" s="300">
        <v>1366</v>
      </c>
      <c r="BE93" s="300">
        <v>1237</v>
      </c>
      <c r="BF93" s="300">
        <v>855</v>
      </c>
      <c r="BG93" s="300">
        <v>7099</v>
      </c>
      <c r="BH93" s="300"/>
      <c r="BI93" s="300">
        <v>2019</v>
      </c>
      <c r="BJ93" s="300">
        <v>217</v>
      </c>
      <c r="BK93" s="300">
        <v>7</v>
      </c>
      <c r="BL93" s="300">
        <v>1</v>
      </c>
      <c r="BM93" s="300">
        <v>0</v>
      </c>
      <c r="BN93" s="300">
        <v>0</v>
      </c>
      <c r="BO93" s="300">
        <v>225</v>
      </c>
      <c r="CH93" s="237" t="s">
        <v>212</v>
      </c>
      <c r="CI93" s="237">
        <v>2020</v>
      </c>
      <c r="CJ93" s="237">
        <v>83</v>
      </c>
      <c r="CK93" s="237">
        <v>63</v>
      </c>
      <c r="CL93" s="237">
        <v>146</v>
      </c>
      <c r="CM93" s="237">
        <v>225</v>
      </c>
      <c r="CN93" s="237">
        <v>259</v>
      </c>
      <c r="CO93" s="237">
        <v>776</v>
      </c>
      <c r="CP93" s="237"/>
      <c r="CQ93" s="237">
        <v>2020</v>
      </c>
      <c r="CR93" s="237">
        <v>22</v>
      </c>
      <c r="CS93" s="237">
        <v>0</v>
      </c>
      <c r="CT93" s="237">
        <v>0</v>
      </c>
      <c r="CU93" s="237">
        <v>0</v>
      </c>
      <c r="CV93" s="237">
        <v>0</v>
      </c>
      <c r="CW93" s="237">
        <v>22</v>
      </c>
      <c r="EG93" s="237" t="s">
        <v>1110</v>
      </c>
      <c r="EH93" s="237">
        <v>2020</v>
      </c>
      <c r="EI93" s="237">
        <v>191</v>
      </c>
      <c r="EJ93" s="237">
        <v>373</v>
      </c>
      <c r="EK93" s="237">
        <v>502</v>
      </c>
      <c r="EL93" s="237">
        <v>614</v>
      </c>
      <c r="EM93" s="237">
        <v>645</v>
      </c>
      <c r="EN93" s="237">
        <v>2325</v>
      </c>
      <c r="EO93" s="237"/>
      <c r="EP93" s="237">
        <v>2020</v>
      </c>
      <c r="EQ93" s="237">
        <v>35</v>
      </c>
      <c r="ER93" s="237">
        <v>14</v>
      </c>
      <c r="ES93" s="237">
        <v>6</v>
      </c>
      <c r="ET93" s="237">
        <v>5</v>
      </c>
      <c r="EU93" s="237">
        <v>3</v>
      </c>
      <c r="EV93" s="237">
        <v>63</v>
      </c>
    </row>
    <row r="94" spans="1:169">
      <c r="A94" s="288" t="s">
        <v>736</v>
      </c>
      <c r="B94" s="288">
        <v>2019</v>
      </c>
      <c r="C94" s="288">
        <v>43</v>
      </c>
      <c r="D94" s="288">
        <v>7</v>
      </c>
      <c r="E94" s="288">
        <v>3</v>
      </c>
      <c r="F94" s="288">
        <v>5</v>
      </c>
      <c r="G94" s="288">
        <v>3</v>
      </c>
      <c r="H94" s="288">
        <v>61</v>
      </c>
      <c r="J94" s="288">
        <v>2019</v>
      </c>
      <c r="K94" s="288">
        <v>208</v>
      </c>
      <c r="L94" s="288">
        <v>346</v>
      </c>
      <c r="M94" s="288">
        <v>507</v>
      </c>
      <c r="N94" s="288">
        <v>656</v>
      </c>
      <c r="O94" s="288">
        <v>524</v>
      </c>
      <c r="P94" s="288">
        <v>2241</v>
      </c>
      <c r="AI94" s="290" t="s">
        <v>430</v>
      </c>
      <c r="AJ94" s="290">
        <v>2019</v>
      </c>
      <c r="AK94" s="290">
        <v>834</v>
      </c>
      <c r="AL94" s="290">
        <v>690</v>
      </c>
      <c r="AM94" s="290">
        <v>1069</v>
      </c>
      <c r="AN94" s="290">
        <v>1291</v>
      </c>
      <c r="AO94" s="290">
        <v>863</v>
      </c>
      <c r="AP94" s="290">
        <v>4747</v>
      </c>
      <c r="AQ94" s="290"/>
      <c r="AR94" s="290">
        <v>2019</v>
      </c>
      <c r="AS94" s="290">
        <v>34</v>
      </c>
      <c r="AT94" s="290">
        <v>0</v>
      </c>
      <c r="AU94" s="290">
        <v>0</v>
      </c>
      <c r="AV94" s="290">
        <v>0</v>
      </c>
      <c r="AW94" s="290">
        <v>0</v>
      </c>
      <c r="AX94" s="290">
        <v>34</v>
      </c>
      <c r="AZ94" s="300" t="s">
        <v>159</v>
      </c>
      <c r="BA94" s="300">
        <v>2019</v>
      </c>
      <c r="BB94" s="300">
        <v>204</v>
      </c>
      <c r="BC94" s="300">
        <v>120</v>
      </c>
      <c r="BD94" s="300">
        <v>197</v>
      </c>
      <c r="BE94" s="300">
        <v>286</v>
      </c>
      <c r="BF94" s="300">
        <v>240</v>
      </c>
      <c r="BG94" s="300">
        <v>1047</v>
      </c>
      <c r="BH94" s="300"/>
      <c r="BI94" s="300">
        <v>2019</v>
      </c>
      <c r="BJ94" s="300">
        <v>27</v>
      </c>
      <c r="BK94" s="300">
        <v>0</v>
      </c>
      <c r="BL94" s="300">
        <v>0</v>
      </c>
      <c r="BM94" s="300">
        <v>0</v>
      </c>
      <c r="BN94" s="300">
        <v>0</v>
      </c>
      <c r="BO94" s="300">
        <v>27</v>
      </c>
      <c r="CH94" s="237" t="s">
        <v>214</v>
      </c>
      <c r="CI94" s="237">
        <v>2020</v>
      </c>
      <c r="CJ94" s="237">
        <v>1091</v>
      </c>
      <c r="CK94" s="237">
        <v>464</v>
      </c>
      <c r="CL94" s="237">
        <v>590</v>
      </c>
      <c r="CM94" s="237">
        <v>739</v>
      </c>
      <c r="CN94" s="237">
        <v>633</v>
      </c>
      <c r="CO94" s="237">
        <v>3517</v>
      </c>
      <c r="CP94" s="237"/>
      <c r="CQ94" s="237">
        <v>2020</v>
      </c>
      <c r="CR94" s="237">
        <v>311</v>
      </c>
      <c r="CS94" s="237">
        <v>0</v>
      </c>
      <c r="CT94" s="237">
        <v>0</v>
      </c>
      <c r="CU94" s="237">
        <v>0</v>
      </c>
      <c r="CV94" s="237">
        <v>0</v>
      </c>
      <c r="CW94" s="237">
        <v>311</v>
      </c>
      <c r="EG94" s="237" t="s">
        <v>1113</v>
      </c>
      <c r="EH94" s="237">
        <v>2020</v>
      </c>
      <c r="EI94" s="237">
        <v>690</v>
      </c>
      <c r="EJ94" s="237">
        <v>765</v>
      </c>
      <c r="EK94" s="237">
        <v>897</v>
      </c>
      <c r="EL94" s="237">
        <v>908</v>
      </c>
      <c r="EM94" s="237">
        <v>988</v>
      </c>
      <c r="EN94" s="237">
        <v>4248</v>
      </c>
      <c r="EO94" s="237"/>
      <c r="EP94" s="237">
        <v>2020</v>
      </c>
      <c r="EQ94" s="237">
        <v>82</v>
      </c>
      <c r="ER94" s="237">
        <v>21</v>
      </c>
      <c r="ES94" s="237">
        <v>10</v>
      </c>
      <c r="ET94" s="237">
        <v>9</v>
      </c>
      <c r="EU94" s="237">
        <v>16</v>
      </c>
      <c r="EV94" s="237">
        <v>138</v>
      </c>
      <c r="EX94" s="309" t="s">
        <v>1164</v>
      </c>
      <c r="EY94" s="309">
        <v>2020</v>
      </c>
      <c r="EZ94" s="309">
        <v>2334</v>
      </c>
      <c r="FA94" s="309">
        <v>1213</v>
      </c>
      <c r="FB94" s="309">
        <v>815</v>
      </c>
      <c r="FC94" s="309">
        <v>656</v>
      </c>
      <c r="FD94" s="309">
        <v>794</v>
      </c>
      <c r="FE94" s="309">
        <v>5812</v>
      </c>
      <c r="FF94" s="309"/>
      <c r="FG94" s="309">
        <v>2020</v>
      </c>
      <c r="FH94" s="309">
        <v>490</v>
      </c>
      <c r="FI94" s="309">
        <v>0</v>
      </c>
      <c r="FJ94" s="309">
        <v>0</v>
      </c>
      <c r="FK94" s="309">
        <v>0</v>
      </c>
      <c r="FL94" s="309">
        <v>0</v>
      </c>
      <c r="FM94" s="309">
        <v>490</v>
      </c>
    </row>
    <row r="95" spans="1:169">
      <c r="A95" s="288" t="s">
        <v>739</v>
      </c>
      <c r="B95" s="288">
        <v>2019</v>
      </c>
      <c r="C95" s="288">
        <v>23</v>
      </c>
      <c r="D95" s="288">
        <v>4</v>
      </c>
      <c r="E95" s="288">
        <v>5</v>
      </c>
      <c r="F95" s="288">
        <v>1</v>
      </c>
      <c r="G95" s="288">
        <v>2</v>
      </c>
      <c r="H95" s="288">
        <v>35</v>
      </c>
      <c r="J95" s="288">
        <v>2019</v>
      </c>
      <c r="K95" s="288">
        <v>137</v>
      </c>
      <c r="L95" s="288">
        <v>232</v>
      </c>
      <c r="M95" s="288">
        <v>314</v>
      </c>
      <c r="N95" s="288">
        <v>433</v>
      </c>
      <c r="O95" s="288">
        <v>345</v>
      </c>
      <c r="P95" s="288">
        <v>1461</v>
      </c>
      <c r="AI95" s="290" t="s">
        <v>431</v>
      </c>
      <c r="AJ95" s="290">
        <v>2019</v>
      </c>
      <c r="AK95" s="290" t="s">
        <v>360</v>
      </c>
      <c r="AL95" s="290" t="s">
        <v>360</v>
      </c>
      <c r="AM95" s="290" t="s">
        <v>360</v>
      </c>
      <c r="AN95" s="290" t="s">
        <v>360</v>
      </c>
      <c r="AO95" s="290" t="s">
        <v>360</v>
      </c>
      <c r="AP95" s="290" t="s">
        <v>360</v>
      </c>
      <c r="AQ95" s="290"/>
      <c r="AR95" s="290">
        <v>2019</v>
      </c>
      <c r="AS95" s="290" t="s">
        <v>360</v>
      </c>
      <c r="AT95" s="290" t="s">
        <v>360</v>
      </c>
      <c r="AU95" s="290" t="s">
        <v>360</v>
      </c>
      <c r="AV95" s="290" t="s">
        <v>360</v>
      </c>
      <c r="AW95" s="290" t="s">
        <v>360</v>
      </c>
      <c r="AX95" s="290" t="s">
        <v>360</v>
      </c>
      <c r="AZ95" s="300" t="s">
        <v>161</v>
      </c>
      <c r="BA95" s="300">
        <v>2019</v>
      </c>
      <c r="BB95" s="300">
        <v>471</v>
      </c>
      <c r="BC95" s="300">
        <v>643</v>
      </c>
      <c r="BD95" s="300">
        <v>815</v>
      </c>
      <c r="BE95" s="300">
        <v>846</v>
      </c>
      <c r="BF95" s="300">
        <v>531</v>
      </c>
      <c r="BG95" s="300">
        <v>3306</v>
      </c>
      <c r="BH95" s="300"/>
      <c r="BI95" s="300">
        <v>2019</v>
      </c>
      <c r="BJ95" s="300">
        <v>26</v>
      </c>
      <c r="BK95" s="300">
        <v>0</v>
      </c>
      <c r="BL95" s="300">
        <v>0</v>
      </c>
      <c r="BM95" s="300">
        <v>0</v>
      </c>
      <c r="BN95" s="300">
        <v>0</v>
      </c>
      <c r="BO95" s="300">
        <v>26</v>
      </c>
      <c r="CH95" s="237" t="s">
        <v>257</v>
      </c>
      <c r="CI95" s="237">
        <v>2020</v>
      </c>
      <c r="CJ95" s="237">
        <v>361</v>
      </c>
      <c r="CK95" s="237">
        <v>218</v>
      </c>
      <c r="CL95" s="237">
        <v>341</v>
      </c>
      <c r="CM95" s="237">
        <v>443</v>
      </c>
      <c r="CN95" s="237">
        <v>381</v>
      </c>
      <c r="CO95" s="237">
        <v>1744</v>
      </c>
      <c r="CP95" s="237"/>
      <c r="CQ95" s="237">
        <v>2020</v>
      </c>
      <c r="CR95" s="237">
        <v>121</v>
      </c>
      <c r="CS95" s="237">
        <v>0</v>
      </c>
      <c r="CT95" s="237">
        <v>0</v>
      </c>
      <c r="CU95" s="237">
        <v>0</v>
      </c>
      <c r="CV95" s="237">
        <v>0</v>
      </c>
      <c r="CW95" s="237">
        <v>121</v>
      </c>
      <c r="EG95" s="237" t="s">
        <v>1116</v>
      </c>
      <c r="EH95" s="237">
        <v>2020</v>
      </c>
      <c r="EI95" s="237">
        <v>260</v>
      </c>
      <c r="EJ95" s="237">
        <v>376</v>
      </c>
      <c r="EK95" s="237">
        <v>370</v>
      </c>
      <c r="EL95" s="237">
        <v>463</v>
      </c>
      <c r="EM95" s="237">
        <v>463</v>
      </c>
      <c r="EN95" s="237">
        <v>1932</v>
      </c>
      <c r="EO95" s="237"/>
      <c r="EP95" s="237">
        <v>2020</v>
      </c>
      <c r="EQ95" s="237">
        <v>9</v>
      </c>
      <c r="ER95" s="237">
        <v>9</v>
      </c>
      <c r="ES95" s="237">
        <v>5</v>
      </c>
      <c r="ET95" s="237">
        <v>4</v>
      </c>
      <c r="EU95" s="237">
        <v>9</v>
      </c>
      <c r="EV95" s="237">
        <v>36</v>
      </c>
      <c r="EX95" s="309" t="s">
        <v>1165</v>
      </c>
      <c r="EY95" s="309">
        <v>2020</v>
      </c>
      <c r="EZ95" s="309">
        <v>191</v>
      </c>
      <c r="FA95" s="309">
        <v>231</v>
      </c>
      <c r="FB95" s="309">
        <v>302</v>
      </c>
      <c r="FC95" s="309">
        <v>344</v>
      </c>
      <c r="FD95" s="309">
        <v>438</v>
      </c>
      <c r="FE95" s="309">
        <v>1506</v>
      </c>
      <c r="FF95" s="309"/>
      <c r="FG95" s="309">
        <v>2020</v>
      </c>
      <c r="FH95" s="309">
        <v>18</v>
      </c>
      <c r="FI95" s="309">
        <v>7</v>
      </c>
      <c r="FJ95" s="309">
        <v>8</v>
      </c>
      <c r="FK95" s="309">
        <v>2</v>
      </c>
      <c r="FL95" s="309">
        <v>4</v>
      </c>
      <c r="FM95" s="309">
        <v>39</v>
      </c>
    </row>
    <row r="96" spans="1:169">
      <c r="A96" s="288" t="s">
        <v>740</v>
      </c>
      <c r="B96" s="288">
        <v>2019</v>
      </c>
      <c r="C96" s="288">
        <v>29</v>
      </c>
      <c r="D96" s="288">
        <v>3</v>
      </c>
      <c r="E96" s="288">
        <v>2</v>
      </c>
      <c r="F96" s="288">
        <v>0</v>
      </c>
      <c r="G96" s="288">
        <v>0</v>
      </c>
      <c r="H96" s="288">
        <v>34</v>
      </c>
      <c r="J96" s="288">
        <v>2019</v>
      </c>
      <c r="K96" s="288">
        <v>208</v>
      </c>
      <c r="L96" s="288">
        <v>195</v>
      </c>
      <c r="M96" s="288">
        <v>300</v>
      </c>
      <c r="N96" s="288">
        <v>370</v>
      </c>
      <c r="O96" s="288">
        <v>328</v>
      </c>
      <c r="P96" s="288">
        <v>1401</v>
      </c>
      <c r="AI96" s="290" t="s">
        <v>1676</v>
      </c>
      <c r="AJ96" s="290">
        <v>2019</v>
      </c>
      <c r="AK96" s="290" t="s">
        <v>360</v>
      </c>
      <c r="AL96" s="290" t="s">
        <v>360</v>
      </c>
      <c r="AM96" s="290" t="s">
        <v>360</v>
      </c>
      <c r="AN96" s="290" t="s">
        <v>360</v>
      </c>
      <c r="AO96" s="290" t="s">
        <v>360</v>
      </c>
      <c r="AP96" s="290" t="s">
        <v>360</v>
      </c>
      <c r="AQ96" s="290"/>
      <c r="AR96" s="290">
        <v>2019</v>
      </c>
      <c r="AS96" s="290" t="s">
        <v>360</v>
      </c>
      <c r="AT96" s="290" t="s">
        <v>360</v>
      </c>
      <c r="AU96" s="290" t="s">
        <v>360</v>
      </c>
      <c r="AV96" s="290" t="s">
        <v>360</v>
      </c>
      <c r="AW96" s="290" t="s">
        <v>360</v>
      </c>
      <c r="AX96" s="290" t="s">
        <v>360</v>
      </c>
      <c r="AZ96" s="300" t="s">
        <v>163</v>
      </c>
      <c r="BA96" s="300">
        <v>2019</v>
      </c>
      <c r="BB96" s="300">
        <v>182</v>
      </c>
      <c r="BC96" s="300">
        <v>204</v>
      </c>
      <c r="BD96" s="300">
        <v>425</v>
      </c>
      <c r="BE96" s="300">
        <v>597</v>
      </c>
      <c r="BF96" s="300">
        <v>460</v>
      </c>
      <c r="BG96" s="300">
        <v>1868</v>
      </c>
      <c r="BH96" s="300"/>
      <c r="BI96" s="300">
        <v>2019</v>
      </c>
      <c r="BJ96" s="300">
        <v>28</v>
      </c>
      <c r="BK96" s="300">
        <v>0</v>
      </c>
      <c r="BL96" s="300">
        <v>0</v>
      </c>
      <c r="BM96" s="300">
        <v>0</v>
      </c>
      <c r="BN96" s="300">
        <v>0</v>
      </c>
      <c r="BO96" s="300">
        <v>28</v>
      </c>
      <c r="CH96" s="237" t="s">
        <v>259</v>
      </c>
      <c r="CI96" s="237">
        <v>2020</v>
      </c>
      <c r="CJ96" s="237">
        <v>435</v>
      </c>
      <c r="CK96" s="237">
        <v>247</v>
      </c>
      <c r="CL96" s="237">
        <v>360</v>
      </c>
      <c r="CM96" s="237">
        <v>473</v>
      </c>
      <c r="CN96" s="237">
        <v>458</v>
      </c>
      <c r="CO96" s="237">
        <v>1973</v>
      </c>
      <c r="CP96" s="237"/>
      <c r="CQ96" s="237">
        <v>2020</v>
      </c>
      <c r="CR96" s="237">
        <v>157</v>
      </c>
      <c r="CS96" s="237">
        <v>0</v>
      </c>
      <c r="CT96" s="237">
        <v>0</v>
      </c>
      <c r="CU96" s="237">
        <v>0</v>
      </c>
      <c r="CV96" s="237">
        <v>0</v>
      </c>
      <c r="CW96" s="237">
        <v>157</v>
      </c>
      <c r="EG96" s="237" t="s">
        <v>1119</v>
      </c>
      <c r="EH96" s="237">
        <v>2020</v>
      </c>
      <c r="EI96" s="237">
        <v>116</v>
      </c>
      <c r="EJ96" s="237">
        <v>139</v>
      </c>
      <c r="EK96" s="237">
        <v>137</v>
      </c>
      <c r="EL96" s="237">
        <v>149</v>
      </c>
      <c r="EM96" s="237">
        <v>198</v>
      </c>
      <c r="EN96" s="237">
        <v>739</v>
      </c>
      <c r="EO96" s="237"/>
      <c r="EP96" s="237">
        <v>2020</v>
      </c>
      <c r="EQ96" s="237">
        <v>27</v>
      </c>
      <c r="ER96" s="237">
        <v>5</v>
      </c>
      <c r="ES96" s="237">
        <v>0</v>
      </c>
      <c r="ET96" s="237">
        <v>0</v>
      </c>
      <c r="EU96" s="237">
        <v>0</v>
      </c>
      <c r="EV96" s="237">
        <v>32</v>
      </c>
      <c r="EX96" s="309" t="s">
        <v>1313</v>
      </c>
      <c r="EY96" s="309">
        <v>2020</v>
      </c>
      <c r="EZ96" s="309" t="s">
        <v>792</v>
      </c>
      <c r="FA96" s="309" t="s">
        <v>792</v>
      </c>
      <c r="FB96" s="309" t="s">
        <v>792</v>
      </c>
      <c r="FC96" s="309" t="s">
        <v>792</v>
      </c>
      <c r="FD96" s="309" t="s">
        <v>792</v>
      </c>
      <c r="FE96" s="309" t="s">
        <v>792</v>
      </c>
      <c r="FF96" s="309"/>
      <c r="FG96" s="309">
        <v>2020</v>
      </c>
      <c r="FH96" s="309" t="s">
        <v>792</v>
      </c>
      <c r="FI96" s="309" t="s">
        <v>792</v>
      </c>
      <c r="FJ96" s="309" t="s">
        <v>792</v>
      </c>
      <c r="FK96" s="309" t="s">
        <v>792</v>
      </c>
      <c r="FL96" s="309" t="s">
        <v>792</v>
      </c>
      <c r="FM96" s="309" t="s">
        <v>792</v>
      </c>
    </row>
    <row r="97" spans="1:169">
      <c r="A97" s="288" t="s">
        <v>743</v>
      </c>
      <c r="B97" s="288">
        <v>2019</v>
      </c>
      <c r="C97" s="288">
        <v>42</v>
      </c>
      <c r="D97" s="288">
        <v>4</v>
      </c>
      <c r="E97" s="288">
        <v>3</v>
      </c>
      <c r="F97" s="288">
        <v>4</v>
      </c>
      <c r="G97" s="288">
        <v>1</v>
      </c>
      <c r="H97" s="288">
        <v>54</v>
      </c>
      <c r="J97" s="288">
        <v>2019</v>
      </c>
      <c r="K97" s="288">
        <v>155</v>
      </c>
      <c r="L97" s="288">
        <v>229</v>
      </c>
      <c r="M97" s="288">
        <v>385</v>
      </c>
      <c r="N97" s="288">
        <v>539</v>
      </c>
      <c r="O97" s="288">
        <v>414</v>
      </c>
      <c r="P97" s="288">
        <v>1722</v>
      </c>
      <c r="AI97" s="290" t="s">
        <v>432</v>
      </c>
      <c r="AJ97" s="290">
        <v>2019</v>
      </c>
      <c r="AK97" s="290">
        <v>642</v>
      </c>
      <c r="AL97" s="290">
        <v>499</v>
      </c>
      <c r="AM97" s="290">
        <v>504</v>
      </c>
      <c r="AN97" s="290">
        <v>502</v>
      </c>
      <c r="AO97" s="290">
        <v>323</v>
      </c>
      <c r="AP97" s="290">
        <v>2470</v>
      </c>
      <c r="AQ97" s="290"/>
      <c r="AR97" s="290">
        <v>2019</v>
      </c>
      <c r="AS97" s="290">
        <v>86</v>
      </c>
      <c r="AT97" s="290">
        <v>3</v>
      </c>
      <c r="AU97" s="290">
        <v>2</v>
      </c>
      <c r="AV97" s="290">
        <v>0</v>
      </c>
      <c r="AW97" s="290">
        <v>0</v>
      </c>
      <c r="AX97" s="290">
        <v>91</v>
      </c>
      <c r="AZ97" s="300" t="s">
        <v>165</v>
      </c>
      <c r="BA97" s="300">
        <v>2019</v>
      </c>
      <c r="BB97" s="300">
        <v>262</v>
      </c>
      <c r="BC97" s="300">
        <v>336</v>
      </c>
      <c r="BD97" s="300">
        <v>562</v>
      </c>
      <c r="BE97" s="300">
        <v>750</v>
      </c>
      <c r="BF97" s="300">
        <v>628</v>
      </c>
      <c r="BG97" s="300">
        <v>2538</v>
      </c>
      <c r="BH97" s="300"/>
      <c r="BI97" s="300">
        <v>2019</v>
      </c>
      <c r="BJ97" s="300">
        <v>31</v>
      </c>
      <c r="BK97" s="300">
        <v>0</v>
      </c>
      <c r="BL97" s="300">
        <v>0</v>
      </c>
      <c r="BM97" s="300">
        <v>0</v>
      </c>
      <c r="BN97" s="300">
        <v>0</v>
      </c>
      <c r="BO97" s="300">
        <v>31</v>
      </c>
      <c r="CH97" s="237" t="s">
        <v>269</v>
      </c>
      <c r="CI97" s="237">
        <v>2020</v>
      </c>
      <c r="CJ97" s="237">
        <v>97</v>
      </c>
      <c r="CK97" s="237">
        <v>58</v>
      </c>
      <c r="CL97" s="237">
        <v>124</v>
      </c>
      <c r="CM97" s="237">
        <v>191</v>
      </c>
      <c r="CN97" s="237">
        <v>189</v>
      </c>
      <c r="CO97" s="237">
        <v>659</v>
      </c>
      <c r="CP97" s="237"/>
      <c r="CQ97" s="237">
        <v>2020</v>
      </c>
      <c r="CR97" s="237">
        <v>24</v>
      </c>
      <c r="CS97" s="237">
        <v>0</v>
      </c>
      <c r="CT97" s="237">
        <v>0</v>
      </c>
      <c r="CU97" s="237">
        <v>0</v>
      </c>
      <c r="CV97" s="237">
        <v>0</v>
      </c>
      <c r="CW97" s="237">
        <v>24</v>
      </c>
      <c r="EG97" s="237" t="s">
        <v>1122</v>
      </c>
      <c r="EH97" s="237">
        <v>2020</v>
      </c>
      <c r="EI97" s="237">
        <v>87</v>
      </c>
      <c r="EJ97" s="237">
        <v>139</v>
      </c>
      <c r="EK97" s="237">
        <v>145</v>
      </c>
      <c r="EL97" s="237">
        <v>192</v>
      </c>
      <c r="EM97" s="237">
        <v>209</v>
      </c>
      <c r="EN97" s="237">
        <v>772</v>
      </c>
      <c r="EO97" s="237"/>
      <c r="EP97" s="237">
        <v>2020</v>
      </c>
      <c r="EQ97" s="237">
        <v>32</v>
      </c>
      <c r="ER97" s="237">
        <v>16</v>
      </c>
      <c r="ES97" s="237">
        <v>4</v>
      </c>
      <c r="ET97" s="237">
        <v>0</v>
      </c>
      <c r="EU97" s="237">
        <v>4</v>
      </c>
      <c r="EV97" s="237">
        <v>56</v>
      </c>
      <c r="EX97" s="309" t="s">
        <v>1315</v>
      </c>
      <c r="EY97" s="309">
        <v>2020</v>
      </c>
      <c r="EZ97" s="309" t="s">
        <v>792</v>
      </c>
      <c r="FA97" s="309" t="s">
        <v>792</v>
      </c>
      <c r="FB97" s="309" t="s">
        <v>792</v>
      </c>
      <c r="FC97" s="309" t="s">
        <v>792</v>
      </c>
      <c r="FD97" s="309" t="s">
        <v>792</v>
      </c>
      <c r="FE97" s="309" t="s">
        <v>792</v>
      </c>
      <c r="FF97" s="309"/>
      <c r="FG97" s="309">
        <v>2020</v>
      </c>
      <c r="FH97" s="309" t="s">
        <v>792</v>
      </c>
      <c r="FI97" s="309" t="s">
        <v>792</v>
      </c>
      <c r="FJ97" s="309" t="s">
        <v>792</v>
      </c>
      <c r="FK97" s="309" t="s">
        <v>792</v>
      </c>
      <c r="FL97" s="309" t="s">
        <v>792</v>
      </c>
      <c r="FM97" s="309" t="s">
        <v>792</v>
      </c>
    </row>
    <row r="98" spans="1:169">
      <c r="A98" s="288" t="s">
        <v>2182</v>
      </c>
      <c r="B98" s="288">
        <v>2019</v>
      </c>
      <c r="C98" s="288" t="s">
        <v>792</v>
      </c>
      <c r="D98" s="288" t="s">
        <v>792</v>
      </c>
      <c r="E98" s="288" t="s">
        <v>792</v>
      </c>
      <c r="F98" s="288" t="s">
        <v>792</v>
      </c>
      <c r="G98" s="288" t="s">
        <v>792</v>
      </c>
      <c r="H98" s="288" t="s">
        <v>792</v>
      </c>
      <c r="J98" s="288">
        <v>2019</v>
      </c>
      <c r="K98" s="288" t="s">
        <v>792</v>
      </c>
      <c r="L98" s="288" t="s">
        <v>792</v>
      </c>
      <c r="M98" s="288" t="s">
        <v>792</v>
      </c>
      <c r="N98" s="288" t="s">
        <v>792</v>
      </c>
      <c r="O98" s="288" t="s">
        <v>792</v>
      </c>
      <c r="P98" s="288" t="s">
        <v>792</v>
      </c>
      <c r="AI98" s="290" t="s">
        <v>433</v>
      </c>
      <c r="AJ98" s="290">
        <v>2019</v>
      </c>
      <c r="AK98" s="290">
        <v>1370</v>
      </c>
      <c r="AL98" s="290">
        <v>1058</v>
      </c>
      <c r="AM98" s="290">
        <v>1606</v>
      </c>
      <c r="AN98" s="290">
        <v>1926</v>
      </c>
      <c r="AO98" s="290">
        <v>1428</v>
      </c>
      <c r="AP98" s="290">
        <v>7388</v>
      </c>
      <c r="AQ98" s="290"/>
      <c r="AR98" s="290">
        <v>2019</v>
      </c>
      <c r="AS98" s="290">
        <v>45</v>
      </c>
      <c r="AT98" s="290">
        <v>0</v>
      </c>
      <c r="AU98" s="290">
        <v>0</v>
      </c>
      <c r="AV98" s="290">
        <v>0</v>
      </c>
      <c r="AW98" s="290">
        <v>0</v>
      </c>
      <c r="AX98" s="290">
        <v>45</v>
      </c>
      <c r="AZ98" s="300" t="s">
        <v>187</v>
      </c>
      <c r="BA98" s="300">
        <v>2019</v>
      </c>
      <c r="BB98" s="300">
        <v>218</v>
      </c>
      <c r="BC98" s="300">
        <v>257</v>
      </c>
      <c r="BD98" s="300">
        <v>379</v>
      </c>
      <c r="BE98" s="300">
        <v>395</v>
      </c>
      <c r="BF98" s="300">
        <v>341</v>
      </c>
      <c r="BG98" s="300">
        <v>1590</v>
      </c>
      <c r="BH98" s="300"/>
      <c r="BI98" s="300">
        <v>2019</v>
      </c>
      <c r="BJ98" s="300">
        <v>27</v>
      </c>
      <c r="BK98" s="300">
        <v>0</v>
      </c>
      <c r="BL98" s="300">
        <v>0</v>
      </c>
      <c r="BM98" s="300">
        <v>0</v>
      </c>
      <c r="BN98" s="300">
        <v>0</v>
      </c>
      <c r="BO98" s="300">
        <v>27</v>
      </c>
      <c r="CH98" s="237" t="s">
        <v>261</v>
      </c>
      <c r="CI98" s="237">
        <v>2020</v>
      </c>
      <c r="CJ98" s="237">
        <v>64</v>
      </c>
      <c r="CK98" s="237">
        <v>67</v>
      </c>
      <c r="CL98" s="237">
        <v>128</v>
      </c>
      <c r="CM98" s="237">
        <v>215</v>
      </c>
      <c r="CN98" s="237">
        <v>201</v>
      </c>
      <c r="CO98" s="237">
        <v>675</v>
      </c>
      <c r="CP98" s="237"/>
      <c r="CQ98" s="237">
        <v>2020</v>
      </c>
      <c r="CR98" s="237">
        <v>22</v>
      </c>
      <c r="CS98" s="237">
        <v>0</v>
      </c>
      <c r="CT98" s="237">
        <v>0</v>
      </c>
      <c r="CU98" s="237">
        <v>0</v>
      </c>
      <c r="CV98" s="237">
        <v>0</v>
      </c>
      <c r="CW98" s="237">
        <v>22</v>
      </c>
      <c r="EG98" s="237" t="s">
        <v>1125</v>
      </c>
      <c r="EH98" s="237">
        <v>2020</v>
      </c>
      <c r="EI98" s="237">
        <v>54</v>
      </c>
      <c r="EJ98" s="237">
        <v>94</v>
      </c>
      <c r="EK98" s="237">
        <v>156</v>
      </c>
      <c r="EL98" s="237">
        <v>208</v>
      </c>
      <c r="EM98" s="237">
        <v>255</v>
      </c>
      <c r="EN98" s="237">
        <v>767</v>
      </c>
      <c r="EO98" s="237"/>
      <c r="EP98" s="237">
        <v>2020</v>
      </c>
      <c r="EQ98" s="237">
        <v>11</v>
      </c>
      <c r="ER98" s="237">
        <v>6</v>
      </c>
      <c r="ES98" s="237">
        <v>3</v>
      </c>
      <c r="ET98" s="237">
        <v>4</v>
      </c>
      <c r="EU98" s="237">
        <v>4</v>
      </c>
      <c r="EV98" s="237">
        <v>28</v>
      </c>
      <c r="EX98" s="309" t="s">
        <v>1166</v>
      </c>
      <c r="EY98" s="309">
        <v>2020</v>
      </c>
      <c r="EZ98" s="309">
        <v>118</v>
      </c>
      <c r="FA98" s="309">
        <v>148</v>
      </c>
      <c r="FB98" s="309">
        <v>198</v>
      </c>
      <c r="FC98" s="309">
        <v>298</v>
      </c>
      <c r="FD98" s="309">
        <v>348</v>
      </c>
      <c r="FE98" s="309">
        <v>1110</v>
      </c>
      <c r="FF98" s="309"/>
      <c r="FG98" s="309">
        <v>2020</v>
      </c>
      <c r="FH98" s="309">
        <v>21</v>
      </c>
      <c r="FI98" s="309">
        <v>6</v>
      </c>
      <c r="FJ98" s="309">
        <v>3</v>
      </c>
      <c r="FK98" s="309">
        <v>3</v>
      </c>
      <c r="FL98" s="309">
        <v>1</v>
      </c>
      <c r="FM98" s="309">
        <v>34</v>
      </c>
    </row>
    <row r="99" spans="1:169">
      <c r="A99" s="288" t="s">
        <v>747</v>
      </c>
      <c r="B99" s="288">
        <v>2019</v>
      </c>
      <c r="C99" s="288">
        <v>15</v>
      </c>
      <c r="D99" s="288">
        <v>0</v>
      </c>
      <c r="E99" s="288">
        <v>0</v>
      </c>
      <c r="F99" s="288">
        <v>0</v>
      </c>
      <c r="G99" s="288">
        <v>0</v>
      </c>
      <c r="H99" s="288">
        <v>15</v>
      </c>
      <c r="J99" s="288">
        <v>2019</v>
      </c>
      <c r="K99" s="288">
        <v>175</v>
      </c>
      <c r="L99" s="288">
        <v>139</v>
      </c>
      <c r="M99" s="288">
        <v>202</v>
      </c>
      <c r="N99" s="288">
        <v>325</v>
      </c>
      <c r="O99" s="288">
        <v>370</v>
      </c>
      <c r="P99" s="288">
        <v>1211</v>
      </c>
      <c r="AI99" s="290" t="s">
        <v>434</v>
      </c>
      <c r="AJ99" s="290">
        <v>2019</v>
      </c>
      <c r="AK99" s="290">
        <v>854</v>
      </c>
      <c r="AL99" s="290">
        <v>1101</v>
      </c>
      <c r="AM99" s="290">
        <v>1546</v>
      </c>
      <c r="AN99" s="290">
        <v>1763</v>
      </c>
      <c r="AO99" s="290">
        <v>1076</v>
      </c>
      <c r="AP99" s="290">
        <v>6340</v>
      </c>
      <c r="AQ99" s="290"/>
      <c r="AR99" s="290">
        <v>2019</v>
      </c>
      <c r="AS99" s="290">
        <v>42</v>
      </c>
      <c r="AT99" s="290">
        <v>7</v>
      </c>
      <c r="AU99" s="290">
        <v>0</v>
      </c>
      <c r="AV99" s="290">
        <v>0</v>
      </c>
      <c r="AW99" s="290">
        <v>0</v>
      </c>
      <c r="AX99" s="290">
        <v>49</v>
      </c>
      <c r="AZ99" s="300" t="s">
        <v>109</v>
      </c>
      <c r="BA99" s="300">
        <v>2019</v>
      </c>
      <c r="BB99" s="300">
        <v>548</v>
      </c>
      <c r="BC99" s="300">
        <v>59</v>
      </c>
      <c r="BD99" s="300">
        <v>106</v>
      </c>
      <c r="BE99" s="300">
        <v>134</v>
      </c>
      <c r="BF99" s="300">
        <v>255</v>
      </c>
      <c r="BG99" s="300">
        <v>1102</v>
      </c>
      <c r="BH99" s="300"/>
      <c r="BI99" s="300">
        <v>2019</v>
      </c>
      <c r="BJ99" s="300">
        <v>192</v>
      </c>
      <c r="BK99" s="300">
        <v>0</v>
      </c>
      <c r="BL99" s="300">
        <v>0</v>
      </c>
      <c r="BM99" s="300">
        <v>0</v>
      </c>
      <c r="BN99" s="300">
        <v>0</v>
      </c>
      <c r="BO99" s="300">
        <v>192</v>
      </c>
      <c r="CH99" s="237" t="s">
        <v>263</v>
      </c>
      <c r="CI99" s="237">
        <v>2020</v>
      </c>
      <c r="CJ99" s="237">
        <v>126</v>
      </c>
      <c r="CK99" s="237">
        <v>65</v>
      </c>
      <c r="CL99" s="237">
        <v>85</v>
      </c>
      <c r="CM99" s="237">
        <v>118</v>
      </c>
      <c r="CN99" s="237">
        <v>135</v>
      </c>
      <c r="CO99" s="237">
        <v>529</v>
      </c>
      <c r="CP99" s="237"/>
      <c r="CQ99" s="237">
        <v>2020</v>
      </c>
      <c r="CR99" s="237">
        <v>67</v>
      </c>
      <c r="CS99" s="237">
        <v>0</v>
      </c>
      <c r="CT99" s="237">
        <v>0</v>
      </c>
      <c r="CU99" s="237">
        <v>0</v>
      </c>
      <c r="CV99" s="237">
        <v>0</v>
      </c>
      <c r="CW99" s="237">
        <v>67</v>
      </c>
      <c r="EG99" s="237" t="s">
        <v>1128</v>
      </c>
      <c r="EH99" s="237">
        <v>2020</v>
      </c>
      <c r="EI99" s="237">
        <v>146</v>
      </c>
      <c r="EJ99" s="237">
        <v>168</v>
      </c>
      <c r="EK99" s="237">
        <v>210</v>
      </c>
      <c r="EL99" s="237">
        <v>231</v>
      </c>
      <c r="EM99" s="237">
        <v>272</v>
      </c>
      <c r="EN99" s="237">
        <v>1027</v>
      </c>
      <c r="EO99" s="237"/>
      <c r="EP99" s="237">
        <v>2020</v>
      </c>
      <c r="EQ99" s="237">
        <v>27</v>
      </c>
      <c r="ER99" s="237">
        <v>7</v>
      </c>
      <c r="ES99" s="237">
        <v>1</v>
      </c>
      <c r="ET99" s="237">
        <v>0</v>
      </c>
      <c r="EU99" s="237">
        <v>0</v>
      </c>
      <c r="EV99" s="237">
        <v>35</v>
      </c>
      <c r="EX99" s="309" t="s">
        <v>1168</v>
      </c>
      <c r="EY99" s="309">
        <v>2020</v>
      </c>
      <c r="EZ99" s="309">
        <v>111</v>
      </c>
      <c r="FA99" s="309">
        <v>180</v>
      </c>
      <c r="FB99" s="309">
        <v>252</v>
      </c>
      <c r="FC99" s="309">
        <v>371</v>
      </c>
      <c r="FD99" s="309">
        <v>398</v>
      </c>
      <c r="FE99" s="309">
        <v>1312</v>
      </c>
      <c r="FF99" s="309"/>
      <c r="FG99" s="309">
        <v>2020</v>
      </c>
      <c r="FH99" s="309">
        <v>5</v>
      </c>
      <c r="FI99" s="309">
        <v>7</v>
      </c>
      <c r="FJ99" s="309">
        <v>1</v>
      </c>
      <c r="FK99" s="309">
        <v>1</v>
      </c>
      <c r="FL99" s="309">
        <v>3</v>
      </c>
      <c r="FM99" s="309">
        <v>17</v>
      </c>
    </row>
    <row r="100" spans="1:169">
      <c r="A100" s="288" t="s">
        <v>749</v>
      </c>
      <c r="B100" s="288">
        <v>2019</v>
      </c>
      <c r="C100" s="288" t="s">
        <v>792</v>
      </c>
      <c r="D100" s="288" t="s">
        <v>792</v>
      </c>
      <c r="E100" s="288" t="s">
        <v>792</v>
      </c>
      <c r="F100" s="288" t="s">
        <v>792</v>
      </c>
      <c r="G100" s="288" t="s">
        <v>792</v>
      </c>
      <c r="H100" s="288" t="s">
        <v>792</v>
      </c>
      <c r="J100" s="288">
        <v>2019</v>
      </c>
      <c r="K100" s="288" t="s">
        <v>792</v>
      </c>
      <c r="L100" s="288" t="s">
        <v>792</v>
      </c>
      <c r="M100" s="288" t="s">
        <v>792</v>
      </c>
      <c r="N100" s="288" t="s">
        <v>792</v>
      </c>
      <c r="O100" s="288" t="s">
        <v>792</v>
      </c>
      <c r="P100" s="288" t="s">
        <v>792</v>
      </c>
      <c r="AI100" s="290" t="s">
        <v>435</v>
      </c>
      <c r="AJ100" s="290">
        <v>2019</v>
      </c>
      <c r="AK100" s="290">
        <v>727</v>
      </c>
      <c r="AL100" s="290">
        <v>622</v>
      </c>
      <c r="AM100" s="290">
        <v>831</v>
      </c>
      <c r="AN100" s="290">
        <v>918</v>
      </c>
      <c r="AO100" s="290">
        <v>601</v>
      </c>
      <c r="AP100" s="290">
        <v>3699</v>
      </c>
      <c r="AQ100" s="290"/>
      <c r="AR100" s="290">
        <v>2019</v>
      </c>
      <c r="AS100" s="290">
        <v>78</v>
      </c>
      <c r="AT100" s="290">
        <v>3</v>
      </c>
      <c r="AU100" s="290">
        <v>0</v>
      </c>
      <c r="AV100" s="290">
        <v>0</v>
      </c>
      <c r="AW100" s="290">
        <v>0</v>
      </c>
      <c r="AX100" s="290">
        <v>81</v>
      </c>
      <c r="AZ100" s="300" t="s">
        <v>110</v>
      </c>
      <c r="BA100" s="300">
        <v>2019</v>
      </c>
      <c r="BB100" s="300">
        <v>90</v>
      </c>
      <c r="BC100" s="300">
        <v>26</v>
      </c>
      <c r="BD100" s="300">
        <v>46</v>
      </c>
      <c r="BE100" s="300">
        <v>50</v>
      </c>
      <c r="BF100" s="300">
        <v>121</v>
      </c>
      <c r="BG100" s="300">
        <v>333</v>
      </c>
      <c r="BH100" s="300"/>
      <c r="BI100" s="300">
        <v>2019</v>
      </c>
      <c r="BJ100" s="300">
        <v>47</v>
      </c>
      <c r="BK100" s="300">
        <v>0</v>
      </c>
      <c r="BL100" s="300">
        <v>0</v>
      </c>
      <c r="BM100" s="300">
        <v>0</v>
      </c>
      <c r="BN100" s="300">
        <v>0</v>
      </c>
      <c r="BO100" s="300">
        <v>47</v>
      </c>
      <c r="CH100" s="237" t="s">
        <v>271</v>
      </c>
      <c r="CI100" s="237">
        <v>2020</v>
      </c>
      <c r="CJ100" s="237">
        <v>65</v>
      </c>
      <c r="CK100" s="237">
        <v>46</v>
      </c>
      <c r="CL100" s="237">
        <v>81</v>
      </c>
      <c r="CM100" s="237">
        <v>112</v>
      </c>
      <c r="CN100" s="237">
        <v>122</v>
      </c>
      <c r="CO100" s="237">
        <v>426</v>
      </c>
      <c r="CP100" s="237"/>
      <c r="CQ100" s="237">
        <v>2020</v>
      </c>
      <c r="CR100" s="237">
        <v>20</v>
      </c>
      <c r="CS100" s="237">
        <v>0</v>
      </c>
      <c r="CT100" s="237">
        <v>0</v>
      </c>
      <c r="CU100" s="237">
        <v>0</v>
      </c>
      <c r="CV100" s="237">
        <v>0</v>
      </c>
      <c r="CW100" s="237">
        <v>20</v>
      </c>
      <c r="EG100" s="237" t="s">
        <v>1131</v>
      </c>
      <c r="EH100" s="237">
        <v>2020</v>
      </c>
      <c r="EI100" s="237">
        <v>104</v>
      </c>
      <c r="EJ100" s="237">
        <v>146</v>
      </c>
      <c r="EK100" s="237">
        <v>172</v>
      </c>
      <c r="EL100" s="237">
        <v>168</v>
      </c>
      <c r="EM100" s="237">
        <v>223</v>
      </c>
      <c r="EN100" s="237">
        <v>813</v>
      </c>
      <c r="EO100" s="237"/>
      <c r="EP100" s="237">
        <v>2020</v>
      </c>
      <c r="EQ100" s="237">
        <v>30</v>
      </c>
      <c r="ER100" s="237">
        <v>8</v>
      </c>
      <c r="ES100" s="237">
        <v>4</v>
      </c>
      <c r="ET100" s="237">
        <v>0</v>
      </c>
      <c r="EU100" s="237">
        <v>4</v>
      </c>
      <c r="EV100" s="237">
        <v>46</v>
      </c>
      <c r="EX100" s="309" t="s">
        <v>1169</v>
      </c>
      <c r="EY100" s="309">
        <v>2020</v>
      </c>
      <c r="EZ100" s="309">
        <v>240</v>
      </c>
      <c r="FA100" s="309">
        <v>380</v>
      </c>
      <c r="FB100" s="309">
        <v>431</v>
      </c>
      <c r="FC100" s="309">
        <v>490</v>
      </c>
      <c r="FD100" s="309">
        <v>695</v>
      </c>
      <c r="FE100" s="309">
        <v>2236</v>
      </c>
      <c r="FF100" s="309"/>
      <c r="FG100" s="309">
        <v>2020</v>
      </c>
      <c r="FH100" s="309">
        <v>32</v>
      </c>
      <c r="FI100" s="309">
        <v>17</v>
      </c>
      <c r="FJ100" s="309">
        <v>1</v>
      </c>
      <c r="FK100" s="309">
        <v>0</v>
      </c>
      <c r="FL100" s="309">
        <v>0</v>
      </c>
      <c r="FM100" s="309">
        <v>50</v>
      </c>
    </row>
    <row r="101" spans="1:169">
      <c r="A101" s="288" t="s">
        <v>752</v>
      </c>
      <c r="B101" s="288">
        <v>2019</v>
      </c>
      <c r="C101" s="288" t="s">
        <v>792</v>
      </c>
      <c r="D101" s="288" t="s">
        <v>792</v>
      </c>
      <c r="E101" s="288" t="s">
        <v>792</v>
      </c>
      <c r="F101" s="288" t="s">
        <v>792</v>
      </c>
      <c r="G101" s="288" t="s">
        <v>792</v>
      </c>
      <c r="H101" s="288" t="s">
        <v>792</v>
      </c>
      <c r="J101" s="288">
        <v>2019</v>
      </c>
      <c r="K101" s="288" t="s">
        <v>792</v>
      </c>
      <c r="L101" s="288" t="s">
        <v>792</v>
      </c>
      <c r="M101" s="288" t="s">
        <v>792</v>
      </c>
      <c r="N101" s="288" t="s">
        <v>792</v>
      </c>
      <c r="O101" s="288" t="s">
        <v>792</v>
      </c>
      <c r="P101" s="288" t="s">
        <v>792</v>
      </c>
      <c r="AI101" s="290" t="s">
        <v>436</v>
      </c>
      <c r="AJ101" s="290">
        <v>2019</v>
      </c>
      <c r="AK101" s="290">
        <v>360</v>
      </c>
      <c r="AL101" s="290">
        <v>603</v>
      </c>
      <c r="AM101" s="290">
        <v>864</v>
      </c>
      <c r="AN101" s="290">
        <v>916</v>
      </c>
      <c r="AO101" s="290">
        <v>614</v>
      </c>
      <c r="AP101" s="290">
        <v>3357</v>
      </c>
      <c r="AQ101" s="290"/>
      <c r="AR101" s="290">
        <v>2019</v>
      </c>
      <c r="AS101" s="290">
        <v>20</v>
      </c>
      <c r="AT101" s="290">
        <v>2</v>
      </c>
      <c r="AU101" s="290">
        <v>0</v>
      </c>
      <c r="AV101" s="290">
        <v>0</v>
      </c>
      <c r="AW101" s="290">
        <v>0</v>
      </c>
      <c r="AX101" s="290">
        <v>22</v>
      </c>
      <c r="AZ101" s="300" t="s">
        <v>111</v>
      </c>
      <c r="BA101" s="300">
        <v>2019</v>
      </c>
      <c r="BB101" s="300">
        <v>736</v>
      </c>
      <c r="BC101" s="300">
        <v>604</v>
      </c>
      <c r="BD101" s="300">
        <v>848</v>
      </c>
      <c r="BE101" s="300">
        <v>864</v>
      </c>
      <c r="BF101" s="300">
        <v>710</v>
      </c>
      <c r="BG101" s="300">
        <v>3762</v>
      </c>
      <c r="BH101" s="300"/>
      <c r="BI101" s="300">
        <v>2019</v>
      </c>
      <c r="BJ101" s="300">
        <v>192</v>
      </c>
      <c r="BK101" s="300">
        <v>0</v>
      </c>
      <c r="BL101" s="300">
        <v>0</v>
      </c>
      <c r="BM101" s="300">
        <v>0</v>
      </c>
      <c r="BN101" s="300">
        <v>0</v>
      </c>
      <c r="BO101" s="300">
        <v>192</v>
      </c>
      <c r="CH101" s="237" t="s">
        <v>273</v>
      </c>
      <c r="CI101" s="237">
        <v>2020</v>
      </c>
      <c r="CJ101" s="237">
        <v>47</v>
      </c>
      <c r="CK101" s="237">
        <v>37</v>
      </c>
      <c r="CL101" s="237">
        <v>97</v>
      </c>
      <c r="CM101" s="237">
        <v>136</v>
      </c>
      <c r="CN101" s="237">
        <v>180</v>
      </c>
      <c r="CO101" s="237">
        <v>497</v>
      </c>
      <c r="CP101" s="237"/>
      <c r="CQ101" s="237">
        <v>2020</v>
      </c>
      <c r="CR101" s="237">
        <v>6</v>
      </c>
      <c r="CS101" s="237">
        <v>0</v>
      </c>
      <c r="CT101" s="237">
        <v>0</v>
      </c>
      <c r="CU101" s="237">
        <v>0</v>
      </c>
      <c r="CV101" s="237">
        <v>0</v>
      </c>
      <c r="CW101" s="237">
        <v>6</v>
      </c>
      <c r="EG101" s="237" t="s">
        <v>1134</v>
      </c>
      <c r="EH101" s="237">
        <v>2020</v>
      </c>
      <c r="EI101" s="237">
        <v>762</v>
      </c>
      <c r="EJ101" s="237">
        <v>708</v>
      </c>
      <c r="EK101" s="237">
        <v>584</v>
      </c>
      <c r="EL101" s="237">
        <v>661</v>
      </c>
      <c r="EM101" s="237">
        <v>682</v>
      </c>
      <c r="EN101" s="237">
        <v>3397</v>
      </c>
      <c r="EO101" s="237"/>
      <c r="EP101" s="237">
        <v>2020</v>
      </c>
      <c r="EQ101" s="237">
        <v>90</v>
      </c>
      <c r="ER101" s="237">
        <v>8</v>
      </c>
      <c r="ES101" s="237">
        <v>0</v>
      </c>
      <c r="ET101" s="237">
        <v>0</v>
      </c>
      <c r="EU101" s="237">
        <v>0</v>
      </c>
      <c r="EV101" s="237">
        <v>98</v>
      </c>
      <c r="EX101" s="309" t="s">
        <v>1170</v>
      </c>
      <c r="EY101" s="309">
        <v>2020</v>
      </c>
      <c r="EZ101" s="309">
        <v>844</v>
      </c>
      <c r="FA101" s="309">
        <v>750</v>
      </c>
      <c r="FB101" s="309">
        <v>620</v>
      </c>
      <c r="FC101" s="309">
        <v>632</v>
      </c>
      <c r="FD101" s="309">
        <v>842</v>
      </c>
      <c r="FE101" s="309">
        <v>3688</v>
      </c>
      <c r="FF101" s="309"/>
      <c r="FG101" s="309">
        <v>2020</v>
      </c>
      <c r="FH101" s="309">
        <v>189</v>
      </c>
      <c r="FI101" s="309">
        <v>0</v>
      </c>
      <c r="FJ101" s="309">
        <v>0</v>
      </c>
      <c r="FK101" s="309">
        <v>0</v>
      </c>
      <c r="FL101" s="309">
        <v>0</v>
      </c>
      <c r="FM101" s="309">
        <v>189</v>
      </c>
    </row>
    <row r="102" spans="1:169">
      <c r="A102" s="288" t="s">
        <v>755</v>
      </c>
      <c r="B102" s="288">
        <v>2019</v>
      </c>
      <c r="C102" s="288" t="s">
        <v>792</v>
      </c>
      <c r="D102" s="288" t="s">
        <v>792</v>
      </c>
      <c r="E102" s="288" t="s">
        <v>792</v>
      </c>
      <c r="F102" s="288" t="s">
        <v>792</v>
      </c>
      <c r="G102" s="288" t="s">
        <v>792</v>
      </c>
      <c r="H102" s="288" t="s">
        <v>792</v>
      </c>
      <c r="J102" s="288">
        <v>2019</v>
      </c>
      <c r="K102" s="288" t="s">
        <v>792</v>
      </c>
      <c r="L102" s="288" t="s">
        <v>792</v>
      </c>
      <c r="M102" s="288" t="s">
        <v>792</v>
      </c>
      <c r="N102" s="288" t="s">
        <v>792</v>
      </c>
      <c r="O102" s="288" t="s">
        <v>792</v>
      </c>
      <c r="P102" s="288" t="s">
        <v>792</v>
      </c>
      <c r="AI102" s="290" t="s">
        <v>437</v>
      </c>
      <c r="AJ102" s="290">
        <v>2019</v>
      </c>
      <c r="AK102" s="290">
        <v>190</v>
      </c>
      <c r="AL102" s="290">
        <v>339</v>
      </c>
      <c r="AM102" s="290">
        <v>549</v>
      </c>
      <c r="AN102" s="290">
        <v>821</v>
      </c>
      <c r="AO102" s="290">
        <v>571</v>
      </c>
      <c r="AP102" s="290">
        <v>2470</v>
      </c>
      <c r="AQ102" s="290"/>
      <c r="AR102" s="290">
        <v>2019</v>
      </c>
      <c r="AS102" s="290">
        <v>18</v>
      </c>
      <c r="AT102" s="290">
        <v>4</v>
      </c>
      <c r="AU102" s="290">
        <v>2</v>
      </c>
      <c r="AV102" s="290">
        <v>2</v>
      </c>
      <c r="AW102" s="290">
        <v>1</v>
      </c>
      <c r="AX102" s="290">
        <v>27</v>
      </c>
      <c r="AZ102" s="300" t="s">
        <v>113</v>
      </c>
      <c r="BA102" s="300">
        <v>2019</v>
      </c>
      <c r="BB102" s="300">
        <v>173</v>
      </c>
      <c r="BC102" s="300">
        <v>134</v>
      </c>
      <c r="BD102" s="300">
        <v>249</v>
      </c>
      <c r="BE102" s="300">
        <v>354</v>
      </c>
      <c r="BF102" s="300">
        <v>360</v>
      </c>
      <c r="BG102" s="300">
        <v>1270</v>
      </c>
      <c r="BH102" s="300"/>
      <c r="BI102" s="300">
        <v>2019</v>
      </c>
      <c r="BJ102" s="300">
        <v>24</v>
      </c>
      <c r="BK102" s="300">
        <v>0</v>
      </c>
      <c r="BL102" s="300">
        <v>0</v>
      </c>
      <c r="BM102" s="300">
        <v>0</v>
      </c>
      <c r="BN102" s="300">
        <v>0</v>
      </c>
      <c r="BO102" s="300">
        <v>24</v>
      </c>
      <c r="CH102" s="237" t="s">
        <v>224</v>
      </c>
      <c r="CI102" s="237">
        <v>2020</v>
      </c>
      <c r="CJ102" s="237">
        <v>208</v>
      </c>
      <c r="CK102" s="237">
        <v>92</v>
      </c>
      <c r="CL102" s="237">
        <v>150</v>
      </c>
      <c r="CM102" s="237">
        <v>191</v>
      </c>
      <c r="CN102" s="237">
        <v>312</v>
      </c>
      <c r="CO102" s="237">
        <v>953</v>
      </c>
      <c r="CP102" s="237"/>
      <c r="CQ102" s="237">
        <v>2020</v>
      </c>
      <c r="CR102" s="237">
        <v>56</v>
      </c>
      <c r="CS102" s="237">
        <v>0</v>
      </c>
      <c r="CT102" s="237">
        <v>0</v>
      </c>
      <c r="CU102" s="237">
        <v>0</v>
      </c>
      <c r="CV102" s="237">
        <v>0</v>
      </c>
      <c r="CW102" s="237">
        <v>56</v>
      </c>
      <c r="EG102" s="237" t="s">
        <v>1294</v>
      </c>
      <c r="EH102" s="237">
        <v>2020</v>
      </c>
      <c r="EI102" s="237" t="s">
        <v>792</v>
      </c>
      <c r="EJ102" s="237" t="s">
        <v>792</v>
      </c>
      <c r="EK102" s="237" t="s">
        <v>792</v>
      </c>
      <c r="EL102" s="237" t="s">
        <v>792</v>
      </c>
      <c r="EM102" s="237" t="s">
        <v>792</v>
      </c>
      <c r="EN102" s="237" t="s">
        <v>792</v>
      </c>
      <c r="EO102" s="237"/>
      <c r="EP102" s="237">
        <v>2020</v>
      </c>
      <c r="EQ102" s="237" t="s">
        <v>792</v>
      </c>
      <c r="ER102" s="237" t="s">
        <v>792</v>
      </c>
      <c r="ES102" s="237" t="s">
        <v>792</v>
      </c>
      <c r="ET102" s="237" t="s">
        <v>792</v>
      </c>
      <c r="EU102" s="237" t="s">
        <v>792</v>
      </c>
      <c r="EV102" s="237" t="s">
        <v>792</v>
      </c>
      <c r="EX102" s="309" t="s">
        <v>1171</v>
      </c>
      <c r="EY102" s="309">
        <v>2020</v>
      </c>
      <c r="EZ102" s="309">
        <v>194</v>
      </c>
      <c r="FA102" s="309">
        <v>291</v>
      </c>
      <c r="FB102" s="309">
        <v>272</v>
      </c>
      <c r="FC102" s="309">
        <v>352</v>
      </c>
      <c r="FD102" s="309">
        <v>418</v>
      </c>
      <c r="FE102" s="309">
        <v>1527</v>
      </c>
      <c r="FF102" s="309"/>
      <c r="FG102" s="309">
        <v>2020</v>
      </c>
      <c r="FH102" s="309">
        <v>39</v>
      </c>
      <c r="FI102" s="309">
        <v>24</v>
      </c>
      <c r="FJ102" s="309">
        <v>0</v>
      </c>
      <c r="FK102" s="309">
        <v>0</v>
      </c>
      <c r="FL102" s="309">
        <v>0</v>
      </c>
      <c r="FM102" s="309">
        <v>63</v>
      </c>
    </row>
    <row r="103" spans="1:169">
      <c r="A103" s="181"/>
      <c r="B103" s="181"/>
      <c r="C103" s="181"/>
      <c r="D103" s="181"/>
      <c r="E103" s="181"/>
      <c r="F103" s="181"/>
      <c r="G103" s="181"/>
      <c r="H103" s="181"/>
      <c r="I103" s="181"/>
      <c r="J103" s="181"/>
      <c r="K103" s="181"/>
      <c r="L103" s="181"/>
      <c r="M103" s="181"/>
      <c r="N103" s="181"/>
      <c r="O103" s="181"/>
      <c r="P103" s="181"/>
      <c r="AI103" s="290" t="s">
        <v>438</v>
      </c>
      <c r="AJ103" s="290">
        <v>2019</v>
      </c>
      <c r="AK103" s="290">
        <v>214</v>
      </c>
      <c r="AL103" s="290">
        <v>419</v>
      </c>
      <c r="AM103" s="290">
        <v>578</v>
      </c>
      <c r="AN103" s="290">
        <v>747</v>
      </c>
      <c r="AO103" s="290">
        <v>552</v>
      </c>
      <c r="AP103" s="290">
        <v>2510</v>
      </c>
      <c r="AQ103" s="290"/>
      <c r="AR103" s="290">
        <v>2019</v>
      </c>
      <c r="AS103" s="290">
        <v>16</v>
      </c>
      <c r="AT103" s="290">
        <v>4</v>
      </c>
      <c r="AU103" s="290">
        <v>1</v>
      </c>
      <c r="AV103" s="290">
        <v>1</v>
      </c>
      <c r="AW103" s="290">
        <v>0</v>
      </c>
      <c r="AX103" s="290">
        <v>22</v>
      </c>
      <c r="AZ103" s="300" t="s">
        <v>115</v>
      </c>
      <c r="BA103" s="300">
        <v>2019</v>
      </c>
      <c r="BB103" s="300">
        <v>51</v>
      </c>
      <c r="BC103" s="300">
        <v>145</v>
      </c>
      <c r="BD103" s="300">
        <v>300</v>
      </c>
      <c r="BE103" s="300">
        <v>490</v>
      </c>
      <c r="BF103" s="300">
        <v>478</v>
      </c>
      <c r="BG103" s="300">
        <v>1464</v>
      </c>
      <c r="BH103" s="300"/>
      <c r="BI103" s="300">
        <v>2019</v>
      </c>
      <c r="BJ103" s="300">
        <v>17</v>
      </c>
      <c r="BK103" s="300">
        <v>2</v>
      </c>
      <c r="BL103" s="300">
        <v>6</v>
      </c>
      <c r="BM103" s="300">
        <v>0</v>
      </c>
      <c r="BN103" s="300">
        <v>0</v>
      </c>
      <c r="BO103" s="300">
        <v>25</v>
      </c>
      <c r="CH103" s="237" t="s">
        <v>216</v>
      </c>
      <c r="CI103" s="237">
        <v>2020</v>
      </c>
      <c r="CJ103" s="237">
        <v>244</v>
      </c>
      <c r="CK103" s="237">
        <v>189</v>
      </c>
      <c r="CL103" s="237">
        <v>248</v>
      </c>
      <c r="CM103" s="237">
        <v>302</v>
      </c>
      <c r="CN103" s="237">
        <v>273</v>
      </c>
      <c r="CO103" s="237">
        <v>1256</v>
      </c>
      <c r="CP103" s="237"/>
      <c r="CQ103" s="237">
        <v>2020</v>
      </c>
      <c r="CR103" s="237">
        <v>26</v>
      </c>
      <c r="CS103" s="237">
        <v>0</v>
      </c>
      <c r="CT103" s="237">
        <v>0</v>
      </c>
      <c r="CU103" s="237">
        <v>0</v>
      </c>
      <c r="CV103" s="237">
        <v>0</v>
      </c>
      <c r="CW103" s="237">
        <v>26</v>
      </c>
      <c r="EG103" s="237" t="s">
        <v>1296</v>
      </c>
      <c r="EH103" s="237">
        <v>2020</v>
      </c>
      <c r="EI103" s="237" t="s">
        <v>792</v>
      </c>
      <c r="EJ103" s="237" t="s">
        <v>792</v>
      </c>
      <c r="EK103" s="237" t="s">
        <v>792</v>
      </c>
      <c r="EL103" s="237" t="s">
        <v>792</v>
      </c>
      <c r="EM103" s="237" t="s">
        <v>792</v>
      </c>
      <c r="EN103" s="237" t="s">
        <v>792</v>
      </c>
      <c r="EO103" s="237"/>
      <c r="EP103" s="237">
        <v>2020</v>
      </c>
      <c r="EQ103" s="237" t="s">
        <v>792</v>
      </c>
      <c r="ER103" s="237" t="s">
        <v>792</v>
      </c>
      <c r="ES103" s="237" t="s">
        <v>792</v>
      </c>
      <c r="ET103" s="237" t="s">
        <v>792</v>
      </c>
      <c r="EU103" s="237" t="s">
        <v>792</v>
      </c>
      <c r="EV103" s="237" t="s">
        <v>792</v>
      </c>
      <c r="EX103" s="309" t="s">
        <v>1172</v>
      </c>
      <c r="EY103" s="309">
        <v>2020</v>
      </c>
      <c r="EZ103" s="309">
        <v>181</v>
      </c>
      <c r="FA103" s="309">
        <v>225</v>
      </c>
      <c r="FB103" s="309">
        <v>200</v>
      </c>
      <c r="FC103" s="309">
        <v>232</v>
      </c>
      <c r="FD103" s="309">
        <v>298</v>
      </c>
      <c r="FE103" s="309">
        <v>1136</v>
      </c>
      <c r="FF103" s="309"/>
      <c r="FG103" s="309">
        <v>2020</v>
      </c>
      <c r="FH103" s="309">
        <v>49</v>
      </c>
      <c r="FI103" s="309">
        <v>14</v>
      </c>
      <c r="FJ103" s="309">
        <v>4</v>
      </c>
      <c r="FK103" s="309">
        <v>2</v>
      </c>
      <c r="FL103" s="309">
        <v>0</v>
      </c>
      <c r="FM103" s="309">
        <v>69</v>
      </c>
    </row>
    <row r="104" spans="1:169">
      <c r="A104" s="288" t="s">
        <v>629</v>
      </c>
      <c r="B104" s="288">
        <v>2020</v>
      </c>
      <c r="C104" s="288">
        <v>7</v>
      </c>
      <c r="D104" s="288">
        <v>0</v>
      </c>
      <c r="E104" s="288">
        <v>1</v>
      </c>
      <c r="F104" s="288">
        <v>1</v>
      </c>
      <c r="G104" s="288">
        <v>0</v>
      </c>
      <c r="H104" s="288">
        <v>9</v>
      </c>
      <c r="J104" s="288">
        <v>2020</v>
      </c>
      <c r="K104" s="288">
        <v>113</v>
      </c>
      <c r="L104" s="288">
        <v>145</v>
      </c>
      <c r="M104" s="288">
        <v>248</v>
      </c>
      <c r="N104" s="288">
        <v>334</v>
      </c>
      <c r="O104" s="288">
        <v>289</v>
      </c>
      <c r="P104" s="288">
        <v>1129</v>
      </c>
      <c r="AZ104" s="300" t="s">
        <v>117</v>
      </c>
      <c r="BA104" s="300">
        <v>2019</v>
      </c>
      <c r="BB104" s="300">
        <v>114</v>
      </c>
      <c r="BC104" s="300">
        <v>119</v>
      </c>
      <c r="BD104" s="300">
        <v>260</v>
      </c>
      <c r="BE104" s="300">
        <v>344</v>
      </c>
      <c r="BF104" s="300">
        <v>337</v>
      </c>
      <c r="BG104" s="300">
        <v>1174</v>
      </c>
      <c r="BH104" s="300"/>
      <c r="BI104" s="300">
        <v>2019</v>
      </c>
      <c r="BJ104" s="300">
        <v>21</v>
      </c>
      <c r="BK104" s="300">
        <v>0</v>
      </c>
      <c r="BL104" s="300">
        <v>0</v>
      </c>
      <c r="BM104" s="300">
        <v>0</v>
      </c>
      <c r="BN104" s="300">
        <v>0</v>
      </c>
      <c r="BO104" s="300">
        <v>21</v>
      </c>
      <c r="CH104" s="237" t="s">
        <v>220</v>
      </c>
      <c r="CI104" s="237">
        <v>2020</v>
      </c>
      <c r="CJ104" s="237">
        <v>118</v>
      </c>
      <c r="CK104" s="237">
        <v>95</v>
      </c>
      <c r="CL104" s="237">
        <v>192</v>
      </c>
      <c r="CM104" s="237">
        <v>251</v>
      </c>
      <c r="CN104" s="237">
        <v>245</v>
      </c>
      <c r="CO104" s="237">
        <v>901</v>
      </c>
      <c r="CP104" s="237"/>
      <c r="CQ104" s="237">
        <v>2020</v>
      </c>
      <c r="CR104" s="237">
        <v>21</v>
      </c>
      <c r="CS104" s="237">
        <v>0</v>
      </c>
      <c r="CT104" s="237">
        <v>0</v>
      </c>
      <c r="CU104" s="237">
        <v>0</v>
      </c>
      <c r="CV104" s="237">
        <v>0</v>
      </c>
      <c r="CW104" s="237">
        <v>21</v>
      </c>
      <c r="EG104" s="237" t="s">
        <v>1137</v>
      </c>
      <c r="EH104" s="237">
        <v>2020</v>
      </c>
      <c r="EI104" s="237">
        <v>168</v>
      </c>
      <c r="EJ104" s="237">
        <v>243</v>
      </c>
      <c r="EK104" s="237">
        <v>338</v>
      </c>
      <c r="EL104" s="237">
        <v>419</v>
      </c>
      <c r="EM104" s="237">
        <v>417</v>
      </c>
      <c r="EN104" s="237">
        <v>1585</v>
      </c>
      <c r="EO104" s="237"/>
      <c r="EP104" s="237">
        <v>2020</v>
      </c>
      <c r="EQ104" s="237">
        <v>32</v>
      </c>
      <c r="ER104" s="237">
        <v>8</v>
      </c>
      <c r="ES104" s="237">
        <v>4</v>
      </c>
      <c r="ET104" s="237">
        <v>3</v>
      </c>
      <c r="EU104" s="237">
        <v>6</v>
      </c>
      <c r="EV104" s="237">
        <v>53</v>
      </c>
      <c r="EX104" s="309" t="s">
        <v>1173</v>
      </c>
      <c r="EY104" s="309">
        <v>2020</v>
      </c>
      <c r="EZ104" s="309">
        <v>404</v>
      </c>
      <c r="FA104" s="309">
        <v>408</v>
      </c>
      <c r="FB104" s="309">
        <v>407</v>
      </c>
      <c r="FC104" s="309">
        <v>364</v>
      </c>
      <c r="FD104" s="309">
        <v>563</v>
      </c>
      <c r="FE104" s="309">
        <v>2146</v>
      </c>
      <c r="FF104" s="309"/>
      <c r="FG104" s="309">
        <v>2020</v>
      </c>
      <c r="FH104" s="309">
        <v>104</v>
      </c>
      <c r="FI104" s="309">
        <v>22</v>
      </c>
      <c r="FJ104" s="309">
        <v>0</v>
      </c>
      <c r="FK104" s="309">
        <v>0</v>
      </c>
      <c r="FL104" s="309">
        <v>0</v>
      </c>
      <c r="FM104" s="309">
        <v>126</v>
      </c>
    </row>
    <row r="105" spans="1:169">
      <c r="A105" s="288" t="s">
        <v>632</v>
      </c>
      <c r="B105" s="288">
        <v>2020</v>
      </c>
      <c r="C105" s="288">
        <v>8</v>
      </c>
      <c r="D105" s="288">
        <v>0</v>
      </c>
      <c r="E105" s="288">
        <v>0</v>
      </c>
      <c r="F105" s="288">
        <v>0</v>
      </c>
      <c r="G105" s="288">
        <v>0</v>
      </c>
      <c r="H105" s="288">
        <v>8</v>
      </c>
      <c r="J105" s="288">
        <v>2020</v>
      </c>
      <c r="K105" s="288">
        <v>158</v>
      </c>
      <c r="L105" s="288">
        <v>322</v>
      </c>
      <c r="M105" s="288">
        <v>438</v>
      </c>
      <c r="N105" s="288">
        <v>608</v>
      </c>
      <c r="O105" s="288">
        <v>490</v>
      </c>
      <c r="P105" s="288">
        <v>2016</v>
      </c>
      <c r="AI105" s="290" t="s">
        <v>439</v>
      </c>
      <c r="AJ105" s="290">
        <v>2019</v>
      </c>
      <c r="AK105" s="290">
        <v>393</v>
      </c>
      <c r="AL105" s="290">
        <v>376</v>
      </c>
      <c r="AM105" s="290">
        <v>369</v>
      </c>
      <c r="AN105" s="290">
        <v>406</v>
      </c>
      <c r="AO105" s="290">
        <v>529</v>
      </c>
      <c r="AP105" s="290">
        <v>2073</v>
      </c>
      <c r="AQ105" s="290"/>
      <c r="AR105" s="290">
        <v>2019</v>
      </c>
      <c r="AS105" s="290">
        <v>127</v>
      </c>
      <c r="AT105" s="290">
        <v>60</v>
      </c>
      <c r="AU105" s="290">
        <v>43</v>
      </c>
      <c r="AV105" s="290">
        <v>38</v>
      </c>
      <c r="AW105" s="290">
        <v>55</v>
      </c>
      <c r="AX105" s="290">
        <v>323</v>
      </c>
      <c r="AZ105" s="300" t="s">
        <v>169</v>
      </c>
      <c r="BA105" s="300">
        <v>2019</v>
      </c>
      <c r="BB105" s="300">
        <v>105</v>
      </c>
      <c r="BC105" s="300">
        <v>206</v>
      </c>
      <c r="BD105" s="300">
        <v>344</v>
      </c>
      <c r="BE105" s="300">
        <v>464</v>
      </c>
      <c r="BF105" s="300">
        <v>368</v>
      </c>
      <c r="BG105" s="300">
        <v>1487</v>
      </c>
      <c r="BH105" s="300"/>
      <c r="BI105" s="300">
        <v>2019</v>
      </c>
      <c r="BJ105" s="300">
        <v>21</v>
      </c>
      <c r="BK105" s="300">
        <v>0</v>
      </c>
      <c r="BL105" s="300">
        <v>0</v>
      </c>
      <c r="BM105" s="300">
        <v>0</v>
      </c>
      <c r="BN105" s="300">
        <v>0</v>
      </c>
      <c r="BO105" s="300">
        <v>21</v>
      </c>
      <c r="CH105" s="237" t="s">
        <v>222</v>
      </c>
      <c r="CI105" s="237">
        <v>2020</v>
      </c>
      <c r="CJ105" s="237">
        <v>288</v>
      </c>
      <c r="CK105" s="237">
        <v>468</v>
      </c>
      <c r="CL105" s="237">
        <v>727</v>
      </c>
      <c r="CM105" s="237">
        <v>967</v>
      </c>
      <c r="CN105" s="237">
        <v>770</v>
      </c>
      <c r="CO105" s="237">
        <v>3220</v>
      </c>
      <c r="CP105" s="237"/>
      <c r="CQ105" s="237">
        <v>2020</v>
      </c>
      <c r="CR105" s="237">
        <v>19</v>
      </c>
      <c r="CS105" s="237">
        <v>0</v>
      </c>
      <c r="CT105" s="237">
        <v>0</v>
      </c>
      <c r="CU105" s="237">
        <v>0</v>
      </c>
      <c r="CV105" s="237">
        <v>0</v>
      </c>
      <c r="CW105" s="237">
        <v>19</v>
      </c>
      <c r="EG105" s="237" t="s">
        <v>1306</v>
      </c>
      <c r="EH105" s="237">
        <v>2020</v>
      </c>
      <c r="EI105" s="237" t="s">
        <v>792</v>
      </c>
      <c r="EJ105" s="237" t="s">
        <v>792</v>
      </c>
      <c r="EK105" s="237" t="s">
        <v>792</v>
      </c>
      <c r="EL105" s="237" t="s">
        <v>792</v>
      </c>
      <c r="EM105" s="237" t="s">
        <v>792</v>
      </c>
      <c r="EN105" s="237" t="s">
        <v>792</v>
      </c>
      <c r="EO105" s="237"/>
      <c r="EP105" s="237">
        <v>2020</v>
      </c>
      <c r="EQ105" s="237" t="s">
        <v>792</v>
      </c>
      <c r="ER105" s="237" t="s">
        <v>792</v>
      </c>
      <c r="ES105" s="237" t="s">
        <v>792</v>
      </c>
      <c r="ET105" s="237" t="s">
        <v>792</v>
      </c>
      <c r="EU105" s="237" t="s">
        <v>792</v>
      </c>
      <c r="EV105" s="237" t="s">
        <v>792</v>
      </c>
      <c r="EX105" s="309" t="s">
        <v>1174</v>
      </c>
      <c r="EY105" s="309">
        <v>2020</v>
      </c>
      <c r="EZ105" s="309">
        <v>428</v>
      </c>
      <c r="FA105" s="309">
        <v>513</v>
      </c>
      <c r="FB105" s="309">
        <v>466</v>
      </c>
      <c r="FC105" s="309">
        <v>458</v>
      </c>
      <c r="FD105" s="309">
        <v>575</v>
      </c>
      <c r="FE105" s="309">
        <v>2440</v>
      </c>
      <c r="FF105" s="309"/>
      <c r="FG105" s="309">
        <v>2020</v>
      </c>
      <c r="FH105" s="309">
        <v>101</v>
      </c>
      <c r="FI105" s="309">
        <v>16</v>
      </c>
      <c r="FJ105" s="309">
        <v>0</v>
      </c>
      <c r="FK105" s="309">
        <v>0</v>
      </c>
      <c r="FL105" s="309">
        <v>0</v>
      </c>
      <c r="FM105" s="309">
        <v>117</v>
      </c>
    </row>
    <row r="106" spans="1:169">
      <c r="A106" s="288" t="s">
        <v>635</v>
      </c>
      <c r="B106" s="288">
        <v>2020</v>
      </c>
      <c r="C106" s="288">
        <v>126</v>
      </c>
      <c r="D106" s="288">
        <v>3</v>
      </c>
      <c r="E106" s="288">
        <v>0</v>
      </c>
      <c r="F106" s="288">
        <v>0</v>
      </c>
      <c r="G106" s="288">
        <v>0</v>
      </c>
      <c r="H106" s="288">
        <v>129</v>
      </c>
      <c r="J106" s="288">
        <v>2020</v>
      </c>
      <c r="K106" s="288">
        <v>721</v>
      </c>
      <c r="L106" s="288">
        <v>750</v>
      </c>
      <c r="M106" s="288">
        <v>769</v>
      </c>
      <c r="N106" s="288">
        <v>856</v>
      </c>
      <c r="O106" s="288">
        <v>595</v>
      </c>
      <c r="P106" s="288">
        <v>3691</v>
      </c>
      <c r="AI106" s="290" t="s">
        <v>440</v>
      </c>
      <c r="AJ106" s="290">
        <v>2019</v>
      </c>
      <c r="AK106" s="290">
        <v>658</v>
      </c>
      <c r="AL106" s="290">
        <v>765</v>
      </c>
      <c r="AM106" s="290">
        <v>561</v>
      </c>
      <c r="AN106" s="290">
        <v>587</v>
      </c>
      <c r="AO106" s="290">
        <v>628</v>
      </c>
      <c r="AP106" s="290">
        <v>3199</v>
      </c>
      <c r="AQ106" s="290"/>
      <c r="AR106" s="290">
        <v>2019</v>
      </c>
      <c r="AS106" s="290">
        <v>116</v>
      </c>
      <c r="AT106" s="290">
        <v>17</v>
      </c>
      <c r="AU106" s="290">
        <v>8</v>
      </c>
      <c r="AV106" s="290">
        <v>17</v>
      </c>
      <c r="AW106" s="290">
        <v>17</v>
      </c>
      <c r="AX106" s="290">
        <v>175</v>
      </c>
      <c r="AZ106" s="300" t="s">
        <v>119</v>
      </c>
      <c r="BA106" s="300">
        <v>2019</v>
      </c>
      <c r="BB106" s="300">
        <v>1901</v>
      </c>
      <c r="BC106" s="300">
        <v>1174</v>
      </c>
      <c r="BD106" s="300">
        <v>1386</v>
      </c>
      <c r="BE106" s="300">
        <v>1332</v>
      </c>
      <c r="BF106" s="300">
        <v>965</v>
      </c>
      <c r="BG106" s="300">
        <v>6758</v>
      </c>
      <c r="BH106" s="300"/>
      <c r="BI106" s="300">
        <v>2019</v>
      </c>
      <c r="BJ106" s="300">
        <v>376</v>
      </c>
      <c r="BK106" s="300">
        <v>0</v>
      </c>
      <c r="BL106" s="300">
        <v>0</v>
      </c>
      <c r="BM106" s="300">
        <v>0</v>
      </c>
      <c r="BN106" s="300">
        <v>0</v>
      </c>
      <c r="BO106" s="300">
        <v>376</v>
      </c>
      <c r="CH106" s="237" t="s">
        <v>226</v>
      </c>
      <c r="CI106" s="237">
        <v>2020</v>
      </c>
      <c r="CJ106" s="237">
        <v>101</v>
      </c>
      <c r="CK106" s="237">
        <v>122</v>
      </c>
      <c r="CL106" s="237">
        <v>209</v>
      </c>
      <c r="CM106" s="237">
        <v>277</v>
      </c>
      <c r="CN106" s="237">
        <v>239</v>
      </c>
      <c r="CO106" s="237">
        <v>948</v>
      </c>
      <c r="CP106" s="237"/>
      <c r="CQ106" s="237">
        <v>2020</v>
      </c>
      <c r="CR106" s="237">
        <v>18</v>
      </c>
      <c r="CS106" s="237">
        <v>0</v>
      </c>
      <c r="CT106" s="237">
        <v>0</v>
      </c>
      <c r="CU106" s="237">
        <v>0</v>
      </c>
      <c r="CV106" s="237">
        <v>0</v>
      </c>
      <c r="CW106" s="237">
        <v>18</v>
      </c>
      <c r="EG106" s="237" t="s">
        <v>1308</v>
      </c>
      <c r="EH106" s="237">
        <v>2020</v>
      </c>
      <c r="EI106" s="237" t="s">
        <v>792</v>
      </c>
      <c r="EJ106" s="237" t="s">
        <v>792</v>
      </c>
      <c r="EK106" s="237" t="s">
        <v>792</v>
      </c>
      <c r="EL106" s="237" t="s">
        <v>792</v>
      </c>
      <c r="EM106" s="237" t="s">
        <v>792</v>
      </c>
      <c r="EN106" s="237" t="s">
        <v>792</v>
      </c>
      <c r="EO106" s="237"/>
      <c r="EP106" s="237">
        <v>2020</v>
      </c>
      <c r="EQ106" s="237" t="s">
        <v>792</v>
      </c>
      <c r="ER106" s="237" t="s">
        <v>792</v>
      </c>
      <c r="ES106" s="237" t="s">
        <v>792</v>
      </c>
      <c r="ET106" s="237" t="s">
        <v>792</v>
      </c>
      <c r="EU106" s="237" t="s">
        <v>792</v>
      </c>
      <c r="EV106" s="237" t="s">
        <v>792</v>
      </c>
      <c r="EX106" s="309" t="s">
        <v>1870</v>
      </c>
      <c r="EY106" s="309">
        <v>2020</v>
      </c>
      <c r="EZ106" s="309" t="s">
        <v>792</v>
      </c>
      <c r="FA106" s="309" t="s">
        <v>792</v>
      </c>
      <c r="FB106" s="309" t="s">
        <v>792</v>
      </c>
      <c r="FC106" s="309" t="s">
        <v>792</v>
      </c>
      <c r="FD106" s="309" t="s">
        <v>792</v>
      </c>
      <c r="FE106" s="309" t="s">
        <v>792</v>
      </c>
      <c r="FF106" s="309"/>
      <c r="FG106" s="309">
        <v>2020</v>
      </c>
      <c r="FH106" s="309" t="s">
        <v>792</v>
      </c>
      <c r="FI106" s="309" t="s">
        <v>792</v>
      </c>
      <c r="FJ106" s="309" t="s">
        <v>792</v>
      </c>
      <c r="FK106" s="309" t="s">
        <v>792</v>
      </c>
      <c r="FL106" s="309" t="s">
        <v>792</v>
      </c>
      <c r="FM106" s="309" t="s">
        <v>792</v>
      </c>
    </row>
    <row r="107" spans="1:169">
      <c r="A107" s="288" t="s">
        <v>638</v>
      </c>
      <c r="B107" s="288">
        <v>2020</v>
      </c>
      <c r="C107" s="288">
        <v>52</v>
      </c>
      <c r="D107" s="288">
        <v>3</v>
      </c>
      <c r="E107" s="288">
        <v>0</v>
      </c>
      <c r="F107" s="288">
        <v>1</v>
      </c>
      <c r="G107" s="288">
        <v>0</v>
      </c>
      <c r="H107" s="288">
        <v>56</v>
      </c>
      <c r="J107" s="288">
        <v>2020</v>
      </c>
      <c r="K107" s="288">
        <v>615</v>
      </c>
      <c r="L107" s="288">
        <v>838</v>
      </c>
      <c r="M107" s="288">
        <v>1298</v>
      </c>
      <c r="N107" s="288">
        <v>1577</v>
      </c>
      <c r="O107" s="288">
        <v>956</v>
      </c>
      <c r="P107" s="288">
        <v>5284</v>
      </c>
      <c r="AI107" s="290" t="s">
        <v>441</v>
      </c>
      <c r="AJ107" s="290">
        <v>2019</v>
      </c>
      <c r="AK107" s="290">
        <v>522</v>
      </c>
      <c r="AL107" s="290">
        <v>742</v>
      </c>
      <c r="AM107" s="290">
        <v>601</v>
      </c>
      <c r="AN107" s="290">
        <v>598</v>
      </c>
      <c r="AO107" s="290">
        <v>734</v>
      </c>
      <c r="AP107" s="290">
        <v>3197</v>
      </c>
      <c r="AQ107" s="290"/>
      <c r="AR107" s="290">
        <v>2019</v>
      </c>
      <c r="AS107" s="290">
        <v>84</v>
      </c>
      <c r="AT107" s="290">
        <v>20</v>
      </c>
      <c r="AU107" s="290">
        <v>22</v>
      </c>
      <c r="AV107" s="290">
        <v>27</v>
      </c>
      <c r="AW107" s="290">
        <v>30</v>
      </c>
      <c r="AX107" s="290">
        <v>183</v>
      </c>
      <c r="AZ107" s="300" t="s">
        <v>171</v>
      </c>
      <c r="BA107" s="300">
        <v>2019</v>
      </c>
      <c r="BB107" s="300">
        <v>85</v>
      </c>
      <c r="BC107" s="300">
        <v>77</v>
      </c>
      <c r="BD107" s="300">
        <v>151</v>
      </c>
      <c r="BE107" s="300">
        <v>223</v>
      </c>
      <c r="BF107" s="300">
        <v>191</v>
      </c>
      <c r="BG107" s="300">
        <v>727</v>
      </c>
      <c r="BH107" s="300"/>
      <c r="BI107" s="300">
        <v>2019</v>
      </c>
      <c r="BJ107" s="300">
        <v>22</v>
      </c>
      <c r="BK107" s="300">
        <v>0</v>
      </c>
      <c r="BL107" s="300">
        <v>0</v>
      </c>
      <c r="BM107" s="300">
        <v>0</v>
      </c>
      <c r="BN107" s="300">
        <v>0</v>
      </c>
      <c r="BO107" s="300">
        <v>22</v>
      </c>
      <c r="CH107" s="237" t="s">
        <v>228</v>
      </c>
      <c r="CI107" s="237">
        <v>2020</v>
      </c>
      <c r="CJ107" s="237">
        <v>218</v>
      </c>
      <c r="CK107" s="237">
        <v>82</v>
      </c>
      <c r="CL107" s="237">
        <v>141</v>
      </c>
      <c r="CM107" s="237">
        <v>189</v>
      </c>
      <c r="CN107" s="237">
        <v>184</v>
      </c>
      <c r="CO107" s="237">
        <v>814</v>
      </c>
      <c r="CP107" s="237"/>
      <c r="CQ107" s="237">
        <v>2020</v>
      </c>
      <c r="CR107" s="237">
        <v>50</v>
      </c>
      <c r="CS107" s="237">
        <v>0</v>
      </c>
      <c r="CT107" s="237">
        <v>0</v>
      </c>
      <c r="CU107" s="237">
        <v>0</v>
      </c>
      <c r="CV107" s="237">
        <v>0</v>
      </c>
      <c r="CW107" s="237">
        <v>50</v>
      </c>
      <c r="EG107" s="237" t="s">
        <v>1140</v>
      </c>
      <c r="EH107" s="237">
        <v>2020</v>
      </c>
      <c r="EI107" s="237">
        <v>88</v>
      </c>
      <c r="EJ107" s="237">
        <v>151</v>
      </c>
      <c r="EK107" s="237">
        <v>224</v>
      </c>
      <c r="EL107" s="237">
        <v>258</v>
      </c>
      <c r="EM107" s="237">
        <v>317</v>
      </c>
      <c r="EN107" s="237">
        <v>1038</v>
      </c>
      <c r="EO107" s="237"/>
      <c r="EP107" s="237">
        <v>2020</v>
      </c>
      <c r="EQ107" s="237">
        <v>7</v>
      </c>
      <c r="ER107" s="237">
        <v>10</v>
      </c>
      <c r="ES107" s="237">
        <v>3</v>
      </c>
      <c r="ET107" s="237">
        <v>0</v>
      </c>
      <c r="EU107" s="237">
        <v>1</v>
      </c>
      <c r="EV107" s="237">
        <v>21</v>
      </c>
      <c r="EX107" s="309" t="s">
        <v>1175</v>
      </c>
      <c r="EY107" s="309">
        <v>2020</v>
      </c>
      <c r="EZ107" s="309">
        <v>1930</v>
      </c>
      <c r="FA107" s="309">
        <v>1434</v>
      </c>
      <c r="FB107" s="309">
        <v>995</v>
      </c>
      <c r="FC107" s="309">
        <v>701</v>
      </c>
      <c r="FD107" s="309">
        <v>857</v>
      </c>
      <c r="FE107" s="309">
        <v>5917</v>
      </c>
      <c r="FF107" s="309"/>
      <c r="FG107" s="309">
        <v>2020</v>
      </c>
      <c r="FH107" s="309">
        <v>439</v>
      </c>
      <c r="FI107" s="309">
        <v>111</v>
      </c>
      <c r="FJ107" s="309">
        <v>0</v>
      </c>
      <c r="FK107" s="309">
        <v>0</v>
      </c>
      <c r="FL107" s="309">
        <v>0</v>
      </c>
      <c r="FM107" s="309">
        <v>550</v>
      </c>
    </row>
    <row r="108" spans="1:169">
      <c r="A108" s="288" t="s">
        <v>641</v>
      </c>
      <c r="B108" s="288">
        <v>2020</v>
      </c>
      <c r="C108" s="288">
        <v>53</v>
      </c>
      <c r="D108" s="288">
        <v>2</v>
      </c>
      <c r="E108" s="288">
        <v>0</v>
      </c>
      <c r="F108" s="288">
        <v>0</v>
      </c>
      <c r="G108" s="288">
        <v>0</v>
      </c>
      <c r="H108" s="288">
        <v>55</v>
      </c>
      <c r="J108" s="288">
        <v>2020</v>
      </c>
      <c r="K108" s="288">
        <v>617</v>
      </c>
      <c r="L108" s="288">
        <v>736</v>
      </c>
      <c r="M108" s="288">
        <v>1120</v>
      </c>
      <c r="N108" s="288">
        <v>1271</v>
      </c>
      <c r="O108" s="288">
        <v>859</v>
      </c>
      <c r="P108" s="288">
        <v>4603</v>
      </c>
      <c r="AI108" s="290" t="s">
        <v>442</v>
      </c>
      <c r="AJ108" s="290">
        <v>2019</v>
      </c>
      <c r="AK108" s="290">
        <v>499</v>
      </c>
      <c r="AL108" s="290">
        <v>407</v>
      </c>
      <c r="AM108" s="290">
        <v>404</v>
      </c>
      <c r="AN108" s="290">
        <v>448</v>
      </c>
      <c r="AO108" s="290">
        <v>645</v>
      </c>
      <c r="AP108" s="290">
        <v>2403</v>
      </c>
      <c r="AQ108" s="290"/>
      <c r="AR108" s="290">
        <v>2019</v>
      </c>
      <c r="AS108" s="290">
        <v>128</v>
      </c>
      <c r="AT108" s="290">
        <v>31</v>
      </c>
      <c r="AU108" s="290">
        <v>24</v>
      </c>
      <c r="AV108" s="290">
        <v>24</v>
      </c>
      <c r="AW108" s="290">
        <v>43</v>
      </c>
      <c r="AX108" s="290">
        <v>250</v>
      </c>
      <c r="AZ108" s="300" t="s">
        <v>121</v>
      </c>
      <c r="BA108" s="300">
        <v>2019</v>
      </c>
      <c r="BB108" s="300">
        <v>137</v>
      </c>
      <c r="BC108" s="300">
        <v>88</v>
      </c>
      <c r="BD108" s="300">
        <v>109</v>
      </c>
      <c r="BE108" s="300">
        <v>159</v>
      </c>
      <c r="BF108" s="300">
        <v>148</v>
      </c>
      <c r="BG108" s="300">
        <v>641</v>
      </c>
      <c r="BH108" s="300"/>
      <c r="BI108" s="300">
        <v>2019</v>
      </c>
      <c r="BJ108" s="300">
        <v>28</v>
      </c>
      <c r="BK108" s="300">
        <v>0</v>
      </c>
      <c r="BL108" s="300">
        <v>0</v>
      </c>
      <c r="BM108" s="300">
        <v>0</v>
      </c>
      <c r="BN108" s="300">
        <v>0</v>
      </c>
      <c r="BO108" s="300">
        <v>28</v>
      </c>
      <c r="CH108" s="237" t="s">
        <v>230</v>
      </c>
      <c r="CI108" s="237">
        <v>2020</v>
      </c>
      <c r="CJ108" s="237">
        <v>36</v>
      </c>
      <c r="CK108" s="237">
        <v>76</v>
      </c>
      <c r="CL108" s="237">
        <v>143</v>
      </c>
      <c r="CM108" s="237">
        <v>235</v>
      </c>
      <c r="CN108" s="237">
        <v>262</v>
      </c>
      <c r="CO108" s="237">
        <v>752</v>
      </c>
      <c r="CP108" s="237"/>
      <c r="CQ108" s="237">
        <v>2020</v>
      </c>
      <c r="CR108" s="237">
        <v>8</v>
      </c>
      <c r="CS108" s="237">
        <v>0</v>
      </c>
      <c r="CT108" s="237">
        <v>0</v>
      </c>
      <c r="CU108" s="237">
        <v>0</v>
      </c>
      <c r="CV108" s="237">
        <v>0</v>
      </c>
      <c r="CW108" s="237">
        <v>8</v>
      </c>
      <c r="EG108" s="237" t="s">
        <v>1143</v>
      </c>
      <c r="EH108" s="237">
        <v>2020</v>
      </c>
      <c r="EI108" s="237">
        <v>67</v>
      </c>
      <c r="EJ108" s="237">
        <v>109</v>
      </c>
      <c r="EK108" s="237">
        <v>142</v>
      </c>
      <c r="EL108" s="237">
        <v>209</v>
      </c>
      <c r="EM108" s="237">
        <v>273</v>
      </c>
      <c r="EN108" s="237">
        <v>800</v>
      </c>
      <c r="EO108" s="237"/>
      <c r="EP108" s="237">
        <v>2020</v>
      </c>
      <c r="EQ108" s="237">
        <v>13</v>
      </c>
      <c r="ER108" s="237">
        <v>7</v>
      </c>
      <c r="ES108" s="237">
        <v>0</v>
      </c>
      <c r="ET108" s="237">
        <v>2</v>
      </c>
      <c r="EU108" s="237">
        <v>3</v>
      </c>
      <c r="EV108" s="237">
        <v>25</v>
      </c>
      <c r="EX108" s="309" t="s">
        <v>1177</v>
      </c>
      <c r="EY108" s="309">
        <v>2020</v>
      </c>
      <c r="EZ108" s="309">
        <v>294</v>
      </c>
      <c r="FA108" s="309">
        <v>477</v>
      </c>
      <c r="FB108" s="309">
        <v>592</v>
      </c>
      <c r="FC108" s="309">
        <v>534</v>
      </c>
      <c r="FD108" s="309">
        <v>681</v>
      </c>
      <c r="FE108" s="309">
        <v>2578</v>
      </c>
      <c r="FF108" s="309"/>
      <c r="FG108" s="309">
        <v>2020</v>
      </c>
      <c r="FH108" s="309">
        <v>47</v>
      </c>
      <c r="FI108" s="309">
        <v>3</v>
      </c>
      <c r="FJ108" s="309">
        <v>0</v>
      </c>
      <c r="FK108" s="309">
        <v>0</v>
      </c>
      <c r="FL108" s="309">
        <v>0</v>
      </c>
      <c r="FM108" s="309">
        <v>50</v>
      </c>
    </row>
    <row r="109" spans="1:169">
      <c r="A109" s="288" t="s">
        <v>644</v>
      </c>
      <c r="B109" s="288">
        <v>2020</v>
      </c>
      <c r="C109" s="288">
        <v>72</v>
      </c>
      <c r="D109" s="288">
        <v>2</v>
      </c>
      <c r="E109" s="288">
        <v>0</v>
      </c>
      <c r="F109" s="288">
        <v>0</v>
      </c>
      <c r="G109" s="288">
        <v>0</v>
      </c>
      <c r="H109" s="288">
        <v>74</v>
      </c>
      <c r="J109" s="288">
        <v>2020</v>
      </c>
      <c r="K109" s="288">
        <v>769</v>
      </c>
      <c r="L109" s="288">
        <v>677</v>
      </c>
      <c r="M109" s="288">
        <v>756</v>
      </c>
      <c r="N109" s="288">
        <v>878</v>
      </c>
      <c r="O109" s="288">
        <v>566</v>
      </c>
      <c r="P109" s="288">
        <v>3646</v>
      </c>
      <c r="AI109" s="290" t="s">
        <v>443</v>
      </c>
      <c r="AJ109" s="290">
        <v>2019</v>
      </c>
      <c r="AK109" s="290">
        <v>837</v>
      </c>
      <c r="AL109" s="290">
        <v>766</v>
      </c>
      <c r="AM109" s="290">
        <v>662</v>
      </c>
      <c r="AN109" s="290">
        <v>692</v>
      </c>
      <c r="AO109" s="290">
        <v>978</v>
      </c>
      <c r="AP109" s="290">
        <v>3935</v>
      </c>
      <c r="AQ109" s="290"/>
      <c r="AR109" s="290">
        <v>2019</v>
      </c>
      <c r="AS109" s="290">
        <v>113</v>
      </c>
      <c r="AT109" s="290">
        <v>10</v>
      </c>
      <c r="AU109" s="290">
        <v>13</v>
      </c>
      <c r="AV109" s="290">
        <v>9</v>
      </c>
      <c r="AW109" s="290">
        <v>14</v>
      </c>
      <c r="AX109" s="290">
        <v>159</v>
      </c>
      <c r="AZ109" s="300" t="s">
        <v>122</v>
      </c>
      <c r="BA109" s="300">
        <v>2019</v>
      </c>
      <c r="BB109" s="300">
        <v>82</v>
      </c>
      <c r="BC109" s="300">
        <v>57</v>
      </c>
      <c r="BD109" s="300">
        <v>76</v>
      </c>
      <c r="BE109" s="300">
        <v>96</v>
      </c>
      <c r="BF109" s="300">
        <v>85</v>
      </c>
      <c r="BG109" s="300">
        <v>396</v>
      </c>
      <c r="BH109" s="300"/>
      <c r="BI109" s="300">
        <v>2019</v>
      </c>
      <c r="BJ109" s="300">
        <v>22</v>
      </c>
      <c r="BK109" s="300">
        <v>1</v>
      </c>
      <c r="BL109" s="300">
        <v>0</v>
      </c>
      <c r="BM109" s="300">
        <v>0</v>
      </c>
      <c r="BN109" s="300">
        <v>0</v>
      </c>
      <c r="BO109" s="300">
        <v>23</v>
      </c>
      <c r="CH109" s="237" t="s">
        <v>277</v>
      </c>
      <c r="CI109" s="237">
        <v>2020</v>
      </c>
      <c r="CJ109" s="237">
        <v>77</v>
      </c>
      <c r="CK109" s="237">
        <v>102</v>
      </c>
      <c r="CL109" s="237">
        <v>212</v>
      </c>
      <c r="CM109" s="237">
        <v>330</v>
      </c>
      <c r="CN109" s="237">
        <v>275</v>
      </c>
      <c r="CO109" s="237">
        <v>996</v>
      </c>
      <c r="CP109" s="237"/>
      <c r="CQ109" s="237">
        <v>2020</v>
      </c>
      <c r="CR109" s="237">
        <v>21</v>
      </c>
      <c r="CS109" s="237">
        <v>0</v>
      </c>
      <c r="CT109" s="237">
        <v>0</v>
      </c>
      <c r="CU109" s="237">
        <v>0</v>
      </c>
      <c r="CV109" s="237">
        <v>0</v>
      </c>
      <c r="CW109" s="237">
        <v>21</v>
      </c>
      <c r="EX109" s="309" t="s">
        <v>1178</v>
      </c>
      <c r="EY109" s="309">
        <v>2020</v>
      </c>
      <c r="EZ109" s="309">
        <v>172</v>
      </c>
      <c r="FA109" s="309">
        <v>373</v>
      </c>
      <c r="FB109" s="309">
        <v>577</v>
      </c>
      <c r="FC109" s="309">
        <v>564</v>
      </c>
      <c r="FD109" s="309">
        <v>619</v>
      </c>
      <c r="FE109" s="309">
        <v>2305</v>
      </c>
      <c r="FF109" s="309"/>
      <c r="FG109" s="309">
        <v>2020</v>
      </c>
      <c r="FH109" s="309">
        <v>15</v>
      </c>
      <c r="FI109" s="309">
        <v>0</v>
      </c>
      <c r="FJ109" s="309">
        <v>0</v>
      </c>
      <c r="FK109" s="309">
        <v>0</v>
      </c>
      <c r="FL109" s="309">
        <v>0</v>
      </c>
      <c r="FM109" s="309">
        <v>15</v>
      </c>
    </row>
    <row r="110" spans="1:169">
      <c r="A110" s="288" t="s">
        <v>646</v>
      </c>
      <c r="B110" s="288">
        <v>2020</v>
      </c>
      <c r="C110" s="288">
        <v>15</v>
      </c>
      <c r="D110" s="288">
        <v>2</v>
      </c>
      <c r="E110" s="288">
        <v>1</v>
      </c>
      <c r="F110" s="288">
        <v>0</v>
      </c>
      <c r="G110" s="288">
        <v>0</v>
      </c>
      <c r="H110" s="288">
        <v>18</v>
      </c>
      <c r="J110" s="288">
        <v>2020</v>
      </c>
      <c r="K110" s="288">
        <v>146</v>
      </c>
      <c r="L110" s="288">
        <v>250</v>
      </c>
      <c r="M110" s="288">
        <v>495</v>
      </c>
      <c r="N110" s="288">
        <v>598</v>
      </c>
      <c r="O110" s="288">
        <v>463</v>
      </c>
      <c r="P110" s="288">
        <v>1952</v>
      </c>
      <c r="AI110" s="290" t="s">
        <v>444</v>
      </c>
      <c r="AJ110" s="290">
        <v>2019</v>
      </c>
      <c r="AK110" s="290">
        <v>718</v>
      </c>
      <c r="AL110" s="290">
        <v>643</v>
      </c>
      <c r="AM110" s="290">
        <v>635</v>
      </c>
      <c r="AN110" s="290">
        <v>563</v>
      </c>
      <c r="AO110" s="290">
        <v>785</v>
      </c>
      <c r="AP110" s="290">
        <v>3344</v>
      </c>
      <c r="AQ110" s="290"/>
      <c r="AR110" s="290">
        <v>2019</v>
      </c>
      <c r="AS110" s="290">
        <v>109</v>
      </c>
      <c r="AT110" s="290">
        <v>23</v>
      </c>
      <c r="AU110" s="290">
        <v>20</v>
      </c>
      <c r="AV110" s="290">
        <v>16</v>
      </c>
      <c r="AW110" s="290">
        <v>20</v>
      </c>
      <c r="AX110" s="290">
        <v>188</v>
      </c>
      <c r="AZ110" s="300" t="s">
        <v>123</v>
      </c>
      <c r="BA110" s="300">
        <v>2019</v>
      </c>
      <c r="BB110" s="300">
        <v>87</v>
      </c>
      <c r="BC110" s="300">
        <v>57</v>
      </c>
      <c r="BD110" s="300">
        <v>118</v>
      </c>
      <c r="BE110" s="300">
        <v>216</v>
      </c>
      <c r="BF110" s="300">
        <v>207</v>
      </c>
      <c r="BG110" s="300">
        <v>685</v>
      </c>
      <c r="BH110" s="300"/>
      <c r="BI110" s="300">
        <v>2019</v>
      </c>
      <c r="BJ110" s="300">
        <v>26</v>
      </c>
      <c r="BK110" s="300">
        <v>0</v>
      </c>
      <c r="BL110" s="300">
        <v>0</v>
      </c>
      <c r="BM110" s="300">
        <v>0</v>
      </c>
      <c r="BN110" s="300">
        <v>0</v>
      </c>
      <c r="BO110" s="300">
        <v>26</v>
      </c>
      <c r="CH110" s="237" t="s">
        <v>279</v>
      </c>
      <c r="CI110" s="237">
        <v>2020</v>
      </c>
      <c r="CJ110" s="237">
        <v>48</v>
      </c>
      <c r="CK110" s="237">
        <v>14</v>
      </c>
      <c r="CL110" s="237">
        <v>16</v>
      </c>
      <c r="CM110" s="237">
        <v>14</v>
      </c>
      <c r="CN110" s="237">
        <v>47</v>
      </c>
      <c r="CO110" s="237">
        <v>139</v>
      </c>
      <c r="CP110" s="237"/>
      <c r="CQ110" s="237">
        <v>2020</v>
      </c>
      <c r="CR110" s="237">
        <v>16</v>
      </c>
      <c r="CS110" s="237">
        <v>0</v>
      </c>
      <c r="CT110" s="237">
        <v>0</v>
      </c>
      <c r="CU110" s="237">
        <v>0</v>
      </c>
      <c r="CV110" s="237">
        <v>0</v>
      </c>
      <c r="CW110" s="237">
        <v>16</v>
      </c>
      <c r="EX110" s="309" t="s">
        <v>1179</v>
      </c>
      <c r="EY110" s="309">
        <v>2020</v>
      </c>
      <c r="EZ110" s="309">
        <v>559</v>
      </c>
      <c r="FA110" s="309">
        <v>630</v>
      </c>
      <c r="FB110" s="309">
        <v>686</v>
      </c>
      <c r="FC110" s="309">
        <v>630</v>
      </c>
      <c r="FD110" s="309">
        <v>713</v>
      </c>
      <c r="FE110" s="309">
        <v>3218</v>
      </c>
      <c r="FF110" s="309"/>
      <c r="FG110" s="309">
        <v>2020</v>
      </c>
      <c r="FH110" s="309">
        <v>55</v>
      </c>
      <c r="FI110" s="309">
        <v>0</v>
      </c>
      <c r="FJ110" s="309">
        <v>0</v>
      </c>
      <c r="FK110" s="309">
        <v>0</v>
      </c>
      <c r="FL110" s="309">
        <v>0</v>
      </c>
      <c r="FM110" s="309">
        <v>55</v>
      </c>
    </row>
    <row r="111" spans="1:169">
      <c r="A111" s="288" t="s">
        <v>648</v>
      </c>
      <c r="B111" s="288">
        <v>2020</v>
      </c>
      <c r="C111" s="288">
        <v>42</v>
      </c>
      <c r="D111" s="288">
        <v>6</v>
      </c>
      <c r="E111" s="288">
        <v>6</v>
      </c>
      <c r="F111" s="288">
        <v>2</v>
      </c>
      <c r="G111" s="288">
        <v>0</v>
      </c>
      <c r="H111" s="288">
        <v>56</v>
      </c>
      <c r="J111" s="288">
        <v>2020</v>
      </c>
      <c r="K111" s="288">
        <v>190</v>
      </c>
      <c r="L111" s="288">
        <v>305</v>
      </c>
      <c r="M111" s="288">
        <v>482</v>
      </c>
      <c r="N111" s="288">
        <v>594</v>
      </c>
      <c r="O111" s="288">
        <v>433</v>
      </c>
      <c r="P111" s="288">
        <v>2004</v>
      </c>
      <c r="AI111" s="290" t="s">
        <v>445</v>
      </c>
      <c r="AJ111" s="290">
        <v>2019</v>
      </c>
      <c r="AK111" s="290">
        <v>829</v>
      </c>
      <c r="AL111" s="290">
        <v>692</v>
      </c>
      <c r="AM111" s="290">
        <v>691</v>
      </c>
      <c r="AN111" s="290">
        <v>608</v>
      </c>
      <c r="AO111" s="290">
        <v>870</v>
      </c>
      <c r="AP111" s="290">
        <v>3690</v>
      </c>
      <c r="AQ111" s="290"/>
      <c r="AR111" s="290">
        <v>2019</v>
      </c>
      <c r="AS111" s="290">
        <v>142</v>
      </c>
      <c r="AT111" s="290">
        <v>41</v>
      </c>
      <c r="AU111" s="290">
        <v>36</v>
      </c>
      <c r="AV111" s="290">
        <v>22</v>
      </c>
      <c r="AW111" s="290">
        <v>40</v>
      </c>
      <c r="AX111" s="290">
        <v>281</v>
      </c>
      <c r="AZ111" s="300" t="s">
        <v>125</v>
      </c>
      <c r="BA111" s="300">
        <v>2019</v>
      </c>
      <c r="BB111" s="300">
        <v>574</v>
      </c>
      <c r="BC111" s="300">
        <v>526</v>
      </c>
      <c r="BD111" s="300">
        <v>957</v>
      </c>
      <c r="BE111" s="300">
        <v>1315</v>
      </c>
      <c r="BF111" s="300">
        <v>1237</v>
      </c>
      <c r="BG111" s="300">
        <v>4609</v>
      </c>
      <c r="BH111" s="300"/>
      <c r="BI111" s="300">
        <v>2019</v>
      </c>
      <c r="BJ111" s="300">
        <v>66</v>
      </c>
      <c r="BK111" s="300">
        <v>0</v>
      </c>
      <c r="BL111" s="300">
        <v>0</v>
      </c>
      <c r="BM111" s="300">
        <v>0</v>
      </c>
      <c r="BN111" s="300">
        <v>0</v>
      </c>
      <c r="BO111" s="300">
        <v>66</v>
      </c>
      <c r="CH111" s="237" t="s">
        <v>283</v>
      </c>
      <c r="CI111" s="237">
        <v>2020</v>
      </c>
      <c r="CJ111" s="237">
        <v>90</v>
      </c>
      <c r="CK111" s="237">
        <v>139</v>
      </c>
      <c r="CL111" s="237">
        <v>298</v>
      </c>
      <c r="CM111" s="237">
        <v>461</v>
      </c>
      <c r="CN111" s="237">
        <v>378</v>
      </c>
      <c r="CO111" s="237">
        <v>1366</v>
      </c>
      <c r="CP111" s="237"/>
      <c r="CQ111" s="237">
        <v>2020</v>
      </c>
      <c r="CR111" s="237">
        <v>14</v>
      </c>
      <c r="CS111" s="237">
        <v>0</v>
      </c>
      <c r="CT111" s="237">
        <v>0</v>
      </c>
      <c r="CU111" s="237">
        <v>0</v>
      </c>
      <c r="CV111" s="237">
        <v>0</v>
      </c>
      <c r="CW111" s="237">
        <v>14</v>
      </c>
      <c r="EX111" s="309" t="s">
        <v>1180</v>
      </c>
      <c r="EY111" s="309">
        <v>2020</v>
      </c>
      <c r="EZ111" s="309">
        <v>490</v>
      </c>
      <c r="FA111" s="309">
        <v>612</v>
      </c>
      <c r="FB111" s="309">
        <v>745</v>
      </c>
      <c r="FC111" s="309">
        <v>689</v>
      </c>
      <c r="FD111" s="309">
        <v>756</v>
      </c>
      <c r="FE111" s="309">
        <v>3292</v>
      </c>
      <c r="FF111" s="309"/>
      <c r="FG111" s="309">
        <v>2020</v>
      </c>
      <c r="FH111" s="309">
        <v>52</v>
      </c>
      <c r="FI111" s="309">
        <v>6</v>
      </c>
      <c r="FJ111" s="309">
        <v>0</v>
      </c>
      <c r="FK111" s="309">
        <v>0</v>
      </c>
      <c r="FL111" s="309">
        <v>0</v>
      </c>
      <c r="FM111" s="309">
        <v>58</v>
      </c>
    </row>
    <row r="112" spans="1:169">
      <c r="A112" s="288" t="s">
        <v>650</v>
      </c>
      <c r="B112" s="288">
        <v>2020</v>
      </c>
      <c r="C112" s="288">
        <v>39</v>
      </c>
      <c r="D112" s="288">
        <v>2</v>
      </c>
      <c r="E112" s="288">
        <v>0</v>
      </c>
      <c r="F112" s="288">
        <v>0</v>
      </c>
      <c r="G112" s="288">
        <v>0</v>
      </c>
      <c r="H112" s="288">
        <v>41</v>
      </c>
      <c r="J112" s="288">
        <v>2020</v>
      </c>
      <c r="K112" s="288">
        <v>306</v>
      </c>
      <c r="L112" s="288">
        <v>275</v>
      </c>
      <c r="M112" s="288">
        <v>356</v>
      </c>
      <c r="N112" s="288">
        <v>442</v>
      </c>
      <c r="O112" s="288">
        <v>346</v>
      </c>
      <c r="P112" s="288">
        <v>1725</v>
      </c>
      <c r="AI112" s="290" t="s">
        <v>446</v>
      </c>
      <c r="AJ112" s="290">
        <v>2019</v>
      </c>
      <c r="AK112" s="290">
        <v>674</v>
      </c>
      <c r="AL112" s="290">
        <v>632</v>
      </c>
      <c r="AM112" s="290">
        <v>605</v>
      </c>
      <c r="AN112" s="290">
        <v>559</v>
      </c>
      <c r="AO112" s="290">
        <v>826</v>
      </c>
      <c r="AP112" s="290">
        <v>3296</v>
      </c>
      <c r="AQ112" s="290"/>
      <c r="AR112" s="290">
        <v>2019</v>
      </c>
      <c r="AS112" s="290">
        <v>138</v>
      </c>
      <c r="AT112" s="290">
        <v>37</v>
      </c>
      <c r="AU112" s="290">
        <v>19</v>
      </c>
      <c r="AV112" s="290">
        <v>26</v>
      </c>
      <c r="AW112" s="290">
        <v>37</v>
      </c>
      <c r="AX112" s="290">
        <v>257</v>
      </c>
      <c r="AZ112" s="300" t="s">
        <v>127</v>
      </c>
      <c r="BA112" s="300">
        <v>2019</v>
      </c>
      <c r="BB112" s="300">
        <v>100</v>
      </c>
      <c r="BC112" s="300">
        <v>75</v>
      </c>
      <c r="BD112" s="300">
        <v>171</v>
      </c>
      <c r="BE112" s="300">
        <v>238</v>
      </c>
      <c r="BF112" s="300">
        <v>236</v>
      </c>
      <c r="BG112" s="300">
        <v>820</v>
      </c>
      <c r="BH112" s="300"/>
      <c r="BI112" s="300">
        <v>2019</v>
      </c>
      <c r="BJ112" s="300">
        <v>26</v>
      </c>
      <c r="BK112" s="300">
        <v>0</v>
      </c>
      <c r="BL112" s="300">
        <v>0</v>
      </c>
      <c r="BM112" s="300">
        <v>0</v>
      </c>
      <c r="BN112" s="300">
        <v>0</v>
      </c>
      <c r="BO112" s="300">
        <v>26</v>
      </c>
      <c r="CH112" s="237" t="s">
        <v>285</v>
      </c>
      <c r="CI112" s="237">
        <v>2020</v>
      </c>
      <c r="CJ112" s="237">
        <v>917</v>
      </c>
      <c r="CK112" s="237">
        <v>550</v>
      </c>
      <c r="CL112" s="237">
        <v>619</v>
      </c>
      <c r="CM112" s="237">
        <v>595</v>
      </c>
      <c r="CN112" s="237">
        <v>507</v>
      </c>
      <c r="CO112" s="237">
        <v>3188</v>
      </c>
      <c r="CP112" s="237"/>
      <c r="CQ112" s="237">
        <v>2020</v>
      </c>
      <c r="CR112" s="237">
        <v>323</v>
      </c>
      <c r="CS112" s="237">
        <v>2</v>
      </c>
      <c r="CT112" s="237">
        <v>0</v>
      </c>
      <c r="CU112" s="237">
        <v>0</v>
      </c>
      <c r="CV112" s="237">
        <v>0</v>
      </c>
      <c r="CW112" s="237">
        <v>325</v>
      </c>
      <c r="EX112" s="309" t="s">
        <v>1181</v>
      </c>
      <c r="EY112" s="309">
        <v>2020</v>
      </c>
      <c r="EZ112" s="309">
        <v>345</v>
      </c>
      <c r="FA112" s="309">
        <v>454</v>
      </c>
      <c r="FB112" s="309">
        <v>527</v>
      </c>
      <c r="FC112" s="309">
        <v>611</v>
      </c>
      <c r="FD112" s="309">
        <v>718</v>
      </c>
      <c r="FE112" s="309">
        <v>2655</v>
      </c>
      <c r="FF112" s="309"/>
      <c r="FG112" s="309">
        <v>2020</v>
      </c>
      <c r="FH112" s="309">
        <v>73</v>
      </c>
      <c r="FI112" s="309">
        <v>29</v>
      </c>
      <c r="FJ112" s="309">
        <v>20</v>
      </c>
      <c r="FK112" s="309">
        <v>10</v>
      </c>
      <c r="FL112" s="309">
        <v>6</v>
      </c>
      <c r="FM112" s="309">
        <v>138</v>
      </c>
    </row>
    <row r="113" spans="1:169">
      <c r="A113" s="288" t="s">
        <v>652</v>
      </c>
      <c r="B113" s="288">
        <v>2020</v>
      </c>
      <c r="C113" s="288">
        <v>11</v>
      </c>
      <c r="D113" s="288">
        <v>0</v>
      </c>
      <c r="E113" s="288">
        <v>0</v>
      </c>
      <c r="F113" s="288">
        <v>0</v>
      </c>
      <c r="G113" s="288">
        <v>0</v>
      </c>
      <c r="H113" s="288">
        <v>11</v>
      </c>
      <c r="J113" s="288">
        <v>2020</v>
      </c>
      <c r="K113" s="288">
        <v>91</v>
      </c>
      <c r="L113" s="288">
        <v>109</v>
      </c>
      <c r="M113" s="288">
        <v>193</v>
      </c>
      <c r="N113" s="288">
        <v>318</v>
      </c>
      <c r="O113" s="288">
        <v>258</v>
      </c>
      <c r="P113" s="288">
        <v>969</v>
      </c>
      <c r="AI113" s="290" t="s">
        <v>447</v>
      </c>
      <c r="AJ113" s="290">
        <v>2019</v>
      </c>
      <c r="AK113" s="290">
        <v>402</v>
      </c>
      <c r="AL113" s="290">
        <v>538</v>
      </c>
      <c r="AM113" s="290">
        <v>494</v>
      </c>
      <c r="AN113" s="290">
        <v>482</v>
      </c>
      <c r="AO113" s="290">
        <v>605</v>
      </c>
      <c r="AP113" s="290">
        <v>2521</v>
      </c>
      <c r="AQ113" s="290"/>
      <c r="AR113" s="290">
        <v>2019</v>
      </c>
      <c r="AS113" s="290">
        <v>108</v>
      </c>
      <c r="AT113" s="290">
        <v>57</v>
      </c>
      <c r="AU113" s="290">
        <v>28</v>
      </c>
      <c r="AV113" s="290">
        <v>46</v>
      </c>
      <c r="AW113" s="290">
        <v>48</v>
      </c>
      <c r="AX113" s="290">
        <v>287</v>
      </c>
      <c r="AZ113" s="300" t="s">
        <v>129</v>
      </c>
      <c r="BA113" s="300">
        <v>2019</v>
      </c>
      <c r="BB113" s="300">
        <v>454</v>
      </c>
      <c r="BC113" s="300">
        <v>363</v>
      </c>
      <c r="BD113" s="300">
        <v>579</v>
      </c>
      <c r="BE113" s="300">
        <v>686</v>
      </c>
      <c r="BF113" s="300">
        <v>610</v>
      </c>
      <c r="BG113" s="300">
        <v>2692</v>
      </c>
      <c r="BH113" s="300"/>
      <c r="BI113" s="300">
        <v>2019</v>
      </c>
      <c r="BJ113" s="300">
        <v>59</v>
      </c>
      <c r="BK113" s="300">
        <v>0</v>
      </c>
      <c r="BL113" s="300">
        <v>0</v>
      </c>
      <c r="BM113" s="300">
        <v>0</v>
      </c>
      <c r="BN113" s="300">
        <v>0</v>
      </c>
      <c r="BO113" s="300">
        <v>59</v>
      </c>
      <c r="CH113" s="237" t="s">
        <v>218</v>
      </c>
      <c r="CI113" s="237">
        <v>2020</v>
      </c>
      <c r="CJ113" s="237">
        <v>37</v>
      </c>
      <c r="CK113" s="237">
        <v>34</v>
      </c>
      <c r="CL113" s="237">
        <v>65</v>
      </c>
      <c r="CM113" s="237">
        <v>88</v>
      </c>
      <c r="CN113" s="237">
        <v>104</v>
      </c>
      <c r="CO113" s="237">
        <v>328</v>
      </c>
      <c r="CP113" s="237"/>
      <c r="CQ113" s="237">
        <v>2020</v>
      </c>
      <c r="CR113" s="237">
        <v>18</v>
      </c>
      <c r="CS113" s="237">
        <v>0</v>
      </c>
      <c r="CT113" s="237">
        <v>0</v>
      </c>
      <c r="CU113" s="237">
        <v>0</v>
      </c>
      <c r="CV113" s="237">
        <v>0</v>
      </c>
      <c r="CW113" s="237">
        <v>18</v>
      </c>
      <c r="EX113" s="309" t="s">
        <v>1184</v>
      </c>
      <c r="EY113" s="309">
        <v>2020</v>
      </c>
      <c r="EZ113" s="309">
        <v>486</v>
      </c>
      <c r="FA113" s="309">
        <v>541</v>
      </c>
      <c r="FB113" s="309">
        <v>599</v>
      </c>
      <c r="FC113" s="309">
        <v>697</v>
      </c>
      <c r="FD113" s="309">
        <v>689</v>
      </c>
      <c r="FE113" s="309">
        <v>3012</v>
      </c>
      <c r="FF113" s="309"/>
      <c r="FG113" s="309">
        <v>2020</v>
      </c>
      <c r="FH113" s="309">
        <v>75</v>
      </c>
      <c r="FI113" s="309">
        <v>13</v>
      </c>
      <c r="FJ113" s="309">
        <v>6</v>
      </c>
      <c r="FK113" s="309">
        <v>6</v>
      </c>
      <c r="FL113" s="309">
        <v>8</v>
      </c>
      <c r="FM113" s="309">
        <v>108</v>
      </c>
    </row>
    <row r="114" spans="1:169">
      <c r="A114" s="288" t="s">
        <v>654</v>
      </c>
      <c r="B114" s="288">
        <v>2020</v>
      </c>
      <c r="C114" s="288">
        <v>11</v>
      </c>
      <c r="D114" s="288">
        <v>3</v>
      </c>
      <c r="E114" s="288">
        <v>2</v>
      </c>
      <c r="F114" s="288">
        <v>2</v>
      </c>
      <c r="G114" s="288">
        <v>2</v>
      </c>
      <c r="H114" s="288">
        <v>20</v>
      </c>
      <c r="J114" s="288">
        <v>2020</v>
      </c>
      <c r="K114" s="288">
        <v>80</v>
      </c>
      <c r="L114" s="288">
        <v>112</v>
      </c>
      <c r="M114" s="288">
        <v>236</v>
      </c>
      <c r="N114" s="288">
        <v>309</v>
      </c>
      <c r="O114" s="288">
        <v>293</v>
      </c>
      <c r="P114" s="288">
        <v>1030</v>
      </c>
      <c r="AI114" s="290" t="s">
        <v>448</v>
      </c>
      <c r="AJ114" s="290">
        <v>2019</v>
      </c>
      <c r="AK114" s="290">
        <v>524</v>
      </c>
      <c r="AL114" s="290">
        <v>617</v>
      </c>
      <c r="AM114" s="290">
        <v>545</v>
      </c>
      <c r="AN114" s="290">
        <v>587</v>
      </c>
      <c r="AO114" s="290">
        <v>719</v>
      </c>
      <c r="AP114" s="290">
        <v>2992</v>
      </c>
      <c r="AQ114" s="290"/>
      <c r="AR114" s="290">
        <v>2019</v>
      </c>
      <c r="AS114" s="290">
        <v>104</v>
      </c>
      <c r="AT114" s="290">
        <v>27</v>
      </c>
      <c r="AU114" s="290">
        <v>10</v>
      </c>
      <c r="AV114" s="290">
        <v>14</v>
      </c>
      <c r="AW114" s="290">
        <v>25</v>
      </c>
      <c r="AX114" s="290">
        <v>180</v>
      </c>
      <c r="AZ114" s="300" t="s">
        <v>130</v>
      </c>
      <c r="BA114" s="300">
        <v>2019</v>
      </c>
      <c r="BB114" s="300">
        <v>252</v>
      </c>
      <c r="BC114" s="300">
        <v>212</v>
      </c>
      <c r="BD114" s="300">
        <v>368</v>
      </c>
      <c r="BE114" s="300">
        <v>469</v>
      </c>
      <c r="BF114" s="300">
        <v>454</v>
      </c>
      <c r="BG114" s="300">
        <v>1755</v>
      </c>
      <c r="BH114" s="300"/>
      <c r="BI114" s="300">
        <v>2019</v>
      </c>
      <c r="BJ114" s="300">
        <v>41</v>
      </c>
      <c r="BK114" s="300">
        <v>0</v>
      </c>
      <c r="BL114" s="300">
        <v>0</v>
      </c>
      <c r="BM114" s="300">
        <v>0</v>
      </c>
      <c r="BN114" s="300">
        <v>0</v>
      </c>
      <c r="BO114" s="300">
        <v>41</v>
      </c>
      <c r="CH114" s="237" t="s">
        <v>242</v>
      </c>
      <c r="CI114" s="237">
        <v>2020</v>
      </c>
      <c r="CJ114" s="237">
        <v>232</v>
      </c>
      <c r="CK114" s="237">
        <v>85</v>
      </c>
      <c r="CL114" s="237">
        <v>133</v>
      </c>
      <c r="CM114" s="237">
        <v>179</v>
      </c>
      <c r="CN114" s="237">
        <v>265</v>
      </c>
      <c r="CO114" s="237">
        <v>894</v>
      </c>
      <c r="CP114" s="237"/>
      <c r="CQ114" s="237">
        <v>2020</v>
      </c>
      <c r="CR114" s="237">
        <v>71</v>
      </c>
      <c r="CS114" s="237">
        <v>1</v>
      </c>
      <c r="CT114" s="237">
        <v>0</v>
      </c>
      <c r="CU114" s="237">
        <v>0</v>
      </c>
      <c r="CV114" s="237">
        <v>0</v>
      </c>
      <c r="CW114" s="237">
        <v>72</v>
      </c>
      <c r="EX114" s="309" t="s">
        <v>1186</v>
      </c>
      <c r="EY114" s="309">
        <v>2020</v>
      </c>
      <c r="EZ114" s="309">
        <v>353</v>
      </c>
      <c r="FA114" s="309">
        <v>488</v>
      </c>
      <c r="FB114" s="309">
        <v>569</v>
      </c>
      <c r="FC114" s="309">
        <v>565</v>
      </c>
      <c r="FD114" s="309">
        <v>592</v>
      </c>
      <c r="FE114" s="309">
        <v>2567</v>
      </c>
      <c r="FF114" s="309"/>
      <c r="FG114" s="309">
        <v>2020</v>
      </c>
      <c r="FH114" s="309">
        <v>58</v>
      </c>
      <c r="FI114" s="309">
        <v>15</v>
      </c>
      <c r="FJ114" s="309">
        <v>7</v>
      </c>
      <c r="FK114" s="309">
        <v>4</v>
      </c>
      <c r="FL114" s="309">
        <v>7</v>
      </c>
      <c r="FM114" s="309">
        <v>91</v>
      </c>
    </row>
    <row r="115" spans="1:169">
      <c r="A115" s="288" t="s">
        <v>656</v>
      </c>
      <c r="B115" s="288">
        <v>2020</v>
      </c>
      <c r="C115" s="288">
        <v>32</v>
      </c>
      <c r="D115" s="288">
        <v>3</v>
      </c>
      <c r="E115" s="288">
        <v>0</v>
      </c>
      <c r="F115" s="288">
        <v>0</v>
      </c>
      <c r="G115" s="288">
        <v>0</v>
      </c>
      <c r="H115" s="288">
        <v>35</v>
      </c>
      <c r="J115" s="288">
        <v>2020</v>
      </c>
      <c r="K115" s="288">
        <v>191</v>
      </c>
      <c r="L115" s="288">
        <v>289</v>
      </c>
      <c r="M115" s="288">
        <v>369</v>
      </c>
      <c r="N115" s="288">
        <v>487</v>
      </c>
      <c r="O115" s="288">
        <v>374</v>
      </c>
      <c r="P115" s="288">
        <v>1710</v>
      </c>
      <c r="AZ115" s="300" t="s">
        <v>131</v>
      </c>
      <c r="BA115" s="300">
        <v>2019</v>
      </c>
      <c r="BB115" s="300">
        <v>128</v>
      </c>
      <c r="BC115" s="300">
        <v>122</v>
      </c>
      <c r="BD115" s="300">
        <v>254</v>
      </c>
      <c r="BE115" s="300">
        <v>403</v>
      </c>
      <c r="BF115" s="300">
        <v>437</v>
      </c>
      <c r="BG115" s="300">
        <v>1344</v>
      </c>
      <c r="BH115" s="300"/>
      <c r="BI115" s="300">
        <v>2019</v>
      </c>
      <c r="BJ115" s="300">
        <v>22</v>
      </c>
      <c r="BK115" s="300">
        <v>0</v>
      </c>
      <c r="BL115" s="300">
        <v>0</v>
      </c>
      <c r="BM115" s="300">
        <v>0</v>
      </c>
      <c r="BN115" s="300">
        <v>0</v>
      </c>
      <c r="BO115" s="300">
        <v>22</v>
      </c>
      <c r="CH115" s="237" t="s">
        <v>2164</v>
      </c>
      <c r="CI115" s="237">
        <v>2020</v>
      </c>
      <c r="CJ115" s="237" t="s">
        <v>792</v>
      </c>
      <c r="CK115" s="237" t="s">
        <v>792</v>
      </c>
      <c r="CL115" s="237" t="s">
        <v>792</v>
      </c>
      <c r="CM115" s="237" t="s">
        <v>792</v>
      </c>
      <c r="CN115" s="237" t="s">
        <v>792</v>
      </c>
      <c r="CO115" s="237" t="s">
        <v>792</v>
      </c>
      <c r="CP115" s="237"/>
      <c r="CQ115" s="237">
        <v>2020</v>
      </c>
      <c r="CR115" s="237" t="s">
        <v>792</v>
      </c>
      <c r="CS115" s="237" t="s">
        <v>792</v>
      </c>
      <c r="CT115" s="237" t="s">
        <v>792</v>
      </c>
      <c r="CU115" s="237" t="s">
        <v>792</v>
      </c>
      <c r="CV115" s="237" t="s">
        <v>792</v>
      </c>
      <c r="CW115" s="237" t="s">
        <v>792</v>
      </c>
      <c r="EX115" s="309" t="s">
        <v>1188</v>
      </c>
      <c r="EY115" s="309">
        <v>2020</v>
      </c>
      <c r="EZ115" s="309">
        <v>2209</v>
      </c>
      <c r="FA115" s="309">
        <v>1010</v>
      </c>
      <c r="FB115" s="309">
        <v>753</v>
      </c>
      <c r="FC115" s="309">
        <v>617</v>
      </c>
      <c r="FD115" s="309">
        <v>639</v>
      </c>
      <c r="FE115" s="309">
        <v>5228</v>
      </c>
      <c r="FF115" s="309"/>
      <c r="FG115" s="309">
        <v>2020</v>
      </c>
      <c r="FH115" s="309">
        <v>340</v>
      </c>
      <c r="FI115" s="309">
        <v>0</v>
      </c>
      <c r="FJ115" s="309">
        <v>0</v>
      </c>
      <c r="FK115" s="309">
        <v>0</v>
      </c>
      <c r="FL115" s="309">
        <v>0</v>
      </c>
      <c r="FM115" s="309">
        <v>340</v>
      </c>
    </row>
    <row r="116" spans="1:169">
      <c r="A116" s="288" t="s">
        <v>658</v>
      </c>
      <c r="B116" s="288">
        <v>2020</v>
      </c>
      <c r="C116" s="288">
        <v>15</v>
      </c>
      <c r="D116" s="288">
        <v>1</v>
      </c>
      <c r="E116" s="288">
        <v>0</v>
      </c>
      <c r="F116" s="288">
        <v>0</v>
      </c>
      <c r="G116" s="288">
        <v>0</v>
      </c>
      <c r="H116" s="288">
        <v>16</v>
      </c>
      <c r="J116" s="288">
        <v>2020</v>
      </c>
      <c r="K116" s="288">
        <v>83</v>
      </c>
      <c r="L116" s="288">
        <v>118</v>
      </c>
      <c r="M116" s="288">
        <v>274</v>
      </c>
      <c r="N116" s="288">
        <v>352</v>
      </c>
      <c r="O116" s="288">
        <v>324</v>
      </c>
      <c r="P116" s="288">
        <v>1151</v>
      </c>
      <c r="AI116" s="290" t="s">
        <v>395</v>
      </c>
      <c r="AJ116" s="290">
        <v>2020</v>
      </c>
      <c r="AK116" s="290">
        <v>424</v>
      </c>
      <c r="AL116" s="290">
        <v>574</v>
      </c>
      <c r="AM116" s="290">
        <v>823</v>
      </c>
      <c r="AN116" s="290">
        <v>925</v>
      </c>
      <c r="AO116" s="290">
        <v>701</v>
      </c>
      <c r="AP116" s="290">
        <v>3447</v>
      </c>
      <c r="AQ116" s="290"/>
      <c r="AR116" s="290">
        <v>2020</v>
      </c>
      <c r="AS116" s="290">
        <v>62</v>
      </c>
      <c r="AT116" s="290">
        <v>3</v>
      </c>
      <c r="AU116" s="290">
        <v>0</v>
      </c>
      <c r="AV116" s="290">
        <v>1</v>
      </c>
      <c r="AW116" s="290">
        <v>0</v>
      </c>
      <c r="AX116" s="290">
        <v>66</v>
      </c>
      <c r="AZ116" s="300" t="s">
        <v>133</v>
      </c>
      <c r="BA116" s="300">
        <v>2019</v>
      </c>
      <c r="BB116" s="300">
        <v>159</v>
      </c>
      <c r="BC116" s="300">
        <v>157</v>
      </c>
      <c r="BD116" s="300">
        <v>291</v>
      </c>
      <c r="BE116" s="300">
        <v>384</v>
      </c>
      <c r="BF116" s="300">
        <v>364</v>
      </c>
      <c r="BG116" s="300">
        <v>1355</v>
      </c>
      <c r="BH116" s="300"/>
      <c r="BI116" s="300">
        <v>2019</v>
      </c>
      <c r="BJ116" s="300">
        <v>36</v>
      </c>
      <c r="BK116" s="300">
        <v>0</v>
      </c>
      <c r="BL116" s="300">
        <v>0</v>
      </c>
      <c r="BM116" s="300">
        <v>0</v>
      </c>
      <c r="BN116" s="300">
        <v>0</v>
      </c>
      <c r="BO116" s="300">
        <v>36</v>
      </c>
      <c r="CH116" s="237" t="s">
        <v>243</v>
      </c>
      <c r="CI116" s="237">
        <v>2020</v>
      </c>
      <c r="CJ116" s="237">
        <v>476</v>
      </c>
      <c r="CK116" s="237">
        <v>63</v>
      </c>
      <c r="CL116" s="237">
        <v>120</v>
      </c>
      <c r="CM116" s="237">
        <v>150</v>
      </c>
      <c r="CN116" s="237">
        <v>319</v>
      </c>
      <c r="CO116" s="237">
        <v>1128</v>
      </c>
      <c r="CP116" s="237"/>
      <c r="CQ116" s="237">
        <v>2020</v>
      </c>
      <c r="CR116" s="237">
        <v>150</v>
      </c>
      <c r="CS116" s="237">
        <v>0</v>
      </c>
      <c r="CT116" s="237">
        <v>0</v>
      </c>
      <c r="CU116" s="237">
        <v>0</v>
      </c>
      <c r="CV116" s="237">
        <v>0</v>
      </c>
      <c r="CW116" s="237">
        <v>150</v>
      </c>
      <c r="EX116" s="309" t="s">
        <v>1190</v>
      </c>
      <c r="EY116" s="309">
        <v>2020</v>
      </c>
      <c r="EZ116" s="309">
        <v>760</v>
      </c>
      <c r="FA116" s="309">
        <v>1042</v>
      </c>
      <c r="FB116" s="309">
        <v>687</v>
      </c>
      <c r="FC116" s="309">
        <v>513</v>
      </c>
      <c r="FD116" s="309">
        <v>545</v>
      </c>
      <c r="FE116" s="309">
        <v>3547</v>
      </c>
      <c r="FF116" s="309"/>
      <c r="FG116" s="309">
        <v>2020</v>
      </c>
      <c r="FH116" s="309">
        <v>145</v>
      </c>
      <c r="FI116" s="309">
        <v>0</v>
      </c>
      <c r="FJ116" s="309">
        <v>0</v>
      </c>
      <c r="FK116" s="309">
        <v>0</v>
      </c>
      <c r="FL116" s="309">
        <v>0</v>
      </c>
      <c r="FM116" s="309">
        <v>145</v>
      </c>
    </row>
    <row r="117" spans="1:169">
      <c r="A117" s="288" t="s">
        <v>660</v>
      </c>
      <c r="B117" s="288">
        <v>2020</v>
      </c>
      <c r="C117" s="288">
        <v>11</v>
      </c>
      <c r="D117" s="288">
        <v>3</v>
      </c>
      <c r="E117" s="288">
        <v>1</v>
      </c>
      <c r="F117" s="288">
        <v>1</v>
      </c>
      <c r="G117" s="288">
        <v>0</v>
      </c>
      <c r="H117" s="288">
        <v>16</v>
      </c>
      <c r="J117" s="288">
        <v>2020</v>
      </c>
      <c r="K117" s="288">
        <v>102</v>
      </c>
      <c r="L117" s="288">
        <v>189</v>
      </c>
      <c r="M117" s="288">
        <v>381</v>
      </c>
      <c r="N117" s="288">
        <v>564</v>
      </c>
      <c r="O117" s="288">
        <v>405</v>
      </c>
      <c r="P117" s="288">
        <v>1641</v>
      </c>
      <c r="AI117" s="290" t="s">
        <v>396</v>
      </c>
      <c r="AJ117" s="290">
        <v>2020</v>
      </c>
      <c r="AK117" s="290">
        <v>271</v>
      </c>
      <c r="AL117" s="290">
        <v>503</v>
      </c>
      <c r="AM117" s="290">
        <v>914</v>
      </c>
      <c r="AN117" s="290">
        <v>1112</v>
      </c>
      <c r="AO117" s="290">
        <v>878</v>
      </c>
      <c r="AP117" s="290">
        <v>3678</v>
      </c>
      <c r="AQ117" s="290"/>
      <c r="AR117" s="290">
        <v>2020</v>
      </c>
      <c r="AS117" s="290">
        <v>17</v>
      </c>
      <c r="AT117" s="290">
        <v>4</v>
      </c>
      <c r="AU117" s="290">
        <v>3</v>
      </c>
      <c r="AV117" s="290">
        <v>1</v>
      </c>
      <c r="AW117" s="290">
        <v>0</v>
      </c>
      <c r="AX117" s="290">
        <v>25</v>
      </c>
      <c r="AZ117" s="300" t="s">
        <v>135</v>
      </c>
      <c r="BA117" s="300">
        <v>2019</v>
      </c>
      <c r="BB117" s="300">
        <v>171</v>
      </c>
      <c r="BC117" s="300">
        <v>175</v>
      </c>
      <c r="BD117" s="300">
        <v>373</v>
      </c>
      <c r="BE117" s="300">
        <v>586</v>
      </c>
      <c r="BF117" s="300">
        <v>554</v>
      </c>
      <c r="BG117" s="300">
        <v>1859</v>
      </c>
      <c r="BH117" s="300"/>
      <c r="BI117" s="300">
        <v>2019</v>
      </c>
      <c r="BJ117" s="300">
        <v>38</v>
      </c>
      <c r="BK117" s="300">
        <v>0</v>
      </c>
      <c r="BL117" s="300">
        <v>0</v>
      </c>
      <c r="BM117" s="300">
        <v>0</v>
      </c>
      <c r="BN117" s="300">
        <v>0</v>
      </c>
      <c r="BO117" s="300">
        <v>38</v>
      </c>
      <c r="CH117" s="237" t="s">
        <v>245</v>
      </c>
      <c r="CI117" s="237">
        <v>2020</v>
      </c>
      <c r="CJ117" s="237">
        <v>1139</v>
      </c>
      <c r="CK117" s="237">
        <v>849</v>
      </c>
      <c r="CL117" s="237">
        <v>998</v>
      </c>
      <c r="CM117" s="237">
        <v>966</v>
      </c>
      <c r="CN117" s="237">
        <v>851</v>
      </c>
      <c r="CO117" s="237">
        <v>4803</v>
      </c>
      <c r="CP117" s="237"/>
      <c r="CQ117" s="237">
        <v>2020</v>
      </c>
      <c r="CR117" s="237">
        <v>190</v>
      </c>
      <c r="CS117" s="237">
        <v>0</v>
      </c>
      <c r="CT117" s="237">
        <v>0</v>
      </c>
      <c r="CU117" s="237">
        <v>0</v>
      </c>
      <c r="CV117" s="237">
        <v>0</v>
      </c>
      <c r="CW117" s="237">
        <v>190</v>
      </c>
      <c r="EX117" s="309" t="s">
        <v>1904</v>
      </c>
      <c r="EY117" s="309">
        <v>2020</v>
      </c>
      <c r="EZ117" s="309" t="s">
        <v>792</v>
      </c>
      <c r="FA117" s="309" t="s">
        <v>792</v>
      </c>
      <c r="FB117" s="309" t="s">
        <v>792</v>
      </c>
      <c r="FC117" s="309" t="s">
        <v>792</v>
      </c>
      <c r="FD117" s="309" t="s">
        <v>792</v>
      </c>
      <c r="FE117" s="309" t="s">
        <v>792</v>
      </c>
      <c r="FF117" s="309"/>
      <c r="FG117" s="309">
        <v>2020</v>
      </c>
      <c r="FH117" s="309" t="s">
        <v>792</v>
      </c>
      <c r="FI117" s="309" t="s">
        <v>792</v>
      </c>
      <c r="FJ117" s="309" t="s">
        <v>792</v>
      </c>
      <c r="FK117" s="309" t="s">
        <v>792</v>
      </c>
      <c r="FL117" s="309" t="s">
        <v>792</v>
      </c>
      <c r="FM117" s="309" t="s">
        <v>792</v>
      </c>
    </row>
    <row r="118" spans="1:169">
      <c r="A118" s="288" t="s">
        <v>662</v>
      </c>
      <c r="B118" s="288">
        <v>2020</v>
      </c>
      <c r="C118" s="288">
        <v>27</v>
      </c>
      <c r="D118" s="288">
        <v>0</v>
      </c>
      <c r="E118" s="288">
        <v>0</v>
      </c>
      <c r="F118" s="288">
        <v>0</v>
      </c>
      <c r="G118" s="288">
        <v>0</v>
      </c>
      <c r="H118" s="288">
        <v>27</v>
      </c>
      <c r="J118" s="288">
        <v>2020</v>
      </c>
      <c r="K118" s="288">
        <v>444</v>
      </c>
      <c r="L118" s="288">
        <v>458</v>
      </c>
      <c r="M118" s="288">
        <v>620</v>
      </c>
      <c r="N118" s="288">
        <v>714</v>
      </c>
      <c r="O118" s="288">
        <v>505</v>
      </c>
      <c r="P118" s="288">
        <v>2741</v>
      </c>
      <c r="AI118" s="290" t="s">
        <v>397</v>
      </c>
      <c r="AJ118" s="290">
        <v>2020</v>
      </c>
      <c r="AK118" s="290">
        <v>197</v>
      </c>
      <c r="AL118" s="290">
        <v>271</v>
      </c>
      <c r="AM118" s="290">
        <v>407</v>
      </c>
      <c r="AN118" s="290">
        <v>476</v>
      </c>
      <c r="AO118" s="290">
        <v>401</v>
      </c>
      <c r="AP118" s="290">
        <v>1752</v>
      </c>
      <c r="AQ118" s="290"/>
      <c r="AR118" s="290">
        <v>2020</v>
      </c>
      <c r="AS118" s="290">
        <v>18</v>
      </c>
      <c r="AT118" s="290">
        <v>4</v>
      </c>
      <c r="AU118" s="290">
        <v>3</v>
      </c>
      <c r="AV118" s="290">
        <v>0</v>
      </c>
      <c r="AW118" s="290">
        <v>0</v>
      </c>
      <c r="AX118" s="290">
        <v>25</v>
      </c>
      <c r="AZ118" s="300" t="s">
        <v>177</v>
      </c>
      <c r="BA118" s="300">
        <v>2019</v>
      </c>
      <c r="BB118" s="300">
        <v>54</v>
      </c>
      <c r="BC118" s="300">
        <v>59</v>
      </c>
      <c r="BD118" s="300">
        <v>127</v>
      </c>
      <c r="BE118" s="300">
        <v>222</v>
      </c>
      <c r="BF118" s="300">
        <v>247</v>
      </c>
      <c r="BG118" s="300">
        <v>709</v>
      </c>
      <c r="BH118" s="300"/>
      <c r="BI118" s="300">
        <v>2019</v>
      </c>
      <c r="BJ118" s="300">
        <v>15</v>
      </c>
      <c r="BK118" s="300">
        <v>0</v>
      </c>
      <c r="BL118" s="300">
        <v>0</v>
      </c>
      <c r="BM118" s="300">
        <v>0</v>
      </c>
      <c r="BN118" s="300">
        <v>0</v>
      </c>
      <c r="BO118" s="300">
        <v>15</v>
      </c>
      <c r="CH118" s="237" t="s">
        <v>247</v>
      </c>
      <c r="CI118" s="237">
        <v>2020</v>
      </c>
      <c r="CJ118" s="237">
        <v>89</v>
      </c>
      <c r="CK118" s="237">
        <v>115</v>
      </c>
      <c r="CL118" s="237">
        <v>245</v>
      </c>
      <c r="CM118" s="237">
        <v>361</v>
      </c>
      <c r="CN118" s="237">
        <v>340</v>
      </c>
      <c r="CO118" s="237">
        <v>1150</v>
      </c>
      <c r="CP118" s="237"/>
      <c r="CQ118" s="237">
        <v>2020</v>
      </c>
      <c r="CR118" s="237">
        <v>17</v>
      </c>
      <c r="CS118" s="237">
        <v>2</v>
      </c>
      <c r="CT118" s="237">
        <v>0</v>
      </c>
      <c r="CU118" s="237">
        <v>0</v>
      </c>
      <c r="CV118" s="237">
        <v>0</v>
      </c>
      <c r="CW118" s="237">
        <v>19</v>
      </c>
      <c r="EX118" s="309" t="s">
        <v>1192</v>
      </c>
      <c r="EY118" s="309">
        <v>2020</v>
      </c>
      <c r="EZ118" s="309">
        <v>102</v>
      </c>
      <c r="FA118" s="309">
        <v>208</v>
      </c>
      <c r="FB118" s="309">
        <v>233</v>
      </c>
      <c r="FC118" s="309">
        <v>281</v>
      </c>
      <c r="FD118" s="309">
        <v>327</v>
      </c>
      <c r="FE118" s="309">
        <v>1151</v>
      </c>
      <c r="FF118" s="309"/>
      <c r="FG118" s="309">
        <v>2020</v>
      </c>
      <c r="FH118" s="309">
        <v>18</v>
      </c>
      <c r="FI118" s="309">
        <v>7</v>
      </c>
      <c r="FJ118" s="309">
        <v>1</v>
      </c>
      <c r="FK118" s="309">
        <v>1</v>
      </c>
      <c r="FL118" s="309">
        <v>2</v>
      </c>
      <c r="FM118" s="309">
        <v>29</v>
      </c>
    </row>
    <row r="119" spans="1:169">
      <c r="A119" s="288" t="s">
        <v>665</v>
      </c>
      <c r="B119" s="288">
        <v>2020</v>
      </c>
      <c r="C119" s="288">
        <v>21</v>
      </c>
      <c r="D119" s="288">
        <v>0</v>
      </c>
      <c r="E119" s="288">
        <v>0</v>
      </c>
      <c r="F119" s="288">
        <v>0</v>
      </c>
      <c r="G119" s="288">
        <v>0</v>
      </c>
      <c r="H119" s="288">
        <v>21</v>
      </c>
      <c r="J119" s="288">
        <v>2020</v>
      </c>
      <c r="K119" s="288">
        <v>263</v>
      </c>
      <c r="L119" s="288">
        <v>386</v>
      </c>
      <c r="M119" s="288">
        <v>596</v>
      </c>
      <c r="N119" s="288">
        <v>684</v>
      </c>
      <c r="O119" s="288">
        <v>541</v>
      </c>
      <c r="P119" s="288">
        <v>2470</v>
      </c>
      <c r="AI119" s="290" t="s">
        <v>398</v>
      </c>
      <c r="AJ119" s="290">
        <v>2020</v>
      </c>
      <c r="AK119" s="290">
        <v>184</v>
      </c>
      <c r="AL119" s="290">
        <v>339</v>
      </c>
      <c r="AM119" s="290">
        <v>494</v>
      </c>
      <c r="AN119" s="290">
        <v>662</v>
      </c>
      <c r="AO119" s="290">
        <v>487</v>
      </c>
      <c r="AP119" s="290">
        <v>2166</v>
      </c>
      <c r="AQ119" s="290"/>
      <c r="AR119" s="290">
        <v>2020</v>
      </c>
      <c r="AS119" s="290">
        <v>15</v>
      </c>
      <c r="AT119" s="290">
        <v>3</v>
      </c>
      <c r="AU119" s="290">
        <v>5</v>
      </c>
      <c r="AV119" s="290">
        <v>1</v>
      </c>
      <c r="AW119" s="290">
        <v>1</v>
      </c>
      <c r="AX119" s="290">
        <v>25</v>
      </c>
      <c r="AZ119" s="300" t="s">
        <v>137</v>
      </c>
      <c r="BA119" s="300">
        <v>2019</v>
      </c>
      <c r="BB119" s="300">
        <v>358</v>
      </c>
      <c r="BC119" s="300">
        <v>466</v>
      </c>
      <c r="BD119" s="300">
        <v>830</v>
      </c>
      <c r="BE119" s="300">
        <v>1123</v>
      </c>
      <c r="BF119" s="300">
        <v>1131</v>
      </c>
      <c r="BG119" s="300">
        <v>3908</v>
      </c>
      <c r="BH119" s="300"/>
      <c r="BI119" s="300">
        <v>2019</v>
      </c>
      <c r="BJ119" s="300">
        <v>47</v>
      </c>
      <c r="BK119" s="300">
        <v>1</v>
      </c>
      <c r="BL119" s="300">
        <v>0</v>
      </c>
      <c r="BM119" s="300">
        <v>0</v>
      </c>
      <c r="BN119" s="300">
        <v>0</v>
      </c>
      <c r="BO119" s="300">
        <v>48</v>
      </c>
      <c r="CH119" s="237" t="s">
        <v>249</v>
      </c>
      <c r="CI119" s="237">
        <v>2020</v>
      </c>
      <c r="CJ119" s="237">
        <v>147</v>
      </c>
      <c r="CK119" s="237">
        <v>147</v>
      </c>
      <c r="CL119" s="237">
        <v>243</v>
      </c>
      <c r="CM119" s="237">
        <v>347</v>
      </c>
      <c r="CN119" s="237">
        <v>355</v>
      </c>
      <c r="CO119" s="237">
        <v>1239</v>
      </c>
      <c r="CP119" s="237"/>
      <c r="CQ119" s="237">
        <v>2020</v>
      </c>
      <c r="CR119" s="237">
        <v>32</v>
      </c>
      <c r="CS119" s="237">
        <v>0</v>
      </c>
      <c r="CT119" s="237">
        <v>0</v>
      </c>
      <c r="CU119" s="237">
        <v>0</v>
      </c>
      <c r="CV119" s="237">
        <v>0</v>
      </c>
      <c r="CW119" s="237">
        <v>32</v>
      </c>
      <c r="EX119" s="309" t="s">
        <v>1194</v>
      </c>
      <c r="EY119" s="309">
        <v>2020</v>
      </c>
      <c r="EZ119" s="309">
        <v>129</v>
      </c>
      <c r="FA119" s="309">
        <v>209</v>
      </c>
      <c r="FB119" s="309">
        <v>234</v>
      </c>
      <c r="FC119" s="309">
        <v>261</v>
      </c>
      <c r="FD119" s="309">
        <v>338</v>
      </c>
      <c r="FE119" s="309">
        <v>1171</v>
      </c>
      <c r="FF119" s="309"/>
      <c r="FG119" s="309">
        <v>2020</v>
      </c>
      <c r="FH119" s="309">
        <v>42</v>
      </c>
      <c r="FI119" s="309">
        <v>18</v>
      </c>
      <c r="FJ119" s="309">
        <v>1</v>
      </c>
      <c r="FK119" s="309">
        <v>3</v>
      </c>
      <c r="FL119" s="309">
        <v>4</v>
      </c>
      <c r="FM119" s="309">
        <v>68</v>
      </c>
    </row>
    <row r="120" spans="1:169">
      <c r="A120" s="288" t="s">
        <v>668</v>
      </c>
      <c r="B120" s="288">
        <v>2020</v>
      </c>
      <c r="C120" s="288">
        <v>26</v>
      </c>
      <c r="D120" s="288">
        <v>0</v>
      </c>
      <c r="E120" s="288">
        <v>0</v>
      </c>
      <c r="F120" s="288">
        <v>0</v>
      </c>
      <c r="G120" s="288">
        <v>0</v>
      </c>
      <c r="H120" s="288">
        <v>26</v>
      </c>
      <c r="J120" s="288">
        <v>2020</v>
      </c>
      <c r="K120" s="288">
        <v>255</v>
      </c>
      <c r="L120" s="288">
        <v>311</v>
      </c>
      <c r="M120" s="288">
        <v>479</v>
      </c>
      <c r="N120" s="288">
        <v>584</v>
      </c>
      <c r="O120" s="288">
        <v>434</v>
      </c>
      <c r="P120" s="288">
        <v>2063</v>
      </c>
      <c r="AI120" s="290" t="s">
        <v>399</v>
      </c>
      <c r="AJ120" s="290">
        <v>2020</v>
      </c>
      <c r="AK120" s="290">
        <v>239</v>
      </c>
      <c r="AL120" s="290">
        <v>246</v>
      </c>
      <c r="AM120" s="290">
        <v>373</v>
      </c>
      <c r="AN120" s="290">
        <v>557</v>
      </c>
      <c r="AO120" s="290">
        <v>389</v>
      </c>
      <c r="AP120" s="290">
        <v>1804</v>
      </c>
      <c r="AQ120" s="290"/>
      <c r="AR120" s="290">
        <v>2020</v>
      </c>
      <c r="AS120" s="290">
        <v>31</v>
      </c>
      <c r="AT120" s="290">
        <v>2</v>
      </c>
      <c r="AU120" s="290">
        <v>0</v>
      </c>
      <c r="AV120" s="290">
        <v>0</v>
      </c>
      <c r="AW120" s="290">
        <v>0</v>
      </c>
      <c r="AX120" s="290">
        <v>33</v>
      </c>
      <c r="AZ120" s="300" t="s">
        <v>139</v>
      </c>
      <c r="BA120" s="300">
        <v>2019</v>
      </c>
      <c r="BB120" s="300">
        <v>309</v>
      </c>
      <c r="BC120" s="300">
        <v>363</v>
      </c>
      <c r="BD120" s="300">
        <v>637</v>
      </c>
      <c r="BE120" s="300">
        <v>920</v>
      </c>
      <c r="BF120" s="300">
        <v>865</v>
      </c>
      <c r="BG120" s="300">
        <v>3094</v>
      </c>
      <c r="BH120" s="300"/>
      <c r="BI120" s="300">
        <v>2019</v>
      </c>
      <c r="BJ120" s="300">
        <v>37</v>
      </c>
      <c r="BK120" s="300">
        <v>0</v>
      </c>
      <c r="BL120" s="300">
        <v>0</v>
      </c>
      <c r="BM120" s="300">
        <v>0</v>
      </c>
      <c r="BN120" s="300">
        <v>0</v>
      </c>
      <c r="BO120" s="300">
        <v>37</v>
      </c>
      <c r="CH120" s="237" t="s">
        <v>281</v>
      </c>
      <c r="CI120" s="237">
        <v>2020</v>
      </c>
      <c r="CJ120" s="237">
        <v>160</v>
      </c>
      <c r="CK120" s="237">
        <v>183</v>
      </c>
      <c r="CL120" s="237">
        <v>325</v>
      </c>
      <c r="CM120" s="237">
        <v>396</v>
      </c>
      <c r="CN120" s="237">
        <v>396</v>
      </c>
      <c r="CO120" s="237">
        <v>1460</v>
      </c>
      <c r="CP120" s="237"/>
      <c r="CQ120" s="237">
        <v>2020</v>
      </c>
      <c r="CR120" s="237">
        <v>28</v>
      </c>
      <c r="CS120" s="237">
        <v>0</v>
      </c>
      <c r="CT120" s="237">
        <v>0</v>
      </c>
      <c r="CU120" s="237">
        <v>0</v>
      </c>
      <c r="CV120" s="237">
        <v>0</v>
      </c>
      <c r="CW120" s="237">
        <v>28</v>
      </c>
      <c r="EX120" s="309" t="s">
        <v>1914</v>
      </c>
      <c r="EY120" s="309">
        <v>2020</v>
      </c>
      <c r="EZ120" s="309" t="s">
        <v>792</v>
      </c>
      <c r="FA120" s="309" t="s">
        <v>792</v>
      </c>
      <c r="FB120" s="309" t="s">
        <v>792</v>
      </c>
      <c r="FC120" s="309" t="s">
        <v>792</v>
      </c>
      <c r="FD120" s="309" t="s">
        <v>792</v>
      </c>
      <c r="FE120" s="309" t="s">
        <v>792</v>
      </c>
      <c r="FF120" s="309"/>
      <c r="FG120" s="309">
        <v>2020</v>
      </c>
      <c r="FH120" s="309" t="s">
        <v>792</v>
      </c>
      <c r="FI120" s="309" t="s">
        <v>792</v>
      </c>
      <c r="FJ120" s="309" t="s">
        <v>792</v>
      </c>
      <c r="FK120" s="309" t="s">
        <v>792</v>
      </c>
      <c r="FL120" s="309" t="s">
        <v>792</v>
      </c>
      <c r="FM120" s="309" t="s">
        <v>792</v>
      </c>
    </row>
    <row r="121" spans="1:169">
      <c r="A121" s="288" t="s">
        <v>671</v>
      </c>
      <c r="B121" s="288">
        <v>2020</v>
      </c>
      <c r="C121" s="288">
        <v>18</v>
      </c>
      <c r="D121" s="288">
        <v>0</v>
      </c>
      <c r="E121" s="288">
        <v>0</v>
      </c>
      <c r="F121" s="288">
        <v>0</v>
      </c>
      <c r="G121" s="288">
        <v>0</v>
      </c>
      <c r="H121" s="288">
        <v>18</v>
      </c>
      <c r="J121" s="288">
        <v>2020</v>
      </c>
      <c r="K121" s="288">
        <v>169</v>
      </c>
      <c r="L121" s="288">
        <v>219</v>
      </c>
      <c r="M121" s="288">
        <v>348</v>
      </c>
      <c r="N121" s="288">
        <v>440</v>
      </c>
      <c r="O121" s="288">
        <v>334</v>
      </c>
      <c r="P121" s="288">
        <v>1510</v>
      </c>
      <c r="AI121" s="290" t="s">
        <v>400</v>
      </c>
      <c r="AJ121" s="290">
        <v>2020</v>
      </c>
      <c r="AK121" s="290">
        <v>295</v>
      </c>
      <c r="AL121" s="290">
        <v>330</v>
      </c>
      <c r="AM121" s="290">
        <v>467</v>
      </c>
      <c r="AN121" s="290">
        <v>595</v>
      </c>
      <c r="AO121" s="290">
        <v>499</v>
      </c>
      <c r="AP121" s="290">
        <v>2186</v>
      </c>
      <c r="AQ121" s="290"/>
      <c r="AR121" s="290">
        <v>2020</v>
      </c>
      <c r="AS121" s="290">
        <v>22</v>
      </c>
      <c r="AT121" s="290">
        <v>0</v>
      </c>
      <c r="AU121" s="290">
        <v>1</v>
      </c>
      <c r="AV121" s="290">
        <v>0</v>
      </c>
      <c r="AW121" s="290">
        <v>0</v>
      </c>
      <c r="AX121" s="290">
        <v>23</v>
      </c>
      <c r="AZ121" s="300" t="s">
        <v>141</v>
      </c>
      <c r="BA121" s="300">
        <v>2019</v>
      </c>
      <c r="BB121" s="300">
        <v>337</v>
      </c>
      <c r="BC121" s="300">
        <v>293</v>
      </c>
      <c r="BD121" s="300">
        <v>527</v>
      </c>
      <c r="BE121" s="300">
        <v>821</v>
      </c>
      <c r="BF121" s="300">
        <v>774</v>
      </c>
      <c r="BG121" s="300">
        <v>2752</v>
      </c>
      <c r="BH121" s="300"/>
      <c r="BI121" s="300">
        <v>2019</v>
      </c>
      <c r="BJ121" s="300">
        <v>32</v>
      </c>
      <c r="BK121" s="300">
        <v>0</v>
      </c>
      <c r="BL121" s="300">
        <v>0</v>
      </c>
      <c r="BM121" s="300">
        <v>0</v>
      </c>
      <c r="BN121" s="300">
        <v>0</v>
      </c>
      <c r="BO121" s="300">
        <v>32</v>
      </c>
      <c r="CH121" s="237" t="s">
        <v>1343</v>
      </c>
      <c r="CI121" s="237">
        <v>2020</v>
      </c>
      <c r="CJ121" s="237" t="s">
        <v>792</v>
      </c>
      <c r="CK121" s="237" t="s">
        <v>792</v>
      </c>
      <c r="CL121" s="237" t="s">
        <v>792</v>
      </c>
      <c r="CM121" s="237" t="s">
        <v>792</v>
      </c>
      <c r="CN121" s="237" t="s">
        <v>792</v>
      </c>
      <c r="CO121" s="237" t="s">
        <v>792</v>
      </c>
      <c r="CP121" s="237"/>
      <c r="CQ121" s="237">
        <v>2020</v>
      </c>
      <c r="CR121" s="237" t="s">
        <v>792</v>
      </c>
      <c r="CS121" s="237" t="s">
        <v>792</v>
      </c>
      <c r="CT121" s="237" t="s">
        <v>792</v>
      </c>
      <c r="CU121" s="237" t="s">
        <v>792</v>
      </c>
      <c r="CV121" s="237" t="s">
        <v>792</v>
      </c>
      <c r="CW121" s="237" t="s">
        <v>792</v>
      </c>
      <c r="EX121" s="309" t="s">
        <v>1918</v>
      </c>
      <c r="EY121" s="309">
        <v>2020</v>
      </c>
      <c r="EZ121" s="309" t="s">
        <v>792</v>
      </c>
      <c r="FA121" s="309" t="s">
        <v>792</v>
      </c>
      <c r="FB121" s="309" t="s">
        <v>792</v>
      </c>
      <c r="FC121" s="309" t="s">
        <v>792</v>
      </c>
      <c r="FD121" s="309" t="s">
        <v>792</v>
      </c>
      <c r="FE121" s="309" t="s">
        <v>792</v>
      </c>
      <c r="FF121" s="309"/>
      <c r="FG121" s="309">
        <v>2020</v>
      </c>
      <c r="FH121" s="309" t="s">
        <v>792</v>
      </c>
      <c r="FI121" s="309" t="s">
        <v>792</v>
      </c>
      <c r="FJ121" s="309" t="s">
        <v>792</v>
      </c>
      <c r="FK121" s="309" t="s">
        <v>792</v>
      </c>
      <c r="FL121" s="309" t="s">
        <v>792</v>
      </c>
      <c r="FM121" s="309" t="s">
        <v>792</v>
      </c>
    </row>
    <row r="122" spans="1:169">
      <c r="A122" s="288" t="s">
        <v>674</v>
      </c>
      <c r="B122" s="288">
        <v>2020</v>
      </c>
      <c r="C122" s="288">
        <v>34</v>
      </c>
      <c r="D122" s="288">
        <v>2</v>
      </c>
      <c r="E122" s="288">
        <v>3</v>
      </c>
      <c r="F122" s="288">
        <v>0</v>
      </c>
      <c r="G122" s="288">
        <v>0</v>
      </c>
      <c r="H122" s="288">
        <v>39</v>
      </c>
      <c r="J122" s="288">
        <v>2020</v>
      </c>
      <c r="K122" s="288">
        <v>202</v>
      </c>
      <c r="L122" s="288">
        <v>269</v>
      </c>
      <c r="M122" s="288">
        <v>329</v>
      </c>
      <c r="N122" s="288">
        <v>442</v>
      </c>
      <c r="O122" s="288">
        <v>329</v>
      </c>
      <c r="P122" s="288">
        <v>1571</v>
      </c>
      <c r="AI122" s="290" t="s">
        <v>401</v>
      </c>
      <c r="AJ122" s="290">
        <v>2020</v>
      </c>
      <c r="AK122" s="290">
        <v>377</v>
      </c>
      <c r="AL122" s="290">
        <v>626</v>
      </c>
      <c r="AM122" s="290">
        <v>862</v>
      </c>
      <c r="AN122" s="290">
        <v>937</v>
      </c>
      <c r="AO122" s="290">
        <v>608</v>
      </c>
      <c r="AP122" s="290">
        <v>3410</v>
      </c>
      <c r="AQ122" s="290"/>
      <c r="AR122" s="290">
        <v>2020</v>
      </c>
      <c r="AS122" s="290">
        <v>36</v>
      </c>
      <c r="AT122" s="290">
        <v>2</v>
      </c>
      <c r="AU122" s="290">
        <v>0</v>
      </c>
      <c r="AV122" s="290">
        <v>0</v>
      </c>
      <c r="AW122" s="290">
        <v>0</v>
      </c>
      <c r="AX122" s="290">
        <v>38</v>
      </c>
      <c r="AZ122" s="300" t="s">
        <v>179</v>
      </c>
      <c r="BA122" s="300">
        <v>2019</v>
      </c>
      <c r="BB122" s="300">
        <v>55</v>
      </c>
      <c r="BC122" s="300">
        <v>66</v>
      </c>
      <c r="BD122" s="300">
        <v>152</v>
      </c>
      <c r="BE122" s="300">
        <v>262</v>
      </c>
      <c r="BF122" s="300">
        <v>264</v>
      </c>
      <c r="BG122" s="300">
        <v>799</v>
      </c>
      <c r="BH122" s="300"/>
      <c r="BI122" s="300">
        <v>2019</v>
      </c>
      <c r="BJ122" s="300">
        <v>15</v>
      </c>
      <c r="BK122" s="300">
        <v>1</v>
      </c>
      <c r="BL122" s="300">
        <v>0</v>
      </c>
      <c r="BM122" s="300">
        <v>0</v>
      </c>
      <c r="BN122" s="300">
        <v>0</v>
      </c>
      <c r="BO122" s="300">
        <v>16</v>
      </c>
      <c r="CH122" s="237" t="s">
        <v>253</v>
      </c>
      <c r="CI122" s="237">
        <v>2020</v>
      </c>
      <c r="CJ122" s="237">
        <v>159</v>
      </c>
      <c r="CK122" s="237">
        <v>78</v>
      </c>
      <c r="CL122" s="237">
        <v>113</v>
      </c>
      <c r="CM122" s="237">
        <v>185</v>
      </c>
      <c r="CN122" s="237">
        <v>146</v>
      </c>
      <c r="CO122" s="237">
        <v>681</v>
      </c>
      <c r="CP122" s="237"/>
      <c r="CQ122" s="237">
        <v>2020</v>
      </c>
      <c r="CR122" s="237">
        <v>62</v>
      </c>
      <c r="CS122" s="237">
        <v>0</v>
      </c>
      <c r="CT122" s="237">
        <v>0</v>
      </c>
      <c r="CU122" s="237">
        <v>0</v>
      </c>
      <c r="CV122" s="237">
        <v>0</v>
      </c>
      <c r="CW122" s="237">
        <v>62</v>
      </c>
      <c r="EX122" s="309" t="s">
        <v>1196</v>
      </c>
      <c r="EY122" s="309">
        <v>2020</v>
      </c>
      <c r="EZ122" s="309">
        <v>170</v>
      </c>
      <c r="FA122" s="309">
        <v>264</v>
      </c>
      <c r="FB122" s="309">
        <v>311</v>
      </c>
      <c r="FC122" s="309">
        <v>368</v>
      </c>
      <c r="FD122" s="309">
        <v>453</v>
      </c>
      <c r="FE122" s="309">
        <v>1566</v>
      </c>
      <c r="FF122" s="309"/>
      <c r="FG122" s="309">
        <v>2020</v>
      </c>
      <c r="FH122" s="309">
        <v>28</v>
      </c>
      <c r="FI122" s="309">
        <v>8</v>
      </c>
      <c r="FJ122" s="309">
        <v>3</v>
      </c>
      <c r="FK122" s="309">
        <v>1</v>
      </c>
      <c r="FL122" s="309">
        <v>1</v>
      </c>
      <c r="FM122" s="309">
        <v>41</v>
      </c>
    </row>
    <row r="123" spans="1:169">
      <c r="A123" s="288" t="s">
        <v>677</v>
      </c>
      <c r="B123" s="288">
        <v>2020</v>
      </c>
      <c r="C123" s="288">
        <v>23</v>
      </c>
      <c r="D123" s="288">
        <v>0</v>
      </c>
      <c r="E123" s="288">
        <v>1</v>
      </c>
      <c r="F123" s="288">
        <v>1</v>
      </c>
      <c r="G123" s="288">
        <v>0</v>
      </c>
      <c r="H123" s="288">
        <v>25</v>
      </c>
      <c r="J123" s="288">
        <v>2020</v>
      </c>
      <c r="K123" s="288">
        <v>102</v>
      </c>
      <c r="L123" s="288">
        <v>128</v>
      </c>
      <c r="M123" s="288">
        <v>131</v>
      </c>
      <c r="N123" s="288">
        <v>209</v>
      </c>
      <c r="O123" s="288">
        <v>216</v>
      </c>
      <c r="P123" s="288">
        <v>786</v>
      </c>
      <c r="AI123" s="290" t="s">
        <v>402</v>
      </c>
      <c r="AJ123" s="290">
        <v>2020</v>
      </c>
      <c r="AK123" s="290">
        <v>286</v>
      </c>
      <c r="AL123" s="290">
        <v>246</v>
      </c>
      <c r="AM123" s="290">
        <v>410</v>
      </c>
      <c r="AN123" s="290">
        <v>559</v>
      </c>
      <c r="AO123" s="290">
        <v>512</v>
      </c>
      <c r="AP123" s="290">
        <v>2013</v>
      </c>
      <c r="AQ123" s="290"/>
      <c r="AR123" s="290">
        <v>2020</v>
      </c>
      <c r="AS123" s="290">
        <v>53</v>
      </c>
      <c r="AT123" s="290">
        <v>1</v>
      </c>
      <c r="AU123" s="290">
        <v>0</v>
      </c>
      <c r="AV123" s="290">
        <v>1</v>
      </c>
      <c r="AW123" s="290">
        <v>0</v>
      </c>
      <c r="AX123" s="290">
        <v>55</v>
      </c>
      <c r="AZ123" s="300" t="s">
        <v>188</v>
      </c>
      <c r="BA123" s="300">
        <v>2019</v>
      </c>
      <c r="BB123" s="300">
        <v>113</v>
      </c>
      <c r="BC123" s="300">
        <v>85</v>
      </c>
      <c r="BD123" s="300">
        <v>149</v>
      </c>
      <c r="BE123" s="300">
        <v>180</v>
      </c>
      <c r="BF123" s="300">
        <v>168</v>
      </c>
      <c r="BG123" s="300">
        <v>695</v>
      </c>
      <c r="BH123" s="300"/>
      <c r="BI123" s="300">
        <v>2019</v>
      </c>
      <c r="BJ123" s="300">
        <v>20</v>
      </c>
      <c r="BK123" s="300">
        <v>0</v>
      </c>
      <c r="BL123" s="300">
        <v>0</v>
      </c>
      <c r="BM123" s="300">
        <v>0</v>
      </c>
      <c r="BN123" s="300">
        <v>0</v>
      </c>
      <c r="BO123" s="300">
        <v>20</v>
      </c>
      <c r="CH123" s="237" t="s">
        <v>275</v>
      </c>
      <c r="CI123" s="237">
        <v>2020</v>
      </c>
      <c r="CJ123" s="237">
        <v>1198</v>
      </c>
      <c r="CK123" s="237">
        <v>1107</v>
      </c>
      <c r="CL123" s="237">
        <v>1132</v>
      </c>
      <c r="CM123" s="237">
        <v>1264</v>
      </c>
      <c r="CN123" s="237">
        <v>884</v>
      </c>
      <c r="CO123" s="237">
        <v>5585</v>
      </c>
      <c r="CP123" s="237"/>
      <c r="CQ123" s="237">
        <v>2020</v>
      </c>
      <c r="CR123" s="237">
        <v>375</v>
      </c>
      <c r="CS123" s="237">
        <v>6</v>
      </c>
      <c r="CT123" s="237">
        <v>0</v>
      </c>
      <c r="CU123" s="237">
        <v>0</v>
      </c>
      <c r="CV123" s="237">
        <v>0</v>
      </c>
      <c r="CW123" s="237">
        <v>381</v>
      </c>
      <c r="EX123" s="309" t="s">
        <v>1198</v>
      </c>
      <c r="EY123" s="309">
        <v>2020</v>
      </c>
      <c r="EZ123" s="309">
        <v>455</v>
      </c>
      <c r="FA123" s="309">
        <v>549</v>
      </c>
      <c r="FB123" s="309">
        <v>607</v>
      </c>
      <c r="FC123" s="309">
        <v>628</v>
      </c>
      <c r="FD123" s="309">
        <v>779</v>
      </c>
      <c r="FE123" s="309">
        <v>3018</v>
      </c>
      <c r="FF123" s="309"/>
      <c r="FG123" s="309">
        <v>2020</v>
      </c>
      <c r="FH123" s="309">
        <v>64</v>
      </c>
      <c r="FI123" s="309">
        <v>17</v>
      </c>
      <c r="FJ123" s="309">
        <v>15</v>
      </c>
      <c r="FK123" s="309">
        <v>7</v>
      </c>
      <c r="FL123" s="309">
        <v>18</v>
      </c>
      <c r="FM123" s="309">
        <v>121</v>
      </c>
    </row>
    <row r="124" spans="1:169">
      <c r="A124" s="288" t="s">
        <v>679</v>
      </c>
      <c r="B124" s="288">
        <v>2020</v>
      </c>
      <c r="C124" s="288">
        <v>16</v>
      </c>
      <c r="D124" s="288">
        <v>0</v>
      </c>
      <c r="E124" s="288">
        <v>0</v>
      </c>
      <c r="F124" s="288">
        <v>1</v>
      </c>
      <c r="G124" s="288">
        <v>0</v>
      </c>
      <c r="H124" s="288">
        <v>17</v>
      </c>
      <c r="J124" s="288">
        <v>2020</v>
      </c>
      <c r="K124" s="288">
        <v>151</v>
      </c>
      <c r="L124" s="288">
        <v>290</v>
      </c>
      <c r="M124" s="288">
        <v>366</v>
      </c>
      <c r="N124" s="288">
        <v>409</v>
      </c>
      <c r="O124" s="288">
        <v>292</v>
      </c>
      <c r="P124" s="288">
        <v>1508</v>
      </c>
      <c r="AI124" s="290" t="s">
        <v>403</v>
      </c>
      <c r="AJ124" s="290">
        <v>2020</v>
      </c>
      <c r="AK124" s="290">
        <v>560</v>
      </c>
      <c r="AL124" s="290">
        <v>357</v>
      </c>
      <c r="AM124" s="290">
        <v>427</v>
      </c>
      <c r="AN124" s="290">
        <v>555</v>
      </c>
      <c r="AO124" s="290">
        <v>344</v>
      </c>
      <c r="AP124" s="290">
        <v>2243</v>
      </c>
      <c r="AQ124" s="290"/>
      <c r="AR124" s="290">
        <v>2020</v>
      </c>
      <c r="AS124" s="290">
        <v>77</v>
      </c>
      <c r="AT124" s="290">
        <v>6</v>
      </c>
      <c r="AU124" s="290">
        <v>6</v>
      </c>
      <c r="AV124" s="290">
        <v>3</v>
      </c>
      <c r="AW124" s="290">
        <v>0</v>
      </c>
      <c r="AX124" s="290">
        <v>92</v>
      </c>
      <c r="AZ124" s="300" t="s">
        <v>143</v>
      </c>
      <c r="BA124" s="300">
        <v>2019</v>
      </c>
      <c r="BB124" s="300">
        <v>203</v>
      </c>
      <c r="BC124" s="300">
        <v>95</v>
      </c>
      <c r="BD124" s="300">
        <v>142</v>
      </c>
      <c r="BE124" s="300">
        <v>184</v>
      </c>
      <c r="BF124" s="300">
        <v>185</v>
      </c>
      <c r="BG124" s="300">
        <v>809</v>
      </c>
      <c r="BH124" s="300"/>
      <c r="BI124" s="300">
        <v>2019</v>
      </c>
      <c r="BJ124" s="300">
        <v>24</v>
      </c>
      <c r="BK124" s="300">
        <v>0</v>
      </c>
      <c r="BL124" s="300">
        <v>0</v>
      </c>
      <c r="BM124" s="300">
        <v>0</v>
      </c>
      <c r="BN124" s="300">
        <v>0</v>
      </c>
      <c r="BO124" s="300">
        <v>24</v>
      </c>
      <c r="CH124" s="237" t="s">
        <v>251</v>
      </c>
      <c r="CI124" s="237">
        <v>2020</v>
      </c>
      <c r="CJ124" s="237">
        <v>534</v>
      </c>
      <c r="CK124" s="237">
        <v>431</v>
      </c>
      <c r="CL124" s="237">
        <v>738</v>
      </c>
      <c r="CM124" s="237">
        <v>1125</v>
      </c>
      <c r="CN124" s="237">
        <v>1084</v>
      </c>
      <c r="CO124" s="237">
        <v>3912</v>
      </c>
      <c r="CP124" s="237"/>
      <c r="CQ124" s="237">
        <v>2020</v>
      </c>
      <c r="CR124" s="237">
        <v>160</v>
      </c>
      <c r="CS124" s="237">
        <v>0</v>
      </c>
      <c r="CT124" s="237">
        <v>0</v>
      </c>
      <c r="CU124" s="237">
        <v>0</v>
      </c>
      <c r="CV124" s="237">
        <v>0</v>
      </c>
      <c r="CW124" s="237">
        <v>160</v>
      </c>
      <c r="EX124" s="309" t="s">
        <v>1200</v>
      </c>
      <c r="EY124" s="309">
        <v>2020</v>
      </c>
      <c r="EZ124" s="309">
        <v>476</v>
      </c>
      <c r="FA124" s="309">
        <v>491</v>
      </c>
      <c r="FB124" s="309">
        <v>416</v>
      </c>
      <c r="FC124" s="309">
        <v>424</v>
      </c>
      <c r="FD124" s="309">
        <v>534</v>
      </c>
      <c r="FE124" s="309">
        <v>2341</v>
      </c>
      <c r="FF124" s="309"/>
      <c r="FG124" s="309">
        <v>2020</v>
      </c>
      <c r="FH124" s="309">
        <v>83</v>
      </c>
      <c r="FI124" s="309">
        <v>14</v>
      </c>
      <c r="FJ124" s="309">
        <v>8</v>
      </c>
      <c r="FK124" s="309">
        <v>3</v>
      </c>
      <c r="FL124" s="309">
        <v>4</v>
      </c>
      <c r="FM124" s="309">
        <v>112</v>
      </c>
    </row>
    <row r="125" spans="1:169">
      <c r="A125" s="288" t="s">
        <v>682</v>
      </c>
      <c r="B125" s="288">
        <v>2020</v>
      </c>
      <c r="C125" s="288">
        <v>21</v>
      </c>
      <c r="D125" s="288">
        <v>1</v>
      </c>
      <c r="E125" s="288">
        <v>0</v>
      </c>
      <c r="F125" s="288">
        <v>0</v>
      </c>
      <c r="G125" s="288">
        <v>0</v>
      </c>
      <c r="H125" s="288">
        <v>22</v>
      </c>
      <c r="J125" s="288">
        <v>2020</v>
      </c>
      <c r="K125" s="288">
        <v>222</v>
      </c>
      <c r="L125" s="288">
        <v>330</v>
      </c>
      <c r="M125" s="288">
        <v>371</v>
      </c>
      <c r="N125" s="288">
        <v>390</v>
      </c>
      <c r="O125" s="288">
        <v>357</v>
      </c>
      <c r="P125" s="288">
        <v>1670</v>
      </c>
      <c r="AI125" s="290" t="s">
        <v>404</v>
      </c>
      <c r="AJ125" s="290">
        <v>2020</v>
      </c>
      <c r="AK125" s="290">
        <v>409</v>
      </c>
      <c r="AL125" s="290">
        <v>395</v>
      </c>
      <c r="AM125" s="290">
        <v>710</v>
      </c>
      <c r="AN125" s="290">
        <v>754</v>
      </c>
      <c r="AO125" s="290">
        <v>601</v>
      </c>
      <c r="AP125" s="290">
        <v>2869</v>
      </c>
      <c r="AQ125" s="290"/>
      <c r="AR125" s="290">
        <v>2020</v>
      </c>
      <c r="AS125" s="290">
        <v>35</v>
      </c>
      <c r="AT125" s="290">
        <v>5</v>
      </c>
      <c r="AU125" s="290">
        <v>3</v>
      </c>
      <c r="AV125" s="290">
        <v>4</v>
      </c>
      <c r="AW125" s="290">
        <v>2</v>
      </c>
      <c r="AX125" s="290">
        <v>49</v>
      </c>
      <c r="AZ125" s="182"/>
      <c r="BA125" s="182"/>
      <c r="BB125" s="182"/>
      <c r="BC125" s="182"/>
      <c r="BD125" s="182"/>
      <c r="BE125" s="182"/>
      <c r="BF125" s="182"/>
      <c r="BG125" s="182"/>
      <c r="BH125" s="182"/>
      <c r="BI125" s="182"/>
      <c r="BJ125" s="182"/>
      <c r="BK125" s="182"/>
      <c r="BL125" s="182"/>
      <c r="BM125" s="182"/>
      <c r="BN125" s="182"/>
      <c r="BO125" s="182"/>
      <c r="CH125" s="237" t="s">
        <v>255</v>
      </c>
      <c r="CI125" s="237">
        <v>2020</v>
      </c>
      <c r="CJ125" s="237">
        <v>238</v>
      </c>
      <c r="CK125" s="237">
        <v>302</v>
      </c>
      <c r="CL125" s="237">
        <v>536</v>
      </c>
      <c r="CM125" s="237">
        <v>857</v>
      </c>
      <c r="CN125" s="237">
        <v>847</v>
      </c>
      <c r="CO125" s="237">
        <v>2780</v>
      </c>
      <c r="CP125" s="237"/>
      <c r="CQ125" s="237">
        <v>2020</v>
      </c>
      <c r="CR125" s="237">
        <v>36</v>
      </c>
      <c r="CS125" s="237">
        <v>0</v>
      </c>
      <c r="CT125" s="237">
        <v>0</v>
      </c>
      <c r="CU125" s="237">
        <v>0</v>
      </c>
      <c r="CV125" s="237">
        <v>0</v>
      </c>
      <c r="CW125" s="237">
        <v>36</v>
      </c>
      <c r="EX125" s="309" t="s">
        <v>1202</v>
      </c>
      <c r="EY125" s="309">
        <v>2020</v>
      </c>
      <c r="EZ125" s="309">
        <v>179</v>
      </c>
      <c r="FA125" s="309">
        <v>306</v>
      </c>
      <c r="FB125" s="309">
        <v>330</v>
      </c>
      <c r="FC125" s="309">
        <v>402</v>
      </c>
      <c r="FD125" s="309">
        <v>513</v>
      </c>
      <c r="FE125" s="309">
        <v>1730</v>
      </c>
      <c r="FF125" s="309"/>
      <c r="FG125" s="309">
        <v>2020</v>
      </c>
      <c r="FH125" s="309">
        <v>23</v>
      </c>
      <c r="FI125" s="309">
        <v>13</v>
      </c>
      <c r="FJ125" s="309">
        <v>6</v>
      </c>
      <c r="FK125" s="309">
        <v>5</v>
      </c>
      <c r="FL125" s="309">
        <v>7</v>
      </c>
      <c r="FM125" s="309">
        <v>54</v>
      </c>
    </row>
    <row r="126" spans="1:169">
      <c r="A126" s="288" t="s">
        <v>685</v>
      </c>
      <c r="B126" s="288">
        <v>2020</v>
      </c>
      <c r="C126" s="288">
        <v>16</v>
      </c>
      <c r="D126" s="288">
        <v>4</v>
      </c>
      <c r="E126" s="288">
        <v>0</v>
      </c>
      <c r="F126" s="288">
        <v>0</v>
      </c>
      <c r="G126" s="288">
        <v>0</v>
      </c>
      <c r="H126" s="288">
        <v>20</v>
      </c>
      <c r="J126" s="288">
        <v>2020</v>
      </c>
      <c r="K126" s="288">
        <v>215</v>
      </c>
      <c r="L126" s="288">
        <v>260</v>
      </c>
      <c r="M126" s="288">
        <v>334</v>
      </c>
      <c r="N126" s="288">
        <v>414</v>
      </c>
      <c r="O126" s="288">
        <v>304</v>
      </c>
      <c r="P126" s="288">
        <v>1527</v>
      </c>
      <c r="AI126" s="290" t="s">
        <v>405</v>
      </c>
      <c r="AJ126" s="290">
        <v>2020</v>
      </c>
      <c r="AK126" s="290">
        <v>564</v>
      </c>
      <c r="AL126" s="290">
        <v>563</v>
      </c>
      <c r="AM126" s="290">
        <v>690</v>
      </c>
      <c r="AN126" s="290">
        <v>750</v>
      </c>
      <c r="AO126" s="290">
        <v>549</v>
      </c>
      <c r="AP126" s="290">
        <v>3116</v>
      </c>
      <c r="AQ126" s="290"/>
      <c r="AR126" s="290">
        <v>2020</v>
      </c>
      <c r="AS126" s="290">
        <v>22</v>
      </c>
      <c r="AT126" s="290">
        <v>1</v>
      </c>
      <c r="AU126" s="290">
        <v>3</v>
      </c>
      <c r="AV126" s="290">
        <v>0</v>
      </c>
      <c r="AW126" s="290">
        <v>0</v>
      </c>
      <c r="AX126" s="290">
        <v>26</v>
      </c>
      <c r="AZ126" s="300" t="s">
        <v>71</v>
      </c>
      <c r="BA126" s="300">
        <v>2020</v>
      </c>
      <c r="BB126" s="300">
        <v>160</v>
      </c>
      <c r="BC126" s="300">
        <v>201</v>
      </c>
      <c r="BD126" s="300">
        <v>378</v>
      </c>
      <c r="BE126" s="300">
        <v>540</v>
      </c>
      <c r="BF126" s="300">
        <v>497</v>
      </c>
      <c r="BG126" s="300">
        <v>1776</v>
      </c>
      <c r="BH126" s="300"/>
      <c r="BI126" s="300">
        <v>2020</v>
      </c>
      <c r="BJ126" s="300">
        <v>20</v>
      </c>
      <c r="BK126" s="300">
        <v>0</v>
      </c>
      <c r="BL126" s="300">
        <v>0</v>
      </c>
      <c r="BM126" s="300">
        <v>0</v>
      </c>
      <c r="BN126" s="300">
        <v>0</v>
      </c>
      <c r="BO126" s="300">
        <v>20</v>
      </c>
      <c r="CH126" s="237" t="s">
        <v>265</v>
      </c>
      <c r="CI126" s="237">
        <v>2020</v>
      </c>
      <c r="CJ126" s="237">
        <v>86</v>
      </c>
      <c r="CK126" s="237">
        <v>54</v>
      </c>
      <c r="CL126" s="237">
        <v>69</v>
      </c>
      <c r="CM126" s="237">
        <v>115</v>
      </c>
      <c r="CN126" s="237">
        <v>129</v>
      </c>
      <c r="CO126" s="237">
        <v>453</v>
      </c>
      <c r="CP126" s="237"/>
      <c r="CQ126" s="237">
        <v>2020</v>
      </c>
      <c r="CR126" s="237">
        <v>41</v>
      </c>
      <c r="CS126" s="237">
        <v>0</v>
      </c>
      <c r="CT126" s="237">
        <v>0</v>
      </c>
      <c r="CU126" s="237">
        <v>0</v>
      </c>
      <c r="CV126" s="237">
        <v>0</v>
      </c>
      <c r="CW126" s="237">
        <v>41</v>
      </c>
      <c r="EX126" s="309" t="s">
        <v>1204</v>
      </c>
      <c r="EY126" s="309">
        <v>2020</v>
      </c>
      <c r="EZ126" s="309">
        <v>226</v>
      </c>
      <c r="FA126" s="309">
        <v>429</v>
      </c>
      <c r="FB126" s="309">
        <v>510</v>
      </c>
      <c r="FC126" s="309">
        <v>544</v>
      </c>
      <c r="FD126" s="309">
        <v>734</v>
      </c>
      <c r="FE126" s="309">
        <v>2443</v>
      </c>
      <c r="FF126" s="309"/>
      <c r="FG126" s="309">
        <v>2020</v>
      </c>
      <c r="FH126" s="309">
        <v>34</v>
      </c>
      <c r="FI126" s="309">
        <v>19</v>
      </c>
      <c r="FJ126" s="309">
        <v>11</v>
      </c>
      <c r="FK126" s="309">
        <v>5</v>
      </c>
      <c r="FL126" s="309">
        <v>15</v>
      </c>
      <c r="FM126" s="309">
        <v>84</v>
      </c>
    </row>
    <row r="127" spans="1:169">
      <c r="A127" s="288" t="s">
        <v>688</v>
      </c>
      <c r="B127" s="288">
        <v>2020</v>
      </c>
      <c r="C127" s="288">
        <v>333</v>
      </c>
      <c r="D127" s="288">
        <v>95</v>
      </c>
      <c r="E127" s="288">
        <v>65</v>
      </c>
      <c r="F127" s="288">
        <v>78</v>
      </c>
      <c r="G127" s="288">
        <v>111</v>
      </c>
      <c r="H127" s="288">
        <v>682</v>
      </c>
      <c r="J127" s="288">
        <v>2020</v>
      </c>
      <c r="K127" s="288">
        <v>811</v>
      </c>
      <c r="L127" s="288">
        <v>604</v>
      </c>
      <c r="M127" s="288">
        <v>498</v>
      </c>
      <c r="N127" s="288">
        <v>558</v>
      </c>
      <c r="O127" s="288">
        <v>682</v>
      </c>
      <c r="P127" s="288">
        <v>3153</v>
      </c>
      <c r="AI127" s="290" t="s">
        <v>406</v>
      </c>
      <c r="AJ127" s="290">
        <v>2020</v>
      </c>
      <c r="AK127" s="290">
        <v>371</v>
      </c>
      <c r="AL127" s="290">
        <v>400</v>
      </c>
      <c r="AM127" s="290">
        <v>495</v>
      </c>
      <c r="AN127" s="290">
        <v>598</v>
      </c>
      <c r="AO127" s="290">
        <v>444</v>
      </c>
      <c r="AP127" s="290">
        <v>2308</v>
      </c>
      <c r="AQ127" s="290"/>
      <c r="AR127" s="290">
        <v>2020</v>
      </c>
      <c r="AS127" s="290">
        <v>38</v>
      </c>
      <c r="AT127" s="290">
        <v>5</v>
      </c>
      <c r="AU127" s="290">
        <v>2</v>
      </c>
      <c r="AV127" s="290">
        <v>1</v>
      </c>
      <c r="AW127" s="290">
        <v>0</v>
      </c>
      <c r="AX127" s="290">
        <v>46</v>
      </c>
      <c r="AZ127" s="300" t="s">
        <v>73</v>
      </c>
      <c r="BA127" s="300">
        <v>2020</v>
      </c>
      <c r="BB127" s="300">
        <v>309</v>
      </c>
      <c r="BC127" s="300">
        <v>185</v>
      </c>
      <c r="BD127" s="300">
        <v>353</v>
      </c>
      <c r="BE127" s="300">
        <v>441</v>
      </c>
      <c r="BF127" s="300">
        <v>408</v>
      </c>
      <c r="BG127" s="300">
        <v>1696</v>
      </c>
      <c r="BH127" s="300"/>
      <c r="BI127" s="300">
        <v>2020</v>
      </c>
      <c r="BJ127" s="300">
        <v>84</v>
      </c>
      <c r="BK127" s="300">
        <v>0</v>
      </c>
      <c r="BL127" s="300">
        <v>0</v>
      </c>
      <c r="BM127" s="300">
        <v>0</v>
      </c>
      <c r="BN127" s="300">
        <v>0</v>
      </c>
      <c r="BO127" s="300">
        <v>84</v>
      </c>
      <c r="CH127" s="237" t="s">
        <v>267</v>
      </c>
      <c r="CI127" s="237">
        <v>2020</v>
      </c>
      <c r="CJ127" s="237">
        <v>81</v>
      </c>
      <c r="CK127" s="237">
        <v>115</v>
      </c>
      <c r="CL127" s="237">
        <v>219</v>
      </c>
      <c r="CM127" s="237">
        <v>387</v>
      </c>
      <c r="CN127" s="237">
        <v>382</v>
      </c>
      <c r="CO127" s="237">
        <v>1184</v>
      </c>
      <c r="CP127" s="237"/>
      <c r="CQ127" s="237">
        <v>2020</v>
      </c>
      <c r="CR127" s="237">
        <v>20</v>
      </c>
      <c r="CS127" s="237">
        <v>0</v>
      </c>
      <c r="CT127" s="237">
        <v>0</v>
      </c>
      <c r="CU127" s="237">
        <v>0</v>
      </c>
      <c r="CV127" s="237">
        <v>0</v>
      </c>
      <c r="CW127" s="237">
        <v>20</v>
      </c>
      <c r="EX127" s="309" t="s">
        <v>1206</v>
      </c>
      <c r="EY127" s="309">
        <v>2020</v>
      </c>
      <c r="EZ127" s="309">
        <v>319</v>
      </c>
      <c r="FA127" s="309">
        <v>301</v>
      </c>
      <c r="FB127" s="309">
        <v>359</v>
      </c>
      <c r="FC127" s="309">
        <v>374</v>
      </c>
      <c r="FD127" s="309">
        <v>469</v>
      </c>
      <c r="FE127" s="309">
        <v>1822</v>
      </c>
      <c r="FF127" s="309"/>
      <c r="FG127" s="309">
        <v>2020</v>
      </c>
      <c r="FH127" s="309">
        <v>36</v>
      </c>
      <c r="FI127" s="309">
        <v>5</v>
      </c>
      <c r="FJ127" s="309">
        <v>6</v>
      </c>
      <c r="FK127" s="309">
        <v>6</v>
      </c>
      <c r="FL127" s="309">
        <v>3</v>
      </c>
      <c r="FM127" s="309">
        <v>56</v>
      </c>
    </row>
    <row r="128" spans="1:169">
      <c r="A128" s="288" t="s">
        <v>691</v>
      </c>
      <c r="B128" s="288">
        <v>2020</v>
      </c>
      <c r="C128" s="288">
        <v>152</v>
      </c>
      <c r="D128" s="288">
        <v>40</v>
      </c>
      <c r="E128" s="288">
        <v>27</v>
      </c>
      <c r="F128" s="288">
        <v>25</v>
      </c>
      <c r="G128" s="288">
        <v>37</v>
      </c>
      <c r="H128" s="288">
        <v>281</v>
      </c>
      <c r="J128" s="288">
        <v>2020</v>
      </c>
      <c r="K128" s="288">
        <v>690</v>
      </c>
      <c r="L128" s="288">
        <v>566</v>
      </c>
      <c r="M128" s="288">
        <v>448</v>
      </c>
      <c r="N128" s="288">
        <v>548</v>
      </c>
      <c r="O128" s="288">
        <v>698</v>
      </c>
      <c r="P128" s="288">
        <v>2950</v>
      </c>
      <c r="AI128" s="290" t="s">
        <v>407</v>
      </c>
      <c r="AJ128" s="290">
        <v>2020</v>
      </c>
      <c r="AK128" s="290">
        <v>1043</v>
      </c>
      <c r="AL128" s="290">
        <v>459</v>
      </c>
      <c r="AM128" s="290">
        <v>480</v>
      </c>
      <c r="AN128" s="290">
        <v>568</v>
      </c>
      <c r="AO128" s="290">
        <v>346</v>
      </c>
      <c r="AP128" s="290">
        <v>2896</v>
      </c>
      <c r="AQ128" s="290"/>
      <c r="AR128" s="290">
        <v>2020</v>
      </c>
      <c r="AS128" s="290">
        <v>64</v>
      </c>
      <c r="AT128" s="290">
        <v>1</v>
      </c>
      <c r="AU128" s="290">
        <v>0</v>
      </c>
      <c r="AV128" s="290">
        <v>0</v>
      </c>
      <c r="AW128" s="290">
        <v>0</v>
      </c>
      <c r="AX128" s="290">
        <v>65</v>
      </c>
      <c r="AZ128" s="300" t="s">
        <v>75</v>
      </c>
      <c r="BA128" s="300">
        <v>2020</v>
      </c>
      <c r="BB128" s="300">
        <v>245</v>
      </c>
      <c r="BC128" s="300">
        <v>244</v>
      </c>
      <c r="BD128" s="300">
        <v>500</v>
      </c>
      <c r="BE128" s="300">
        <v>695</v>
      </c>
      <c r="BF128" s="300">
        <v>615</v>
      </c>
      <c r="BG128" s="300">
        <v>2299</v>
      </c>
      <c r="BH128" s="300"/>
      <c r="BI128" s="300">
        <v>2020</v>
      </c>
      <c r="BJ128" s="300">
        <v>16</v>
      </c>
      <c r="BK128" s="300">
        <v>0</v>
      </c>
      <c r="BL128" s="300">
        <v>0</v>
      </c>
      <c r="BM128" s="300">
        <v>0</v>
      </c>
      <c r="BN128" s="300">
        <v>0</v>
      </c>
      <c r="BO128" s="300">
        <v>16</v>
      </c>
      <c r="CH128" s="237" t="s">
        <v>232</v>
      </c>
      <c r="CI128" s="237">
        <v>2020</v>
      </c>
      <c r="CJ128" s="237">
        <v>33</v>
      </c>
      <c r="CK128" s="237">
        <v>26</v>
      </c>
      <c r="CL128" s="237">
        <v>90</v>
      </c>
      <c r="CM128" s="237">
        <v>116</v>
      </c>
      <c r="CN128" s="237">
        <v>130</v>
      </c>
      <c r="CO128" s="237">
        <v>395</v>
      </c>
      <c r="CP128" s="237"/>
      <c r="CQ128" s="237">
        <v>2020</v>
      </c>
      <c r="CR128" s="237">
        <v>12</v>
      </c>
      <c r="CS128" s="237">
        <v>0</v>
      </c>
      <c r="CT128" s="237">
        <v>0</v>
      </c>
      <c r="CU128" s="237">
        <v>0</v>
      </c>
      <c r="CV128" s="237">
        <v>0</v>
      </c>
      <c r="CW128" s="237">
        <v>12</v>
      </c>
      <c r="EX128" s="309" t="s">
        <v>1208</v>
      </c>
      <c r="EY128" s="309">
        <v>2020</v>
      </c>
      <c r="EZ128" s="309">
        <v>285</v>
      </c>
      <c r="FA128" s="309">
        <v>364</v>
      </c>
      <c r="FB128" s="309">
        <v>460</v>
      </c>
      <c r="FC128" s="309">
        <v>458</v>
      </c>
      <c r="FD128" s="309">
        <v>574</v>
      </c>
      <c r="FE128" s="309">
        <v>2141</v>
      </c>
      <c r="FF128" s="309"/>
      <c r="FG128" s="309">
        <v>2020</v>
      </c>
      <c r="FH128" s="309">
        <v>21</v>
      </c>
      <c r="FI128" s="309">
        <v>8</v>
      </c>
      <c r="FJ128" s="309">
        <v>5</v>
      </c>
      <c r="FK128" s="309">
        <v>4</v>
      </c>
      <c r="FL128" s="309">
        <v>7</v>
      </c>
      <c r="FM128" s="309">
        <v>45</v>
      </c>
    </row>
    <row r="129" spans="1:169">
      <c r="A129" s="288" t="s">
        <v>694</v>
      </c>
      <c r="B129" s="288">
        <v>2020</v>
      </c>
      <c r="C129" s="288">
        <v>16</v>
      </c>
      <c r="D129" s="288">
        <v>0</v>
      </c>
      <c r="E129" s="288">
        <v>0</v>
      </c>
      <c r="F129" s="288">
        <v>1</v>
      </c>
      <c r="G129" s="288">
        <v>0</v>
      </c>
      <c r="H129" s="288">
        <v>17</v>
      </c>
      <c r="J129" s="288">
        <v>2020</v>
      </c>
      <c r="K129" s="288">
        <v>103</v>
      </c>
      <c r="L129" s="288">
        <v>188</v>
      </c>
      <c r="M129" s="288">
        <v>392</v>
      </c>
      <c r="N129" s="288">
        <v>574</v>
      </c>
      <c r="O129" s="288">
        <v>449</v>
      </c>
      <c r="P129" s="288">
        <v>1706</v>
      </c>
      <c r="AI129" s="290" t="s">
        <v>408</v>
      </c>
      <c r="AJ129" s="290">
        <v>2020</v>
      </c>
      <c r="AK129" s="290">
        <v>227</v>
      </c>
      <c r="AL129" s="290">
        <v>278</v>
      </c>
      <c r="AM129" s="290">
        <v>451</v>
      </c>
      <c r="AN129" s="290">
        <v>549</v>
      </c>
      <c r="AO129" s="290">
        <v>475</v>
      </c>
      <c r="AP129" s="290">
        <v>1980</v>
      </c>
      <c r="AQ129" s="290"/>
      <c r="AR129" s="290">
        <v>2020</v>
      </c>
      <c r="AS129" s="290">
        <v>34</v>
      </c>
      <c r="AT129" s="290">
        <v>3</v>
      </c>
      <c r="AU129" s="290">
        <v>4</v>
      </c>
      <c r="AV129" s="290">
        <v>0</v>
      </c>
      <c r="AW129" s="290">
        <v>0</v>
      </c>
      <c r="AX129" s="290">
        <v>41</v>
      </c>
      <c r="AZ129" s="300" t="s">
        <v>77</v>
      </c>
      <c r="BA129" s="300">
        <v>2020</v>
      </c>
      <c r="BB129" s="300">
        <v>117</v>
      </c>
      <c r="BC129" s="300">
        <v>160</v>
      </c>
      <c r="BD129" s="300">
        <v>306</v>
      </c>
      <c r="BE129" s="300">
        <v>458</v>
      </c>
      <c r="BF129" s="300">
        <v>375</v>
      </c>
      <c r="BG129" s="300">
        <v>1416</v>
      </c>
      <c r="BH129" s="300"/>
      <c r="BI129" s="300">
        <v>2020</v>
      </c>
      <c r="BJ129" s="300">
        <v>21</v>
      </c>
      <c r="BK129" s="300">
        <v>0</v>
      </c>
      <c r="BL129" s="300">
        <v>0</v>
      </c>
      <c r="BM129" s="300">
        <v>0</v>
      </c>
      <c r="BN129" s="300">
        <v>0</v>
      </c>
      <c r="BO129" s="300">
        <v>21</v>
      </c>
      <c r="CH129" s="237" t="s">
        <v>234</v>
      </c>
      <c r="CI129" s="237">
        <v>2020</v>
      </c>
      <c r="CJ129" s="237">
        <v>68</v>
      </c>
      <c r="CK129" s="237">
        <v>73</v>
      </c>
      <c r="CL129" s="237">
        <v>144</v>
      </c>
      <c r="CM129" s="237">
        <v>184</v>
      </c>
      <c r="CN129" s="237">
        <v>180</v>
      </c>
      <c r="CO129" s="237">
        <v>649</v>
      </c>
      <c r="CP129" s="237"/>
      <c r="CQ129" s="237">
        <v>2020</v>
      </c>
      <c r="CR129" s="237">
        <v>16</v>
      </c>
      <c r="CS129" s="237">
        <v>0</v>
      </c>
      <c r="CT129" s="237">
        <v>0</v>
      </c>
      <c r="CU129" s="237">
        <v>0</v>
      </c>
      <c r="CV129" s="237">
        <v>0</v>
      </c>
      <c r="CW129" s="237">
        <v>16</v>
      </c>
      <c r="EX129" s="309" t="s">
        <v>1210</v>
      </c>
      <c r="EY129" s="309">
        <v>2020</v>
      </c>
      <c r="EZ129" s="309">
        <v>101</v>
      </c>
      <c r="FA129" s="309">
        <v>164</v>
      </c>
      <c r="FB129" s="309">
        <v>206</v>
      </c>
      <c r="FC129" s="309">
        <v>213</v>
      </c>
      <c r="FD129" s="309">
        <v>338</v>
      </c>
      <c r="FE129" s="309">
        <v>1022</v>
      </c>
      <c r="FF129" s="309"/>
      <c r="FG129" s="309">
        <v>2020</v>
      </c>
      <c r="FH129" s="309">
        <v>17</v>
      </c>
      <c r="FI129" s="309">
        <v>2</v>
      </c>
      <c r="FJ129" s="309">
        <v>3</v>
      </c>
      <c r="FK129" s="309">
        <v>0</v>
      </c>
      <c r="FL129" s="309">
        <v>3</v>
      </c>
      <c r="FM129" s="309">
        <v>25</v>
      </c>
    </row>
    <row r="130" spans="1:169">
      <c r="A130" s="288" t="s">
        <v>697</v>
      </c>
      <c r="B130" s="288">
        <v>2020</v>
      </c>
      <c r="C130" s="288">
        <v>32</v>
      </c>
      <c r="D130" s="288">
        <v>6</v>
      </c>
      <c r="E130" s="288">
        <v>3</v>
      </c>
      <c r="F130" s="288">
        <v>1</v>
      </c>
      <c r="G130" s="288">
        <v>1</v>
      </c>
      <c r="H130" s="288">
        <v>43</v>
      </c>
      <c r="J130" s="288">
        <v>2020</v>
      </c>
      <c r="K130" s="288">
        <v>397</v>
      </c>
      <c r="L130" s="288">
        <v>454</v>
      </c>
      <c r="M130" s="288">
        <v>569</v>
      </c>
      <c r="N130" s="288">
        <v>640</v>
      </c>
      <c r="O130" s="288">
        <v>478</v>
      </c>
      <c r="P130" s="288">
        <v>2538</v>
      </c>
      <c r="AI130" s="290" t="s">
        <v>409</v>
      </c>
      <c r="AJ130" s="290">
        <v>2020</v>
      </c>
      <c r="AK130" s="290">
        <v>619</v>
      </c>
      <c r="AL130" s="290">
        <v>952</v>
      </c>
      <c r="AM130" s="290">
        <v>1398</v>
      </c>
      <c r="AN130" s="290">
        <v>1531</v>
      </c>
      <c r="AO130" s="290">
        <v>881</v>
      </c>
      <c r="AP130" s="290">
        <v>5381</v>
      </c>
      <c r="AQ130" s="290"/>
      <c r="AR130" s="290">
        <v>2020</v>
      </c>
      <c r="AS130" s="290">
        <v>42</v>
      </c>
      <c r="AT130" s="290">
        <v>5</v>
      </c>
      <c r="AU130" s="290">
        <v>0</v>
      </c>
      <c r="AV130" s="290">
        <v>0</v>
      </c>
      <c r="AW130" s="290">
        <v>2</v>
      </c>
      <c r="AX130" s="290">
        <v>49</v>
      </c>
      <c r="AZ130" s="300" t="s">
        <v>79</v>
      </c>
      <c r="BA130" s="300">
        <v>2020</v>
      </c>
      <c r="BB130" s="300">
        <v>268</v>
      </c>
      <c r="BC130" s="300">
        <v>222</v>
      </c>
      <c r="BD130" s="300">
        <v>268</v>
      </c>
      <c r="BE130" s="300">
        <v>303</v>
      </c>
      <c r="BF130" s="300">
        <v>289</v>
      </c>
      <c r="BG130" s="300">
        <v>1350</v>
      </c>
      <c r="BH130" s="300"/>
      <c r="BI130" s="300">
        <v>2020</v>
      </c>
      <c r="BJ130" s="300">
        <v>48</v>
      </c>
      <c r="BK130" s="300">
        <v>5</v>
      </c>
      <c r="BL130" s="300">
        <v>0</v>
      </c>
      <c r="BM130" s="300">
        <v>0</v>
      </c>
      <c r="BN130" s="300">
        <v>0</v>
      </c>
      <c r="BO130" s="300">
        <v>53</v>
      </c>
      <c r="CH130" s="237" t="s">
        <v>236</v>
      </c>
      <c r="CI130" s="237">
        <v>2020</v>
      </c>
      <c r="CJ130" s="237">
        <v>48</v>
      </c>
      <c r="CK130" s="237">
        <v>78</v>
      </c>
      <c r="CL130" s="237">
        <v>114</v>
      </c>
      <c r="CM130" s="237">
        <v>161</v>
      </c>
      <c r="CN130" s="237">
        <v>161</v>
      </c>
      <c r="CO130" s="237">
        <v>562</v>
      </c>
      <c r="CP130" s="237"/>
      <c r="CQ130" s="237">
        <v>2020</v>
      </c>
      <c r="CR130" s="237">
        <v>2</v>
      </c>
      <c r="CS130" s="237">
        <v>0</v>
      </c>
      <c r="CT130" s="237">
        <v>0</v>
      </c>
      <c r="CU130" s="237">
        <v>0</v>
      </c>
      <c r="CV130" s="237">
        <v>0</v>
      </c>
      <c r="CW130" s="237">
        <v>2</v>
      </c>
      <c r="EX130" s="309" t="s">
        <v>1212</v>
      </c>
      <c r="EY130" s="309">
        <v>2020</v>
      </c>
      <c r="EZ130" s="309">
        <v>349</v>
      </c>
      <c r="FA130" s="309">
        <v>265</v>
      </c>
      <c r="FB130" s="309">
        <v>334</v>
      </c>
      <c r="FC130" s="309">
        <v>424</v>
      </c>
      <c r="FD130" s="309">
        <v>569</v>
      </c>
      <c r="FE130" s="309">
        <v>1941</v>
      </c>
      <c r="FF130" s="309"/>
      <c r="FG130" s="309">
        <v>2020</v>
      </c>
      <c r="FH130" s="309">
        <v>19</v>
      </c>
      <c r="FI130" s="309">
        <v>6</v>
      </c>
      <c r="FJ130" s="309">
        <v>6</v>
      </c>
      <c r="FK130" s="309">
        <v>2</v>
      </c>
      <c r="FL130" s="309">
        <v>4</v>
      </c>
      <c r="FM130" s="309">
        <v>37</v>
      </c>
    </row>
    <row r="131" spans="1:169">
      <c r="A131" s="288" t="s">
        <v>700</v>
      </c>
      <c r="B131" s="288">
        <v>2020</v>
      </c>
      <c r="C131" s="288">
        <v>20</v>
      </c>
      <c r="D131" s="288">
        <v>1</v>
      </c>
      <c r="E131" s="288">
        <v>0</v>
      </c>
      <c r="F131" s="288">
        <v>0</v>
      </c>
      <c r="G131" s="288">
        <v>0</v>
      </c>
      <c r="H131" s="288">
        <v>21</v>
      </c>
      <c r="J131" s="288">
        <v>2020</v>
      </c>
      <c r="K131" s="288">
        <v>162</v>
      </c>
      <c r="L131" s="288">
        <v>218</v>
      </c>
      <c r="M131" s="288">
        <v>305</v>
      </c>
      <c r="N131" s="288">
        <v>382</v>
      </c>
      <c r="O131" s="288">
        <v>263</v>
      </c>
      <c r="P131" s="288">
        <v>1330</v>
      </c>
      <c r="AI131" s="290" t="s">
        <v>410</v>
      </c>
      <c r="AJ131" s="290">
        <v>2020</v>
      </c>
      <c r="AK131" s="290">
        <v>264</v>
      </c>
      <c r="AL131" s="290">
        <v>446</v>
      </c>
      <c r="AM131" s="290">
        <v>777</v>
      </c>
      <c r="AN131" s="290">
        <v>847</v>
      </c>
      <c r="AO131" s="290">
        <v>590</v>
      </c>
      <c r="AP131" s="290">
        <v>2924</v>
      </c>
      <c r="AQ131" s="290"/>
      <c r="AR131" s="290">
        <v>2020</v>
      </c>
      <c r="AS131" s="290">
        <v>22</v>
      </c>
      <c r="AT131" s="290">
        <v>3</v>
      </c>
      <c r="AU131" s="290">
        <v>1</v>
      </c>
      <c r="AV131" s="290">
        <v>0</v>
      </c>
      <c r="AW131" s="290">
        <v>0</v>
      </c>
      <c r="AX131" s="290">
        <v>26</v>
      </c>
      <c r="AZ131" s="300" t="s">
        <v>80</v>
      </c>
      <c r="BA131" s="300">
        <v>2020</v>
      </c>
      <c r="BB131" s="300">
        <v>261</v>
      </c>
      <c r="BC131" s="300">
        <v>215</v>
      </c>
      <c r="BD131" s="300">
        <v>299</v>
      </c>
      <c r="BE131" s="300">
        <v>333</v>
      </c>
      <c r="BF131" s="300">
        <v>246</v>
      </c>
      <c r="BG131" s="300">
        <v>1354</v>
      </c>
      <c r="BH131" s="300"/>
      <c r="BI131" s="300">
        <v>2020</v>
      </c>
      <c r="BJ131" s="300">
        <v>19</v>
      </c>
      <c r="BK131" s="300">
        <v>0</v>
      </c>
      <c r="BL131" s="300">
        <v>0</v>
      </c>
      <c r="BM131" s="300">
        <v>0</v>
      </c>
      <c r="BN131" s="300">
        <v>0</v>
      </c>
      <c r="BO131" s="300">
        <v>19</v>
      </c>
      <c r="CH131" s="237" t="s">
        <v>238</v>
      </c>
      <c r="CI131" s="237">
        <v>2020</v>
      </c>
      <c r="CJ131" s="237">
        <v>64</v>
      </c>
      <c r="CK131" s="237">
        <v>36</v>
      </c>
      <c r="CL131" s="237">
        <v>71</v>
      </c>
      <c r="CM131" s="237">
        <v>93</v>
      </c>
      <c r="CN131" s="237">
        <v>89</v>
      </c>
      <c r="CO131" s="237">
        <v>353</v>
      </c>
      <c r="CP131" s="237"/>
      <c r="CQ131" s="237">
        <v>2020</v>
      </c>
      <c r="CR131" s="237">
        <v>27</v>
      </c>
      <c r="CS131" s="237">
        <v>0</v>
      </c>
      <c r="CT131" s="237">
        <v>0</v>
      </c>
      <c r="CU131" s="237">
        <v>0</v>
      </c>
      <c r="CV131" s="237">
        <v>0</v>
      </c>
      <c r="CW131" s="237">
        <v>27</v>
      </c>
      <c r="EX131" s="309" t="s">
        <v>1214</v>
      </c>
      <c r="EY131" s="309">
        <v>2020</v>
      </c>
      <c r="EZ131" s="309">
        <v>145</v>
      </c>
      <c r="FA131" s="309">
        <v>207</v>
      </c>
      <c r="FB131" s="309">
        <v>235</v>
      </c>
      <c r="FC131" s="309">
        <v>308</v>
      </c>
      <c r="FD131" s="309">
        <v>405</v>
      </c>
      <c r="FE131" s="309">
        <v>1300</v>
      </c>
      <c r="FF131" s="309"/>
      <c r="FG131" s="309">
        <v>2020</v>
      </c>
      <c r="FH131" s="309">
        <v>18</v>
      </c>
      <c r="FI131" s="309">
        <v>6</v>
      </c>
      <c r="FJ131" s="309">
        <v>2</v>
      </c>
      <c r="FK131" s="309">
        <v>2</v>
      </c>
      <c r="FL131" s="309">
        <v>1</v>
      </c>
      <c r="FM131" s="309">
        <v>29</v>
      </c>
    </row>
    <row r="132" spans="1:169">
      <c r="A132" s="288" t="s">
        <v>703</v>
      </c>
      <c r="B132" s="288">
        <v>2020</v>
      </c>
      <c r="C132" s="288">
        <v>28</v>
      </c>
      <c r="D132" s="288">
        <v>1</v>
      </c>
      <c r="E132" s="288">
        <v>2</v>
      </c>
      <c r="F132" s="288">
        <v>4</v>
      </c>
      <c r="G132" s="288">
        <v>2</v>
      </c>
      <c r="H132" s="288">
        <v>37</v>
      </c>
      <c r="J132" s="288">
        <v>2020</v>
      </c>
      <c r="K132" s="288">
        <v>172</v>
      </c>
      <c r="L132" s="288">
        <v>296</v>
      </c>
      <c r="M132" s="288">
        <v>440</v>
      </c>
      <c r="N132" s="288">
        <v>581</v>
      </c>
      <c r="O132" s="288">
        <v>453</v>
      </c>
      <c r="P132" s="288">
        <v>1942</v>
      </c>
      <c r="AI132" s="290" t="s">
        <v>411</v>
      </c>
      <c r="AJ132" s="290">
        <v>2020</v>
      </c>
      <c r="AK132" s="290">
        <v>197</v>
      </c>
      <c r="AL132" s="290">
        <v>324</v>
      </c>
      <c r="AM132" s="290">
        <v>554</v>
      </c>
      <c r="AN132" s="290">
        <v>853</v>
      </c>
      <c r="AO132" s="290">
        <v>640</v>
      </c>
      <c r="AP132" s="290">
        <v>2568</v>
      </c>
      <c r="AQ132" s="290"/>
      <c r="AR132" s="290">
        <v>2020</v>
      </c>
      <c r="AS132" s="290">
        <v>20</v>
      </c>
      <c r="AT132" s="290">
        <v>3</v>
      </c>
      <c r="AU132" s="290">
        <v>0</v>
      </c>
      <c r="AV132" s="290">
        <v>2</v>
      </c>
      <c r="AW132" s="290">
        <v>1</v>
      </c>
      <c r="AX132" s="290">
        <v>26</v>
      </c>
      <c r="AZ132" s="300" t="s">
        <v>82</v>
      </c>
      <c r="BA132" s="300">
        <v>2020</v>
      </c>
      <c r="BB132" s="300">
        <v>342</v>
      </c>
      <c r="BC132" s="300">
        <v>253</v>
      </c>
      <c r="BD132" s="300">
        <v>419</v>
      </c>
      <c r="BE132" s="300">
        <v>531</v>
      </c>
      <c r="BF132" s="300">
        <v>461</v>
      </c>
      <c r="BG132" s="300">
        <v>2006</v>
      </c>
      <c r="BH132" s="300"/>
      <c r="BI132" s="300">
        <v>2020</v>
      </c>
      <c r="BJ132" s="300">
        <v>47</v>
      </c>
      <c r="BK132" s="300">
        <v>0</v>
      </c>
      <c r="BL132" s="300">
        <v>0</v>
      </c>
      <c r="BM132" s="300">
        <v>0</v>
      </c>
      <c r="BN132" s="300">
        <v>0</v>
      </c>
      <c r="BO132" s="300">
        <v>47</v>
      </c>
      <c r="CH132" s="237" t="s">
        <v>240</v>
      </c>
      <c r="CI132" s="237">
        <v>2020</v>
      </c>
      <c r="CJ132" s="237">
        <v>39</v>
      </c>
      <c r="CK132" s="237">
        <v>57</v>
      </c>
      <c r="CL132" s="237">
        <v>94</v>
      </c>
      <c r="CM132" s="237">
        <v>120</v>
      </c>
      <c r="CN132" s="237">
        <v>125</v>
      </c>
      <c r="CO132" s="237">
        <v>435</v>
      </c>
      <c r="CP132" s="237"/>
      <c r="CQ132" s="237">
        <v>2020</v>
      </c>
      <c r="CR132" s="237">
        <v>15</v>
      </c>
      <c r="CS132" s="237">
        <v>0</v>
      </c>
      <c r="CT132" s="237">
        <v>0</v>
      </c>
      <c r="CU132" s="237">
        <v>0</v>
      </c>
      <c r="CV132" s="237">
        <v>0</v>
      </c>
      <c r="CW132" s="237">
        <v>15</v>
      </c>
      <c r="EX132" s="309" t="s">
        <v>1216</v>
      </c>
      <c r="EY132" s="309">
        <v>2020</v>
      </c>
      <c r="EZ132" s="309">
        <v>135</v>
      </c>
      <c r="FA132" s="309">
        <v>160</v>
      </c>
      <c r="FB132" s="309">
        <v>213</v>
      </c>
      <c r="FC132" s="309">
        <v>246</v>
      </c>
      <c r="FD132" s="309">
        <v>357</v>
      </c>
      <c r="FE132" s="309">
        <v>1111</v>
      </c>
      <c r="FF132" s="309"/>
      <c r="FG132" s="309">
        <v>2020</v>
      </c>
      <c r="FH132" s="309">
        <v>12</v>
      </c>
      <c r="FI132" s="309">
        <v>2</v>
      </c>
      <c r="FJ132" s="309">
        <v>1</v>
      </c>
      <c r="FK132" s="309">
        <v>1</v>
      </c>
      <c r="FL132" s="309">
        <v>3</v>
      </c>
      <c r="FM132" s="309">
        <v>19</v>
      </c>
    </row>
    <row r="133" spans="1:169">
      <c r="A133" s="288" t="s">
        <v>706</v>
      </c>
      <c r="B133" s="288">
        <v>2020</v>
      </c>
      <c r="C133" s="288">
        <v>40</v>
      </c>
      <c r="D133" s="288">
        <v>1</v>
      </c>
      <c r="E133" s="288">
        <v>0</v>
      </c>
      <c r="F133" s="288">
        <v>2</v>
      </c>
      <c r="G133" s="288">
        <v>0</v>
      </c>
      <c r="H133" s="288">
        <v>43</v>
      </c>
      <c r="J133" s="288">
        <v>2020</v>
      </c>
      <c r="K133" s="288">
        <v>700</v>
      </c>
      <c r="L133" s="288">
        <v>685</v>
      </c>
      <c r="M133" s="288">
        <v>1037</v>
      </c>
      <c r="N133" s="288">
        <v>1219</v>
      </c>
      <c r="O133" s="288">
        <v>935</v>
      </c>
      <c r="P133" s="288">
        <v>4576</v>
      </c>
      <c r="AI133" s="290" t="s">
        <v>412</v>
      </c>
      <c r="AJ133" s="290">
        <v>2020</v>
      </c>
      <c r="AK133" s="290">
        <v>587</v>
      </c>
      <c r="AL133" s="290">
        <v>291</v>
      </c>
      <c r="AM133" s="290">
        <v>404</v>
      </c>
      <c r="AN133" s="290">
        <v>502</v>
      </c>
      <c r="AO133" s="290">
        <v>548</v>
      </c>
      <c r="AP133" s="290">
        <v>2332</v>
      </c>
      <c r="AQ133" s="290"/>
      <c r="AR133" s="290">
        <v>2020</v>
      </c>
      <c r="AS133" s="290">
        <v>112</v>
      </c>
      <c r="AT133" s="290">
        <v>1</v>
      </c>
      <c r="AU133" s="290">
        <v>0</v>
      </c>
      <c r="AV133" s="290">
        <v>0</v>
      </c>
      <c r="AW133" s="290">
        <v>0</v>
      </c>
      <c r="AX133" s="290">
        <v>113</v>
      </c>
      <c r="AZ133" s="300" t="s">
        <v>83</v>
      </c>
      <c r="BA133" s="300">
        <v>2020</v>
      </c>
      <c r="BB133" s="300">
        <v>469</v>
      </c>
      <c r="BC133" s="300">
        <v>277</v>
      </c>
      <c r="BD133" s="300">
        <v>456</v>
      </c>
      <c r="BE133" s="300">
        <v>531</v>
      </c>
      <c r="BF133" s="300">
        <v>481</v>
      </c>
      <c r="BG133" s="300">
        <v>2214</v>
      </c>
      <c r="BH133" s="300"/>
      <c r="BI133" s="300">
        <v>2020</v>
      </c>
      <c r="BJ133" s="300">
        <v>21</v>
      </c>
      <c r="BK133" s="300">
        <v>0</v>
      </c>
      <c r="BL133" s="300">
        <v>0</v>
      </c>
      <c r="BM133" s="300">
        <v>0</v>
      </c>
      <c r="BN133" s="300">
        <v>0</v>
      </c>
      <c r="BO133" s="300">
        <v>21</v>
      </c>
      <c r="EX133" s="309" t="s">
        <v>1218</v>
      </c>
      <c r="EY133" s="309">
        <v>2020</v>
      </c>
      <c r="EZ133" s="309">
        <v>96</v>
      </c>
      <c r="FA133" s="309">
        <v>132</v>
      </c>
      <c r="FB133" s="309">
        <v>177</v>
      </c>
      <c r="FC133" s="309">
        <v>224</v>
      </c>
      <c r="FD133" s="309">
        <v>284</v>
      </c>
      <c r="FE133" s="309">
        <v>913</v>
      </c>
      <c r="FF133" s="309"/>
      <c r="FG133" s="309">
        <v>2020</v>
      </c>
      <c r="FH133" s="309">
        <v>12</v>
      </c>
      <c r="FI133" s="309">
        <v>4</v>
      </c>
      <c r="FJ133" s="309">
        <v>0</v>
      </c>
      <c r="FK133" s="309">
        <v>3</v>
      </c>
      <c r="FL133" s="309">
        <v>2</v>
      </c>
      <c r="FM133" s="309">
        <v>21</v>
      </c>
    </row>
    <row r="134" spans="1:169">
      <c r="A134" s="288" t="s">
        <v>709</v>
      </c>
      <c r="B134" s="288">
        <v>2020</v>
      </c>
      <c r="C134" s="288">
        <v>58</v>
      </c>
      <c r="D134" s="288">
        <v>7</v>
      </c>
      <c r="E134" s="288">
        <v>0</v>
      </c>
      <c r="F134" s="288">
        <v>0</v>
      </c>
      <c r="G134" s="288">
        <v>0</v>
      </c>
      <c r="H134" s="288">
        <v>65</v>
      </c>
      <c r="J134" s="288">
        <v>2020</v>
      </c>
      <c r="K134" s="288">
        <v>258</v>
      </c>
      <c r="L134" s="288">
        <v>328</v>
      </c>
      <c r="M134" s="288">
        <v>479</v>
      </c>
      <c r="N134" s="288">
        <v>617</v>
      </c>
      <c r="O134" s="288">
        <v>480</v>
      </c>
      <c r="P134" s="288">
        <v>2162</v>
      </c>
      <c r="AI134" s="290" t="s">
        <v>413</v>
      </c>
      <c r="AJ134" s="290">
        <v>2020</v>
      </c>
      <c r="AK134" s="290">
        <v>483</v>
      </c>
      <c r="AL134" s="290">
        <v>252</v>
      </c>
      <c r="AM134" s="290">
        <v>400</v>
      </c>
      <c r="AN134" s="290">
        <v>534</v>
      </c>
      <c r="AO134" s="290">
        <v>500</v>
      </c>
      <c r="AP134" s="290">
        <v>2169</v>
      </c>
      <c r="AQ134" s="290"/>
      <c r="AR134" s="290">
        <v>2020</v>
      </c>
      <c r="AS134" s="290">
        <v>100</v>
      </c>
      <c r="AT134" s="290">
        <v>1</v>
      </c>
      <c r="AU134" s="290">
        <v>0</v>
      </c>
      <c r="AV134" s="290">
        <v>0</v>
      </c>
      <c r="AW134" s="290">
        <v>0</v>
      </c>
      <c r="AX134" s="290">
        <v>101</v>
      </c>
      <c r="AZ134" s="300" t="s">
        <v>85</v>
      </c>
      <c r="BA134" s="300">
        <v>2020</v>
      </c>
      <c r="BB134" s="300">
        <v>141</v>
      </c>
      <c r="BC134" s="300">
        <v>167</v>
      </c>
      <c r="BD134" s="300">
        <v>339</v>
      </c>
      <c r="BE134" s="300">
        <v>472</v>
      </c>
      <c r="BF134" s="300">
        <v>384</v>
      </c>
      <c r="BG134" s="300">
        <v>1503</v>
      </c>
      <c r="BH134" s="300"/>
      <c r="BI134" s="300">
        <v>2020</v>
      </c>
      <c r="BJ134" s="300">
        <v>19</v>
      </c>
      <c r="BK134" s="300">
        <v>0</v>
      </c>
      <c r="BL134" s="300">
        <v>0</v>
      </c>
      <c r="BM134" s="300">
        <v>0</v>
      </c>
      <c r="BN134" s="300">
        <v>0</v>
      </c>
      <c r="BO134" s="300">
        <v>19</v>
      </c>
      <c r="EX134" s="309" t="s">
        <v>1220</v>
      </c>
      <c r="EY134" s="309">
        <v>2020</v>
      </c>
      <c r="EZ134" s="309">
        <v>372</v>
      </c>
      <c r="FA134" s="309">
        <v>398</v>
      </c>
      <c r="FB134" s="309">
        <v>343</v>
      </c>
      <c r="FC134" s="309">
        <v>352</v>
      </c>
      <c r="FD134" s="309">
        <v>476</v>
      </c>
      <c r="FE134" s="309">
        <v>1941</v>
      </c>
      <c r="FF134" s="309"/>
      <c r="FG134" s="309">
        <v>2020</v>
      </c>
      <c r="FH134" s="309">
        <v>32</v>
      </c>
      <c r="FI134" s="309">
        <v>15</v>
      </c>
      <c r="FJ134" s="309">
        <v>5</v>
      </c>
      <c r="FK134" s="309">
        <v>2</v>
      </c>
      <c r="FL134" s="309">
        <v>3</v>
      </c>
      <c r="FM134" s="309">
        <v>57</v>
      </c>
    </row>
    <row r="135" spans="1:169">
      <c r="A135" s="288" t="s">
        <v>712</v>
      </c>
      <c r="B135" s="288">
        <v>2020</v>
      </c>
      <c r="C135" s="288">
        <v>18</v>
      </c>
      <c r="D135" s="288">
        <v>2</v>
      </c>
      <c r="E135" s="288">
        <v>0</v>
      </c>
      <c r="F135" s="288">
        <v>0</v>
      </c>
      <c r="G135" s="288">
        <v>0</v>
      </c>
      <c r="H135" s="288">
        <v>20</v>
      </c>
      <c r="J135" s="288">
        <v>2020</v>
      </c>
      <c r="K135" s="288">
        <v>462</v>
      </c>
      <c r="L135" s="288">
        <v>646</v>
      </c>
      <c r="M135" s="288">
        <v>1034</v>
      </c>
      <c r="N135" s="288">
        <v>1414</v>
      </c>
      <c r="O135" s="288">
        <v>1045</v>
      </c>
      <c r="P135" s="288">
        <v>4601</v>
      </c>
      <c r="AI135" s="290" t="s">
        <v>414</v>
      </c>
      <c r="AJ135" s="290">
        <v>2020</v>
      </c>
      <c r="AK135" s="290">
        <v>518</v>
      </c>
      <c r="AL135" s="290">
        <v>296</v>
      </c>
      <c r="AM135" s="290">
        <v>429</v>
      </c>
      <c r="AN135" s="290">
        <v>608</v>
      </c>
      <c r="AO135" s="290">
        <v>573</v>
      </c>
      <c r="AP135" s="290">
        <v>2424</v>
      </c>
      <c r="AQ135" s="290"/>
      <c r="AR135" s="290">
        <v>2020</v>
      </c>
      <c r="AS135" s="290">
        <v>139</v>
      </c>
      <c r="AT135" s="290">
        <v>3</v>
      </c>
      <c r="AU135" s="290">
        <v>0</v>
      </c>
      <c r="AV135" s="290">
        <v>0</v>
      </c>
      <c r="AW135" s="290">
        <v>0</v>
      </c>
      <c r="AX135" s="290">
        <v>142</v>
      </c>
      <c r="AZ135" s="300" t="s">
        <v>86</v>
      </c>
      <c r="BA135" s="300">
        <v>2020</v>
      </c>
      <c r="BB135" s="300">
        <v>187</v>
      </c>
      <c r="BC135" s="300">
        <v>124</v>
      </c>
      <c r="BD135" s="300">
        <v>144</v>
      </c>
      <c r="BE135" s="300">
        <v>197</v>
      </c>
      <c r="BF135" s="300">
        <v>219</v>
      </c>
      <c r="BG135" s="300">
        <v>871</v>
      </c>
      <c r="BH135" s="300"/>
      <c r="BI135" s="300">
        <v>2020</v>
      </c>
      <c r="BJ135" s="300">
        <v>25</v>
      </c>
      <c r="BK135" s="300">
        <v>0</v>
      </c>
      <c r="BL135" s="300">
        <v>0</v>
      </c>
      <c r="BM135" s="300">
        <v>0</v>
      </c>
      <c r="BN135" s="300">
        <v>0</v>
      </c>
      <c r="BO135" s="300">
        <v>25</v>
      </c>
      <c r="EX135" s="309" t="s">
        <v>1222</v>
      </c>
      <c r="EY135" s="309">
        <v>2020</v>
      </c>
      <c r="EZ135" s="309">
        <v>172</v>
      </c>
      <c r="FA135" s="309">
        <v>285</v>
      </c>
      <c r="FB135" s="309">
        <v>396</v>
      </c>
      <c r="FC135" s="309">
        <v>461</v>
      </c>
      <c r="FD135" s="309">
        <v>594</v>
      </c>
      <c r="FE135" s="309">
        <v>1908</v>
      </c>
      <c r="FF135" s="309"/>
      <c r="FG135" s="309">
        <v>2020</v>
      </c>
      <c r="FH135" s="309">
        <v>9</v>
      </c>
      <c r="FI135" s="309">
        <v>4</v>
      </c>
      <c r="FJ135" s="309">
        <v>1</v>
      </c>
      <c r="FK135" s="309">
        <v>1</v>
      </c>
      <c r="FL135" s="309">
        <v>2</v>
      </c>
      <c r="FM135" s="309">
        <v>17</v>
      </c>
    </row>
    <row r="136" spans="1:169">
      <c r="A136" s="288" t="s">
        <v>715</v>
      </c>
      <c r="B136" s="288">
        <v>2020</v>
      </c>
      <c r="C136" s="288">
        <v>20</v>
      </c>
      <c r="D136" s="288">
        <v>2</v>
      </c>
      <c r="E136" s="288">
        <v>2</v>
      </c>
      <c r="F136" s="288">
        <v>0</v>
      </c>
      <c r="G136" s="288">
        <v>1</v>
      </c>
      <c r="H136" s="288">
        <v>25</v>
      </c>
      <c r="J136" s="288">
        <v>2020</v>
      </c>
      <c r="K136" s="288">
        <v>314</v>
      </c>
      <c r="L136" s="288">
        <v>456</v>
      </c>
      <c r="M136" s="288">
        <v>892</v>
      </c>
      <c r="N136" s="288">
        <v>1169</v>
      </c>
      <c r="O136" s="288">
        <v>867</v>
      </c>
      <c r="P136" s="288">
        <v>3698</v>
      </c>
      <c r="AI136" s="290" t="s">
        <v>415</v>
      </c>
      <c r="AJ136" s="290">
        <v>2020</v>
      </c>
      <c r="AK136" s="290">
        <v>1154</v>
      </c>
      <c r="AL136" s="290">
        <v>862</v>
      </c>
      <c r="AM136" s="290">
        <v>996</v>
      </c>
      <c r="AN136" s="290">
        <v>1063</v>
      </c>
      <c r="AO136" s="290">
        <v>789</v>
      </c>
      <c r="AP136" s="290">
        <v>4864</v>
      </c>
      <c r="AQ136" s="290"/>
      <c r="AR136" s="290">
        <v>2020</v>
      </c>
      <c r="AS136" s="290">
        <v>163</v>
      </c>
      <c r="AT136" s="290">
        <v>1</v>
      </c>
      <c r="AU136" s="290">
        <v>1</v>
      </c>
      <c r="AV136" s="290">
        <v>0</v>
      </c>
      <c r="AW136" s="290">
        <v>0</v>
      </c>
      <c r="AX136" s="290">
        <v>165</v>
      </c>
      <c r="AZ136" s="300" t="s">
        <v>87</v>
      </c>
      <c r="BA136" s="300">
        <v>2020</v>
      </c>
      <c r="BB136" s="300">
        <v>283</v>
      </c>
      <c r="BC136" s="300">
        <v>280</v>
      </c>
      <c r="BD136" s="300">
        <v>482</v>
      </c>
      <c r="BE136" s="300">
        <v>595</v>
      </c>
      <c r="BF136" s="300">
        <v>580</v>
      </c>
      <c r="BG136" s="300">
        <v>2220</v>
      </c>
      <c r="BH136" s="300"/>
      <c r="BI136" s="300">
        <v>2020</v>
      </c>
      <c r="BJ136" s="300">
        <v>22</v>
      </c>
      <c r="BK136" s="300">
        <v>0</v>
      </c>
      <c r="BL136" s="300">
        <v>0</v>
      </c>
      <c r="BM136" s="300">
        <v>0</v>
      </c>
      <c r="BN136" s="300">
        <v>0</v>
      </c>
      <c r="BO136" s="300">
        <v>22</v>
      </c>
      <c r="EX136" s="309" t="s">
        <v>1224</v>
      </c>
      <c r="EY136" s="309">
        <v>2020</v>
      </c>
      <c r="EZ136" s="309">
        <v>175</v>
      </c>
      <c r="FA136" s="309">
        <v>227</v>
      </c>
      <c r="FB136" s="309">
        <v>313</v>
      </c>
      <c r="FC136" s="309">
        <v>365</v>
      </c>
      <c r="FD136" s="309">
        <v>501</v>
      </c>
      <c r="FE136" s="309">
        <v>1581</v>
      </c>
      <c r="FF136" s="309"/>
      <c r="FG136" s="309">
        <v>2020</v>
      </c>
      <c r="FH136" s="309">
        <v>7</v>
      </c>
      <c r="FI136" s="309">
        <v>1</v>
      </c>
      <c r="FJ136" s="309">
        <v>0</v>
      </c>
      <c r="FK136" s="309">
        <v>1</v>
      </c>
      <c r="FL136" s="309">
        <v>0</v>
      </c>
      <c r="FM136" s="309">
        <v>9</v>
      </c>
    </row>
    <row r="137" spans="1:169">
      <c r="A137" s="288" t="s">
        <v>718</v>
      </c>
      <c r="B137" s="288">
        <v>2020</v>
      </c>
      <c r="C137" s="288">
        <v>18</v>
      </c>
      <c r="D137" s="288">
        <v>0</v>
      </c>
      <c r="E137" s="288">
        <v>0</v>
      </c>
      <c r="F137" s="288">
        <v>0</v>
      </c>
      <c r="G137" s="288">
        <v>0</v>
      </c>
      <c r="H137" s="288">
        <v>18</v>
      </c>
      <c r="J137" s="288">
        <v>2020</v>
      </c>
      <c r="K137" s="288">
        <v>359</v>
      </c>
      <c r="L137" s="288">
        <v>526</v>
      </c>
      <c r="M137" s="288">
        <v>1011</v>
      </c>
      <c r="N137" s="288">
        <v>1336</v>
      </c>
      <c r="O137" s="288">
        <v>1102</v>
      </c>
      <c r="P137" s="288">
        <v>4334</v>
      </c>
      <c r="AI137" s="290" t="s">
        <v>416</v>
      </c>
      <c r="AJ137" s="290">
        <v>2020</v>
      </c>
      <c r="AK137" s="290">
        <v>264</v>
      </c>
      <c r="AL137" s="290">
        <v>231</v>
      </c>
      <c r="AM137" s="290">
        <v>378</v>
      </c>
      <c r="AN137" s="290">
        <v>466</v>
      </c>
      <c r="AO137" s="290">
        <v>471</v>
      </c>
      <c r="AP137" s="290">
        <v>1810</v>
      </c>
      <c r="AQ137" s="290"/>
      <c r="AR137" s="290">
        <v>2020</v>
      </c>
      <c r="AS137" s="290">
        <v>46</v>
      </c>
      <c r="AT137" s="290">
        <v>5</v>
      </c>
      <c r="AU137" s="290">
        <v>0</v>
      </c>
      <c r="AV137" s="290">
        <v>0</v>
      </c>
      <c r="AW137" s="290">
        <v>0</v>
      </c>
      <c r="AX137" s="290">
        <v>51</v>
      </c>
      <c r="AZ137" s="300" t="s">
        <v>88</v>
      </c>
      <c r="BA137" s="300">
        <v>2020</v>
      </c>
      <c r="BB137" s="300">
        <v>135</v>
      </c>
      <c r="BC137" s="300">
        <v>119</v>
      </c>
      <c r="BD137" s="300">
        <v>155</v>
      </c>
      <c r="BE137" s="300">
        <v>206</v>
      </c>
      <c r="BF137" s="300">
        <v>250</v>
      </c>
      <c r="BG137" s="300">
        <v>865</v>
      </c>
      <c r="BH137" s="300"/>
      <c r="BI137" s="300">
        <v>2020</v>
      </c>
      <c r="BJ137" s="300">
        <v>19</v>
      </c>
      <c r="BK137" s="300">
        <v>0</v>
      </c>
      <c r="BL137" s="300">
        <v>0</v>
      </c>
      <c r="BM137" s="300">
        <v>0</v>
      </c>
      <c r="BN137" s="300">
        <v>0</v>
      </c>
      <c r="BO137" s="300">
        <v>19</v>
      </c>
      <c r="EX137" s="309" t="s">
        <v>1967</v>
      </c>
      <c r="EY137" s="309">
        <v>2020</v>
      </c>
      <c r="EZ137" s="309" t="s">
        <v>792</v>
      </c>
      <c r="FA137" s="309" t="s">
        <v>792</v>
      </c>
      <c r="FB137" s="309" t="s">
        <v>792</v>
      </c>
      <c r="FC137" s="309" t="s">
        <v>792</v>
      </c>
      <c r="FD137" s="309" t="s">
        <v>792</v>
      </c>
      <c r="FE137" s="309" t="s">
        <v>792</v>
      </c>
      <c r="FF137" s="309"/>
      <c r="FG137" s="309">
        <v>2020</v>
      </c>
      <c r="FH137" s="309" t="s">
        <v>792</v>
      </c>
      <c r="FI137" s="309" t="s">
        <v>792</v>
      </c>
      <c r="FJ137" s="309" t="s">
        <v>792</v>
      </c>
      <c r="FK137" s="309" t="s">
        <v>792</v>
      </c>
      <c r="FL137" s="309" t="s">
        <v>792</v>
      </c>
      <c r="FM137" s="309" t="s">
        <v>792</v>
      </c>
    </row>
    <row r="138" spans="1:169">
      <c r="A138" s="288" t="s">
        <v>712</v>
      </c>
      <c r="B138" s="288">
        <v>2020</v>
      </c>
      <c r="C138" s="288">
        <v>45</v>
      </c>
      <c r="D138" s="288">
        <v>0</v>
      </c>
      <c r="E138" s="288">
        <v>0</v>
      </c>
      <c r="F138" s="288">
        <v>0</v>
      </c>
      <c r="G138" s="288">
        <v>0</v>
      </c>
      <c r="H138" s="288">
        <v>45</v>
      </c>
      <c r="J138" s="288">
        <v>2020</v>
      </c>
      <c r="K138" s="288">
        <v>606</v>
      </c>
      <c r="L138" s="288">
        <v>608</v>
      </c>
      <c r="M138" s="288">
        <v>926</v>
      </c>
      <c r="N138" s="288">
        <v>1161</v>
      </c>
      <c r="O138" s="288">
        <v>896</v>
      </c>
      <c r="P138" s="288">
        <v>4197</v>
      </c>
      <c r="AI138" s="290" t="s">
        <v>417</v>
      </c>
      <c r="AJ138" s="290">
        <v>2020</v>
      </c>
      <c r="AK138" s="290">
        <v>546</v>
      </c>
      <c r="AL138" s="290">
        <v>493</v>
      </c>
      <c r="AM138" s="290">
        <v>822</v>
      </c>
      <c r="AN138" s="290">
        <v>1202</v>
      </c>
      <c r="AO138" s="290">
        <v>1027</v>
      </c>
      <c r="AP138" s="290">
        <v>4090</v>
      </c>
      <c r="AQ138" s="290"/>
      <c r="AR138" s="290">
        <v>2020</v>
      </c>
      <c r="AS138" s="290">
        <v>35</v>
      </c>
      <c r="AT138" s="290">
        <v>0</v>
      </c>
      <c r="AU138" s="290">
        <v>0</v>
      </c>
      <c r="AV138" s="290">
        <v>0</v>
      </c>
      <c r="AW138" s="290">
        <v>0</v>
      </c>
      <c r="AX138" s="290">
        <v>35</v>
      </c>
      <c r="AZ138" s="300" t="s">
        <v>89</v>
      </c>
      <c r="BA138" s="300">
        <v>2020</v>
      </c>
      <c r="BB138" s="300">
        <v>26</v>
      </c>
      <c r="BC138" s="300">
        <v>38</v>
      </c>
      <c r="BD138" s="300">
        <v>73</v>
      </c>
      <c r="BE138" s="300">
        <v>98</v>
      </c>
      <c r="BF138" s="300">
        <v>163</v>
      </c>
      <c r="BG138" s="300">
        <v>398</v>
      </c>
      <c r="BH138" s="300"/>
      <c r="BI138" s="300">
        <v>2020</v>
      </c>
      <c r="BJ138" s="300">
        <v>0</v>
      </c>
      <c r="BK138" s="300">
        <v>0</v>
      </c>
      <c r="BL138" s="300">
        <v>0</v>
      </c>
      <c r="BM138" s="300">
        <v>0</v>
      </c>
      <c r="BN138" s="300">
        <v>0</v>
      </c>
      <c r="BO138" s="300">
        <v>0</v>
      </c>
      <c r="EX138" s="309" t="s">
        <v>1970</v>
      </c>
      <c r="EY138" s="309">
        <v>2020</v>
      </c>
      <c r="EZ138" s="309" t="s">
        <v>792</v>
      </c>
      <c r="FA138" s="309" t="s">
        <v>792</v>
      </c>
      <c r="FB138" s="309" t="s">
        <v>792</v>
      </c>
      <c r="FC138" s="309" t="s">
        <v>792</v>
      </c>
      <c r="FD138" s="309" t="s">
        <v>792</v>
      </c>
      <c r="FE138" s="309" t="s">
        <v>792</v>
      </c>
      <c r="FF138" s="309"/>
      <c r="FG138" s="309">
        <v>2020</v>
      </c>
      <c r="FH138" s="309" t="s">
        <v>792</v>
      </c>
      <c r="FI138" s="309" t="s">
        <v>792</v>
      </c>
      <c r="FJ138" s="309" t="s">
        <v>792</v>
      </c>
      <c r="FK138" s="309" t="s">
        <v>792</v>
      </c>
      <c r="FL138" s="309" t="s">
        <v>792</v>
      </c>
      <c r="FM138" s="309" t="s">
        <v>792</v>
      </c>
    </row>
    <row r="139" spans="1:169">
      <c r="A139" s="288" t="s">
        <v>1269</v>
      </c>
      <c r="B139" s="288">
        <v>2020</v>
      </c>
      <c r="C139" s="288" t="s">
        <v>792</v>
      </c>
      <c r="D139" s="288" t="s">
        <v>792</v>
      </c>
      <c r="E139" s="288" t="s">
        <v>792</v>
      </c>
      <c r="F139" s="288" t="s">
        <v>792</v>
      </c>
      <c r="G139" s="288" t="s">
        <v>792</v>
      </c>
      <c r="H139" s="288" t="s">
        <v>792</v>
      </c>
      <c r="J139" s="288">
        <v>2020</v>
      </c>
      <c r="K139" s="288" t="s">
        <v>792</v>
      </c>
      <c r="L139" s="288" t="s">
        <v>792</v>
      </c>
      <c r="M139" s="288" t="s">
        <v>792</v>
      </c>
      <c r="N139" s="288" t="s">
        <v>792</v>
      </c>
      <c r="O139" s="288" t="s">
        <v>792</v>
      </c>
      <c r="P139" s="288" t="s">
        <v>792</v>
      </c>
      <c r="AI139" s="290" t="s">
        <v>418</v>
      </c>
      <c r="AJ139" s="290">
        <v>2020</v>
      </c>
      <c r="AK139" s="290">
        <v>199</v>
      </c>
      <c r="AL139" s="290">
        <v>334</v>
      </c>
      <c r="AM139" s="290">
        <v>619</v>
      </c>
      <c r="AN139" s="290">
        <v>714</v>
      </c>
      <c r="AO139" s="290">
        <v>587</v>
      </c>
      <c r="AP139" s="290">
        <v>2453</v>
      </c>
      <c r="AQ139" s="290"/>
      <c r="AR139" s="290">
        <v>2020</v>
      </c>
      <c r="AS139" s="290">
        <v>19</v>
      </c>
      <c r="AT139" s="290">
        <v>5</v>
      </c>
      <c r="AU139" s="290">
        <v>6</v>
      </c>
      <c r="AV139" s="290">
        <v>2</v>
      </c>
      <c r="AW139" s="290">
        <v>2</v>
      </c>
      <c r="AX139" s="290">
        <v>34</v>
      </c>
      <c r="AZ139" s="300" t="s">
        <v>90</v>
      </c>
      <c r="BA139" s="300">
        <v>2020</v>
      </c>
      <c r="BB139" s="300">
        <v>118</v>
      </c>
      <c r="BC139" s="300">
        <v>157</v>
      </c>
      <c r="BD139" s="300">
        <v>285</v>
      </c>
      <c r="BE139" s="300">
        <v>449</v>
      </c>
      <c r="BF139" s="300">
        <v>527</v>
      </c>
      <c r="BG139" s="300">
        <v>1536</v>
      </c>
      <c r="BH139" s="300"/>
      <c r="BI139" s="300">
        <v>2020</v>
      </c>
      <c r="BJ139" s="300">
        <v>19</v>
      </c>
      <c r="BK139" s="300">
        <v>1</v>
      </c>
      <c r="BL139" s="300">
        <v>1</v>
      </c>
      <c r="BM139" s="300">
        <v>0</v>
      </c>
      <c r="BN139" s="300">
        <v>0</v>
      </c>
      <c r="BO139" s="300">
        <v>21</v>
      </c>
    </row>
    <row r="140" spans="1:169">
      <c r="A140" s="288" t="s">
        <v>1266</v>
      </c>
      <c r="B140" s="288">
        <v>2020</v>
      </c>
      <c r="C140" s="288" t="s">
        <v>792</v>
      </c>
      <c r="D140" s="288" t="s">
        <v>792</v>
      </c>
      <c r="E140" s="288" t="s">
        <v>792</v>
      </c>
      <c r="F140" s="288" t="s">
        <v>792</v>
      </c>
      <c r="G140" s="288" t="s">
        <v>792</v>
      </c>
      <c r="H140" s="288" t="s">
        <v>792</v>
      </c>
      <c r="J140" s="288">
        <v>2020</v>
      </c>
      <c r="K140" s="288" t="s">
        <v>792</v>
      </c>
      <c r="L140" s="288" t="s">
        <v>792</v>
      </c>
      <c r="M140" s="288" t="s">
        <v>792</v>
      </c>
      <c r="N140" s="288" t="s">
        <v>792</v>
      </c>
      <c r="O140" s="288" t="s">
        <v>792</v>
      </c>
      <c r="P140" s="288" t="s">
        <v>792</v>
      </c>
      <c r="AI140" s="290" t="s">
        <v>419</v>
      </c>
      <c r="AJ140" s="290">
        <v>2020</v>
      </c>
      <c r="AK140" s="290">
        <v>456</v>
      </c>
      <c r="AL140" s="290">
        <v>591</v>
      </c>
      <c r="AM140" s="290">
        <v>835</v>
      </c>
      <c r="AN140" s="290">
        <v>836</v>
      </c>
      <c r="AO140" s="290">
        <v>532</v>
      </c>
      <c r="AP140" s="290">
        <v>3250</v>
      </c>
      <c r="AQ140" s="290"/>
      <c r="AR140" s="290">
        <v>2020</v>
      </c>
      <c r="AS140" s="290">
        <v>21</v>
      </c>
      <c r="AT140" s="290">
        <v>2</v>
      </c>
      <c r="AU140" s="290">
        <v>5</v>
      </c>
      <c r="AV140" s="290">
        <v>2</v>
      </c>
      <c r="AW140" s="290">
        <v>0</v>
      </c>
      <c r="AX140" s="290">
        <v>30</v>
      </c>
      <c r="AZ140" s="300" t="s">
        <v>183</v>
      </c>
      <c r="BA140" s="300">
        <v>2020</v>
      </c>
      <c r="BB140" s="300">
        <v>318</v>
      </c>
      <c r="BC140" s="300">
        <v>217</v>
      </c>
      <c r="BD140" s="300">
        <v>335</v>
      </c>
      <c r="BE140" s="300">
        <v>386</v>
      </c>
      <c r="BF140" s="300">
        <v>329</v>
      </c>
      <c r="BG140" s="300">
        <v>1585</v>
      </c>
      <c r="BH140" s="300"/>
      <c r="BI140" s="300">
        <v>2020</v>
      </c>
      <c r="BJ140" s="300">
        <v>14</v>
      </c>
      <c r="BK140" s="300">
        <v>0</v>
      </c>
      <c r="BL140" s="300">
        <v>0</v>
      </c>
      <c r="BM140" s="300">
        <v>0</v>
      </c>
      <c r="BN140" s="300">
        <v>0</v>
      </c>
      <c r="BO140" s="300">
        <v>14</v>
      </c>
    </row>
    <row r="141" spans="1:169">
      <c r="A141" s="288" t="s">
        <v>724</v>
      </c>
      <c r="B141" s="288">
        <v>2020</v>
      </c>
      <c r="C141" s="288">
        <v>40</v>
      </c>
      <c r="D141" s="288">
        <v>4</v>
      </c>
      <c r="E141" s="288">
        <v>3</v>
      </c>
      <c r="F141" s="288">
        <v>0</v>
      </c>
      <c r="G141" s="288">
        <v>0</v>
      </c>
      <c r="H141" s="288">
        <v>47</v>
      </c>
      <c r="J141" s="288">
        <v>2020</v>
      </c>
      <c r="K141" s="288">
        <v>224</v>
      </c>
      <c r="L141" s="288">
        <v>346</v>
      </c>
      <c r="M141" s="288">
        <v>448</v>
      </c>
      <c r="N141" s="288">
        <v>497</v>
      </c>
      <c r="O141" s="288">
        <v>332</v>
      </c>
      <c r="P141" s="288">
        <v>1847</v>
      </c>
      <c r="AI141" s="290" t="s">
        <v>420</v>
      </c>
      <c r="AJ141" s="290">
        <v>2020</v>
      </c>
      <c r="AK141" s="290">
        <v>282</v>
      </c>
      <c r="AL141" s="290">
        <v>431</v>
      </c>
      <c r="AM141" s="290">
        <v>677</v>
      </c>
      <c r="AN141" s="290">
        <v>791</v>
      </c>
      <c r="AO141" s="290">
        <v>501</v>
      </c>
      <c r="AP141" s="290">
        <v>2682</v>
      </c>
      <c r="AQ141" s="290"/>
      <c r="AR141" s="290">
        <v>2020</v>
      </c>
      <c r="AS141" s="290">
        <v>38</v>
      </c>
      <c r="AT141" s="290">
        <v>2</v>
      </c>
      <c r="AU141" s="290">
        <v>1</v>
      </c>
      <c r="AV141" s="290">
        <v>0</v>
      </c>
      <c r="AW141" s="290">
        <v>0</v>
      </c>
      <c r="AX141" s="290">
        <v>41</v>
      </c>
      <c r="AZ141" s="300" t="s">
        <v>92</v>
      </c>
      <c r="BA141" s="300">
        <v>2020</v>
      </c>
      <c r="BB141" s="300">
        <v>1062</v>
      </c>
      <c r="BC141" s="300">
        <v>498</v>
      </c>
      <c r="BD141" s="300">
        <v>774</v>
      </c>
      <c r="BE141" s="300">
        <v>902</v>
      </c>
      <c r="BF141" s="300">
        <v>774</v>
      </c>
      <c r="BG141" s="300">
        <v>4010</v>
      </c>
      <c r="BH141" s="300"/>
      <c r="BI141" s="300">
        <v>2020</v>
      </c>
      <c r="BJ141" s="300">
        <v>220</v>
      </c>
      <c r="BK141" s="300">
        <v>0</v>
      </c>
      <c r="BL141" s="300">
        <v>0</v>
      </c>
      <c r="BM141" s="300">
        <v>0</v>
      </c>
      <c r="BN141" s="300">
        <v>0</v>
      </c>
      <c r="BO141" s="300">
        <v>220</v>
      </c>
    </row>
    <row r="142" spans="1:169">
      <c r="A142" s="288" t="s">
        <v>727</v>
      </c>
      <c r="B142" s="288">
        <v>2020</v>
      </c>
      <c r="C142" s="288">
        <v>81</v>
      </c>
      <c r="D142" s="288">
        <v>0</v>
      </c>
      <c r="E142" s="288">
        <v>0</v>
      </c>
      <c r="F142" s="288">
        <v>0</v>
      </c>
      <c r="G142" s="288">
        <v>0</v>
      </c>
      <c r="H142" s="288">
        <v>81</v>
      </c>
      <c r="J142" s="288">
        <v>2020</v>
      </c>
      <c r="K142" s="288">
        <v>627</v>
      </c>
      <c r="L142" s="288">
        <v>559</v>
      </c>
      <c r="M142" s="288">
        <v>509</v>
      </c>
      <c r="N142" s="288">
        <v>509</v>
      </c>
      <c r="O142" s="288">
        <v>350</v>
      </c>
      <c r="P142" s="288">
        <v>2554</v>
      </c>
      <c r="AI142" s="290" t="s">
        <v>421</v>
      </c>
      <c r="AJ142" s="290">
        <v>2020</v>
      </c>
      <c r="AK142" s="290">
        <v>616</v>
      </c>
      <c r="AL142" s="290">
        <v>628</v>
      </c>
      <c r="AM142" s="290">
        <v>733</v>
      </c>
      <c r="AN142" s="290">
        <v>821</v>
      </c>
      <c r="AO142" s="290">
        <v>523</v>
      </c>
      <c r="AP142" s="290">
        <v>3321</v>
      </c>
      <c r="AQ142" s="290"/>
      <c r="AR142" s="290">
        <v>2020</v>
      </c>
      <c r="AS142" s="290">
        <v>56</v>
      </c>
      <c r="AT142" s="290">
        <v>2</v>
      </c>
      <c r="AU142" s="290">
        <v>0</v>
      </c>
      <c r="AV142" s="290">
        <v>0</v>
      </c>
      <c r="AW142" s="290">
        <v>0</v>
      </c>
      <c r="AX142" s="290">
        <v>58</v>
      </c>
      <c r="AZ142" s="300" t="s">
        <v>94</v>
      </c>
      <c r="BA142" s="300">
        <v>2020</v>
      </c>
      <c r="BB142" s="300">
        <v>39</v>
      </c>
      <c r="BC142" s="300">
        <v>52</v>
      </c>
      <c r="BD142" s="300">
        <v>90</v>
      </c>
      <c r="BE142" s="300">
        <v>133</v>
      </c>
      <c r="BF142" s="300">
        <v>196</v>
      </c>
      <c r="BG142" s="300">
        <v>510</v>
      </c>
      <c r="BH142" s="300"/>
      <c r="BI142" s="300">
        <v>2020</v>
      </c>
      <c r="BJ142" s="300">
        <v>10</v>
      </c>
      <c r="BK142" s="300">
        <v>0</v>
      </c>
      <c r="BL142" s="300">
        <v>0</v>
      </c>
      <c r="BM142" s="300">
        <v>0</v>
      </c>
      <c r="BN142" s="300">
        <v>0</v>
      </c>
      <c r="BO142" s="300">
        <v>10</v>
      </c>
    </row>
    <row r="143" spans="1:169">
      <c r="A143" s="288" t="s">
        <v>730</v>
      </c>
      <c r="B143" s="288">
        <v>2020</v>
      </c>
      <c r="C143" s="288">
        <v>90</v>
      </c>
      <c r="D143" s="288">
        <v>5</v>
      </c>
      <c r="E143" s="288">
        <v>4</v>
      </c>
      <c r="F143" s="288">
        <v>0</v>
      </c>
      <c r="G143" s="288">
        <v>0</v>
      </c>
      <c r="H143" s="288">
        <v>99</v>
      </c>
      <c r="J143" s="288">
        <v>2020</v>
      </c>
      <c r="K143" s="288">
        <v>579</v>
      </c>
      <c r="L143" s="288">
        <v>501</v>
      </c>
      <c r="M143" s="288">
        <v>531</v>
      </c>
      <c r="N143" s="288">
        <v>584</v>
      </c>
      <c r="O143" s="288">
        <v>355</v>
      </c>
      <c r="P143" s="288">
        <v>2550</v>
      </c>
      <c r="AI143" s="290" t="s">
        <v>422</v>
      </c>
      <c r="AJ143" s="290">
        <v>2020</v>
      </c>
      <c r="AK143" s="290">
        <v>407</v>
      </c>
      <c r="AL143" s="290">
        <v>483</v>
      </c>
      <c r="AM143" s="290">
        <v>642</v>
      </c>
      <c r="AN143" s="290">
        <v>831</v>
      </c>
      <c r="AO143" s="290">
        <v>496</v>
      </c>
      <c r="AP143" s="290">
        <v>2859</v>
      </c>
      <c r="AQ143" s="290"/>
      <c r="AR143" s="290">
        <v>2020</v>
      </c>
      <c r="AS143" s="290">
        <v>45</v>
      </c>
      <c r="AT143" s="290">
        <v>4</v>
      </c>
      <c r="AU143" s="290">
        <v>0</v>
      </c>
      <c r="AV143" s="290">
        <v>1</v>
      </c>
      <c r="AW143" s="290">
        <v>1</v>
      </c>
      <c r="AX143" s="290">
        <v>51</v>
      </c>
      <c r="AZ143" s="300" t="s">
        <v>96</v>
      </c>
      <c r="BA143" s="300">
        <v>2020</v>
      </c>
      <c r="BB143" s="300">
        <v>665</v>
      </c>
      <c r="BC143" s="300">
        <v>553</v>
      </c>
      <c r="BD143" s="300">
        <v>752</v>
      </c>
      <c r="BE143" s="300">
        <v>1051</v>
      </c>
      <c r="BF143" s="300">
        <v>942</v>
      </c>
      <c r="BG143" s="300">
        <v>3963</v>
      </c>
      <c r="BH143" s="300"/>
      <c r="BI143" s="300">
        <v>2020</v>
      </c>
      <c r="BJ143" s="300">
        <v>42</v>
      </c>
      <c r="BK143" s="300">
        <v>0</v>
      </c>
      <c r="BL143" s="300">
        <v>0</v>
      </c>
      <c r="BM143" s="300">
        <v>0</v>
      </c>
      <c r="BN143" s="300">
        <v>0</v>
      </c>
      <c r="BO143" s="300">
        <v>42</v>
      </c>
    </row>
    <row r="144" spans="1:169">
      <c r="A144" s="288" t="s">
        <v>733</v>
      </c>
      <c r="B144" s="288">
        <v>2020</v>
      </c>
      <c r="C144" s="288">
        <v>33</v>
      </c>
      <c r="D144" s="288">
        <v>2</v>
      </c>
      <c r="E144" s="288">
        <v>0</v>
      </c>
      <c r="F144" s="288">
        <v>0</v>
      </c>
      <c r="G144" s="288">
        <v>0</v>
      </c>
      <c r="H144" s="288">
        <v>35</v>
      </c>
      <c r="J144" s="288">
        <v>2020</v>
      </c>
      <c r="K144" s="288">
        <v>214</v>
      </c>
      <c r="L144" s="288">
        <v>224</v>
      </c>
      <c r="M144" s="288">
        <v>291</v>
      </c>
      <c r="N144" s="288">
        <v>360</v>
      </c>
      <c r="O144" s="288">
        <v>248</v>
      </c>
      <c r="P144" s="288">
        <v>1337</v>
      </c>
      <c r="AI144" s="290" t="s">
        <v>423</v>
      </c>
      <c r="AJ144" s="290">
        <v>2020</v>
      </c>
      <c r="AK144" s="290">
        <v>135</v>
      </c>
      <c r="AL144" s="290">
        <v>190</v>
      </c>
      <c r="AM144" s="290">
        <v>318</v>
      </c>
      <c r="AN144" s="290">
        <v>420</v>
      </c>
      <c r="AO144" s="290">
        <v>308</v>
      </c>
      <c r="AP144" s="290">
        <v>1371</v>
      </c>
      <c r="AQ144" s="290"/>
      <c r="AR144" s="290">
        <v>2020</v>
      </c>
      <c r="AS144" s="290">
        <v>22</v>
      </c>
      <c r="AT144" s="290">
        <v>2</v>
      </c>
      <c r="AU144" s="290">
        <v>0</v>
      </c>
      <c r="AV144" s="290">
        <v>0</v>
      </c>
      <c r="AW144" s="290">
        <v>0</v>
      </c>
      <c r="AX144" s="290">
        <v>24</v>
      </c>
      <c r="AZ144" s="300" t="s">
        <v>151</v>
      </c>
      <c r="BA144" s="300">
        <v>2020</v>
      </c>
      <c r="BB144" s="300">
        <v>104</v>
      </c>
      <c r="BC144" s="300">
        <v>70</v>
      </c>
      <c r="BD144" s="300">
        <v>138</v>
      </c>
      <c r="BE144" s="300">
        <v>206</v>
      </c>
      <c r="BF144" s="300">
        <v>193</v>
      </c>
      <c r="BG144" s="300">
        <v>711</v>
      </c>
      <c r="BH144" s="300"/>
      <c r="BI144" s="300">
        <v>2020</v>
      </c>
      <c r="BJ144" s="300">
        <v>45</v>
      </c>
      <c r="BK144" s="300">
        <v>0</v>
      </c>
      <c r="BL144" s="300">
        <v>0</v>
      </c>
      <c r="BM144" s="300">
        <v>0</v>
      </c>
      <c r="BN144" s="300">
        <v>0</v>
      </c>
      <c r="BO144" s="300">
        <v>45</v>
      </c>
    </row>
    <row r="145" spans="1:67">
      <c r="A145" s="288" t="s">
        <v>736</v>
      </c>
      <c r="B145" s="288">
        <v>2020</v>
      </c>
      <c r="C145" s="288">
        <v>63</v>
      </c>
      <c r="D145" s="288">
        <v>1</v>
      </c>
      <c r="E145" s="288">
        <v>1</v>
      </c>
      <c r="F145" s="288">
        <v>0</v>
      </c>
      <c r="G145" s="288">
        <v>1</v>
      </c>
      <c r="H145" s="288">
        <v>66</v>
      </c>
      <c r="J145" s="288">
        <v>2020</v>
      </c>
      <c r="K145" s="288">
        <v>466</v>
      </c>
      <c r="L145" s="288">
        <v>370</v>
      </c>
      <c r="M145" s="288">
        <v>408</v>
      </c>
      <c r="N145" s="288">
        <v>469</v>
      </c>
      <c r="O145" s="288">
        <v>348</v>
      </c>
      <c r="P145" s="288">
        <v>2061</v>
      </c>
      <c r="AI145" s="290" t="s">
        <v>424</v>
      </c>
      <c r="AJ145" s="290">
        <v>2020</v>
      </c>
      <c r="AK145" s="290">
        <v>246</v>
      </c>
      <c r="AL145" s="290">
        <v>331</v>
      </c>
      <c r="AM145" s="290">
        <v>392</v>
      </c>
      <c r="AN145" s="290">
        <v>467</v>
      </c>
      <c r="AO145" s="290">
        <v>374</v>
      </c>
      <c r="AP145" s="290">
        <v>1810</v>
      </c>
      <c r="AQ145" s="290"/>
      <c r="AR145" s="290">
        <v>2020</v>
      </c>
      <c r="AS145" s="290">
        <v>18</v>
      </c>
      <c r="AT145" s="290">
        <v>0</v>
      </c>
      <c r="AU145" s="290">
        <v>0</v>
      </c>
      <c r="AV145" s="290">
        <v>0</v>
      </c>
      <c r="AW145" s="290">
        <v>0</v>
      </c>
      <c r="AX145" s="290">
        <v>18</v>
      </c>
      <c r="AZ145" s="300" t="s">
        <v>97</v>
      </c>
      <c r="BA145" s="300">
        <v>2020</v>
      </c>
      <c r="BB145" s="300">
        <v>339</v>
      </c>
      <c r="BC145" s="300">
        <v>255</v>
      </c>
      <c r="BD145" s="300">
        <v>365</v>
      </c>
      <c r="BE145" s="300">
        <v>411</v>
      </c>
      <c r="BF145" s="300">
        <v>381</v>
      </c>
      <c r="BG145" s="300">
        <v>1751</v>
      </c>
      <c r="BH145" s="300"/>
      <c r="BI145" s="300">
        <v>2020</v>
      </c>
      <c r="BJ145" s="300">
        <v>122</v>
      </c>
      <c r="BK145" s="300">
        <v>0</v>
      </c>
      <c r="BL145" s="300">
        <v>0</v>
      </c>
      <c r="BM145" s="300">
        <v>0</v>
      </c>
      <c r="BN145" s="300">
        <v>0</v>
      </c>
      <c r="BO145" s="300">
        <v>122</v>
      </c>
    </row>
    <row r="146" spans="1:67">
      <c r="A146" s="288" t="s">
        <v>739</v>
      </c>
      <c r="B146" s="288">
        <v>2020</v>
      </c>
      <c r="C146" s="288">
        <v>8</v>
      </c>
      <c r="D146" s="288">
        <v>3</v>
      </c>
      <c r="E146" s="288">
        <v>1</v>
      </c>
      <c r="F146" s="288">
        <v>0</v>
      </c>
      <c r="G146" s="288">
        <v>1</v>
      </c>
      <c r="H146" s="288">
        <v>13</v>
      </c>
      <c r="J146" s="288">
        <v>2020</v>
      </c>
      <c r="K146" s="288">
        <v>121</v>
      </c>
      <c r="L146" s="288">
        <v>225</v>
      </c>
      <c r="M146" s="288">
        <v>273</v>
      </c>
      <c r="N146" s="288">
        <v>374</v>
      </c>
      <c r="O146" s="288">
        <v>311</v>
      </c>
      <c r="P146" s="288">
        <v>1304</v>
      </c>
      <c r="AI146" s="290" t="s">
        <v>425</v>
      </c>
      <c r="AJ146" s="290">
        <v>2020</v>
      </c>
      <c r="AK146" s="290">
        <v>265</v>
      </c>
      <c r="AL146" s="290">
        <v>309</v>
      </c>
      <c r="AM146" s="290">
        <v>348</v>
      </c>
      <c r="AN146" s="290">
        <v>344</v>
      </c>
      <c r="AO146" s="290">
        <v>325</v>
      </c>
      <c r="AP146" s="290">
        <v>1591</v>
      </c>
      <c r="AQ146" s="290"/>
      <c r="AR146" s="290">
        <v>2020</v>
      </c>
      <c r="AS146" s="290">
        <v>27</v>
      </c>
      <c r="AT146" s="290">
        <v>1</v>
      </c>
      <c r="AU146" s="290">
        <v>0</v>
      </c>
      <c r="AV146" s="290">
        <v>0</v>
      </c>
      <c r="AW146" s="290">
        <v>0</v>
      </c>
      <c r="AX146" s="290">
        <v>28</v>
      </c>
      <c r="AZ146" s="300" t="s">
        <v>154</v>
      </c>
      <c r="BA146" s="300">
        <v>2020</v>
      </c>
      <c r="BB146" s="300">
        <v>130</v>
      </c>
      <c r="BC146" s="300">
        <v>66</v>
      </c>
      <c r="BD146" s="300">
        <v>119</v>
      </c>
      <c r="BE146" s="300">
        <v>154</v>
      </c>
      <c r="BF146" s="300">
        <v>158</v>
      </c>
      <c r="BG146" s="300">
        <v>627</v>
      </c>
      <c r="BH146" s="300"/>
      <c r="BI146" s="300">
        <v>2020</v>
      </c>
      <c r="BJ146" s="300">
        <v>33</v>
      </c>
      <c r="BK146" s="300">
        <v>0</v>
      </c>
      <c r="BL146" s="300">
        <v>0</v>
      </c>
      <c r="BM146" s="300">
        <v>0</v>
      </c>
      <c r="BN146" s="300">
        <v>0</v>
      </c>
      <c r="BO146" s="300">
        <v>33</v>
      </c>
    </row>
    <row r="147" spans="1:67">
      <c r="A147" s="288" t="s">
        <v>740</v>
      </c>
      <c r="B147" s="288">
        <v>2020</v>
      </c>
      <c r="C147" s="288">
        <v>11</v>
      </c>
      <c r="D147" s="288">
        <v>1</v>
      </c>
      <c r="E147" s="288">
        <v>0</v>
      </c>
      <c r="F147" s="288">
        <v>0</v>
      </c>
      <c r="G147" s="288">
        <v>0</v>
      </c>
      <c r="H147" s="288">
        <v>12</v>
      </c>
      <c r="J147" s="288">
        <v>2020</v>
      </c>
      <c r="K147" s="288">
        <v>97</v>
      </c>
      <c r="L147" s="288">
        <v>153</v>
      </c>
      <c r="M147" s="288">
        <v>241</v>
      </c>
      <c r="N147" s="288">
        <v>355</v>
      </c>
      <c r="O147" s="288">
        <v>261</v>
      </c>
      <c r="P147" s="288">
        <v>1107</v>
      </c>
      <c r="AI147" s="290" t="s">
        <v>426</v>
      </c>
      <c r="AJ147" s="290">
        <v>2020</v>
      </c>
      <c r="AK147" s="290">
        <v>167</v>
      </c>
      <c r="AL147" s="290">
        <v>139</v>
      </c>
      <c r="AM147" s="290">
        <v>208</v>
      </c>
      <c r="AN147" s="290">
        <v>255</v>
      </c>
      <c r="AO147" s="290">
        <v>267</v>
      </c>
      <c r="AP147" s="290">
        <v>1036</v>
      </c>
      <c r="AQ147" s="290"/>
      <c r="AR147" s="290">
        <v>2020</v>
      </c>
      <c r="AS147" s="290">
        <v>52</v>
      </c>
      <c r="AT147" s="290">
        <v>1</v>
      </c>
      <c r="AU147" s="290">
        <v>0</v>
      </c>
      <c r="AV147" s="290">
        <v>0</v>
      </c>
      <c r="AW147" s="290">
        <v>0</v>
      </c>
      <c r="AX147" s="290">
        <v>53</v>
      </c>
      <c r="AZ147" s="300" t="s">
        <v>98</v>
      </c>
      <c r="BA147" s="300">
        <v>2020</v>
      </c>
      <c r="BB147" s="300">
        <v>55</v>
      </c>
      <c r="BC147" s="300">
        <v>51</v>
      </c>
      <c r="BD147" s="300">
        <v>90</v>
      </c>
      <c r="BE147" s="300">
        <v>107</v>
      </c>
      <c r="BF147" s="300">
        <v>125</v>
      </c>
      <c r="BG147" s="300">
        <v>428</v>
      </c>
      <c r="BH147" s="300"/>
      <c r="BI147" s="300">
        <v>2020</v>
      </c>
      <c r="BJ147" s="300">
        <v>21</v>
      </c>
      <c r="BK147" s="300">
        <v>0</v>
      </c>
      <c r="BL147" s="300">
        <v>0</v>
      </c>
      <c r="BM147" s="300">
        <v>0</v>
      </c>
      <c r="BN147" s="300">
        <v>0</v>
      </c>
      <c r="BO147" s="300">
        <v>21</v>
      </c>
    </row>
    <row r="148" spans="1:67">
      <c r="A148" s="288" t="s">
        <v>743</v>
      </c>
      <c r="B148" s="288">
        <v>2020</v>
      </c>
      <c r="C148" s="288">
        <v>47</v>
      </c>
      <c r="D148" s="288">
        <v>5</v>
      </c>
      <c r="E148" s="288">
        <v>2</v>
      </c>
      <c r="F148" s="288">
        <v>1</v>
      </c>
      <c r="G148" s="288">
        <v>0</v>
      </c>
      <c r="H148" s="288">
        <v>55</v>
      </c>
      <c r="J148" s="288">
        <v>2020</v>
      </c>
      <c r="K148" s="288">
        <v>385</v>
      </c>
      <c r="L148" s="288">
        <v>372</v>
      </c>
      <c r="M148" s="288">
        <v>429</v>
      </c>
      <c r="N148" s="288">
        <v>517</v>
      </c>
      <c r="O148" s="288">
        <v>383</v>
      </c>
      <c r="P148" s="288">
        <v>2086</v>
      </c>
      <c r="AI148" s="290" t="s">
        <v>427</v>
      </c>
      <c r="AJ148" s="290">
        <v>2020</v>
      </c>
      <c r="AK148" s="290">
        <v>135</v>
      </c>
      <c r="AL148" s="290">
        <v>239</v>
      </c>
      <c r="AM148" s="290">
        <v>397</v>
      </c>
      <c r="AN148" s="290">
        <v>564</v>
      </c>
      <c r="AO148" s="290">
        <v>446</v>
      </c>
      <c r="AP148" s="290">
        <v>1781</v>
      </c>
      <c r="AQ148" s="290"/>
      <c r="AR148" s="290">
        <v>2020</v>
      </c>
      <c r="AS148" s="290">
        <v>15</v>
      </c>
      <c r="AT148" s="290">
        <v>4</v>
      </c>
      <c r="AU148" s="290">
        <v>0</v>
      </c>
      <c r="AV148" s="290">
        <v>1</v>
      </c>
      <c r="AW148" s="290">
        <v>0</v>
      </c>
      <c r="AX148" s="290">
        <v>20</v>
      </c>
      <c r="AZ148" s="300" t="s">
        <v>156</v>
      </c>
      <c r="BA148" s="300">
        <v>2020</v>
      </c>
      <c r="BB148" s="300">
        <v>73</v>
      </c>
      <c r="BC148" s="300">
        <v>55</v>
      </c>
      <c r="BD148" s="300">
        <v>109</v>
      </c>
      <c r="BE148" s="300">
        <v>161</v>
      </c>
      <c r="BF148" s="300">
        <v>153</v>
      </c>
      <c r="BG148" s="300">
        <v>551</v>
      </c>
      <c r="BH148" s="300"/>
      <c r="BI148" s="300">
        <v>2020</v>
      </c>
      <c r="BJ148" s="300">
        <v>20</v>
      </c>
      <c r="BK148" s="300">
        <v>0</v>
      </c>
      <c r="BL148" s="300">
        <v>0</v>
      </c>
      <c r="BM148" s="300">
        <v>0</v>
      </c>
      <c r="BN148" s="300">
        <v>0</v>
      </c>
      <c r="BO148" s="300">
        <v>20</v>
      </c>
    </row>
    <row r="149" spans="1:67">
      <c r="A149" s="288" t="s">
        <v>2182</v>
      </c>
      <c r="B149" s="288">
        <v>2020</v>
      </c>
      <c r="C149" s="288" t="s">
        <v>792</v>
      </c>
      <c r="D149" s="288" t="s">
        <v>792</v>
      </c>
      <c r="E149" s="288" t="s">
        <v>792</v>
      </c>
      <c r="F149" s="288" t="s">
        <v>792</v>
      </c>
      <c r="G149" s="288" t="s">
        <v>792</v>
      </c>
      <c r="H149" s="288" t="s">
        <v>792</v>
      </c>
      <c r="J149" s="288">
        <v>2020</v>
      </c>
      <c r="K149" s="288" t="s">
        <v>792</v>
      </c>
      <c r="L149" s="288" t="s">
        <v>792</v>
      </c>
      <c r="M149" s="288" t="s">
        <v>792</v>
      </c>
      <c r="N149" s="288" t="s">
        <v>792</v>
      </c>
      <c r="O149" s="288" t="s">
        <v>792</v>
      </c>
      <c r="P149" s="288" t="s">
        <v>792</v>
      </c>
      <c r="AI149" s="290" t="s">
        <v>428</v>
      </c>
      <c r="AJ149" s="290">
        <v>2020</v>
      </c>
      <c r="AK149" s="290">
        <v>122</v>
      </c>
      <c r="AL149" s="290">
        <v>152</v>
      </c>
      <c r="AM149" s="290">
        <v>224</v>
      </c>
      <c r="AN149" s="290">
        <v>362</v>
      </c>
      <c r="AO149" s="290">
        <v>250</v>
      </c>
      <c r="AP149" s="290">
        <v>1110</v>
      </c>
      <c r="AQ149" s="290"/>
      <c r="AR149" s="290">
        <v>2020</v>
      </c>
      <c r="AS149" s="290">
        <v>23</v>
      </c>
      <c r="AT149" s="290">
        <v>2</v>
      </c>
      <c r="AU149" s="290">
        <v>0</v>
      </c>
      <c r="AV149" s="290">
        <v>0</v>
      </c>
      <c r="AW149" s="290">
        <v>0</v>
      </c>
      <c r="AX149" s="290">
        <v>25</v>
      </c>
      <c r="AZ149" s="300" t="s">
        <v>100</v>
      </c>
      <c r="BA149" s="300">
        <v>2020</v>
      </c>
      <c r="BB149" s="300">
        <v>46</v>
      </c>
      <c r="BC149" s="300">
        <v>42</v>
      </c>
      <c r="BD149" s="300">
        <v>94</v>
      </c>
      <c r="BE149" s="300">
        <v>132</v>
      </c>
      <c r="BF149" s="300">
        <v>145</v>
      </c>
      <c r="BG149" s="300">
        <v>459</v>
      </c>
      <c r="BH149" s="300"/>
      <c r="BI149" s="300">
        <v>2020</v>
      </c>
      <c r="BJ149" s="300">
        <v>16</v>
      </c>
      <c r="BK149" s="300">
        <v>0</v>
      </c>
      <c r="BL149" s="300">
        <v>0</v>
      </c>
      <c r="BM149" s="300">
        <v>0</v>
      </c>
      <c r="BN149" s="300">
        <v>0</v>
      </c>
      <c r="BO149" s="300">
        <v>16</v>
      </c>
    </row>
    <row r="150" spans="1:67">
      <c r="A150" s="288" t="s">
        <v>747</v>
      </c>
      <c r="B150" s="288">
        <v>2020</v>
      </c>
      <c r="C150" s="288">
        <v>16</v>
      </c>
      <c r="D150" s="288">
        <v>0</v>
      </c>
      <c r="E150" s="288">
        <v>0</v>
      </c>
      <c r="F150" s="288">
        <v>0</v>
      </c>
      <c r="G150" s="288">
        <v>0</v>
      </c>
      <c r="H150" s="288">
        <v>16</v>
      </c>
      <c r="J150" s="288">
        <v>2020</v>
      </c>
      <c r="K150" s="288">
        <v>151</v>
      </c>
      <c r="L150" s="288">
        <v>109</v>
      </c>
      <c r="M150" s="288">
        <v>147</v>
      </c>
      <c r="N150" s="288">
        <v>220</v>
      </c>
      <c r="O150" s="288">
        <v>288</v>
      </c>
      <c r="P150" s="288">
        <v>915</v>
      </c>
      <c r="AI150" s="290" t="s">
        <v>429</v>
      </c>
      <c r="AJ150" s="290">
        <v>2020</v>
      </c>
      <c r="AK150" s="290">
        <v>314</v>
      </c>
      <c r="AL150" s="290">
        <v>319</v>
      </c>
      <c r="AM150" s="290">
        <v>536</v>
      </c>
      <c r="AN150" s="290">
        <v>633</v>
      </c>
      <c r="AO150" s="290">
        <v>485</v>
      </c>
      <c r="AP150" s="290">
        <v>2287</v>
      </c>
      <c r="AQ150" s="290"/>
      <c r="AR150" s="290">
        <v>2020</v>
      </c>
      <c r="AS150" s="290">
        <v>34</v>
      </c>
      <c r="AT150" s="290">
        <v>2</v>
      </c>
      <c r="AU150" s="290">
        <v>1</v>
      </c>
      <c r="AV150" s="290">
        <v>0</v>
      </c>
      <c r="AW150" s="290">
        <v>0</v>
      </c>
      <c r="AX150" s="290">
        <v>37</v>
      </c>
      <c r="AZ150" s="300" t="s">
        <v>101</v>
      </c>
      <c r="BA150" s="300">
        <v>2020</v>
      </c>
      <c r="BB150" s="300">
        <v>529</v>
      </c>
      <c r="BC150" s="300">
        <v>325</v>
      </c>
      <c r="BD150" s="300">
        <v>412</v>
      </c>
      <c r="BE150" s="300">
        <v>422</v>
      </c>
      <c r="BF150" s="300">
        <v>404</v>
      </c>
      <c r="BG150" s="300">
        <v>2092</v>
      </c>
      <c r="BH150" s="300"/>
      <c r="BI150" s="300">
        <v>2020</v>
      </c>
      <c r="BJ150" s="300">
        <v>21</v>
      </c>
      <c r="BK150" s="300">
        <v>0</v>
      </c>
      <c r="BL150" s="300">
        <v>0</v>
      </c>
      <c r="BM150" s="300">
        <v>0</v>
      </c>
      <c r="BN150" s="300">
        <v>0</v>
      </c>
      <c r="BO150" s="300">
        <v>21</v>
      </c>
    </row>
    <row r="151" spans="1:67">
      <c r="A151" s="288" t="s">
        <v>749</v>
      </c>
      <c r="B151" s="288">
        <v>2020</v>
      </c>
      <c r="C151" s="288">
        <v>21</v>
      </c>
      <c r="D151" s="288">
        <v>1</v>
      </c>
      <c r="E151" s="288">
        <v>1</v>
      </c>
      <c r="F151" s="288">
        <v>1</v>
      </c>
      <c r="G151" s="288">
        <v>0</v>
      </c>
      <c r="H151" s="288">
        <v>24</v>
      </c>
      <c r="J151" s="288">
        <v>2020</v>
      </c>
      <c r="K151" s="288">
        <v>181</v>
      </c>
      <c r="L151" s="288">
        <v>267</v>
      </c>
      <c r="M151" s="288">
        <v>384</v>
      </c>
      <c r="N151" s="288">
        <v>513</v>
      </c>
      <c r="O151" s="288">
        <v>345</v>
      </c>
      <c r="P151" s="288">
        <v>1690</v>
      </c>
      <c r="AI151" s="290" t="s">
        <v>430</v>
      </c>
      <c r="AJ151" s="290">
        <v>2020</v>
      </c>
      <c r="AK151" s="290">
        <v>689</v>
      </c>
      <c r="AL151" s="290">
        <v>590</v>
      </c>
      <c r="AM151" s="290">
        <v>966</v>
      </c>
      <c r="AN151" s="290">
        <v>1238</v>
      </c>
      <c r="AO151" s="290">
        <v>863</v>
      </c>
      <c r="AP151" s="290">
        <v>4346</v>
      </c>
      <c r="AQ151" s="290"/>
      <c r="AR151" s="290">
        <v>2020</v>
      </c>
      <c r="AS151" s="290">
        <v>35</v>
      </c>
      <c r="AT151" s="290">
        <v>0</v>
      </c>
      <c r="AU151" s="290">
        <v>0</v>
      </c>
      <c r="AV151" s="290">
        <v>0</v>
      </c>
      <c r="AW151" s="290">
        <v>0</v>
      </c>
      <c r="AX151" s="290">
        <v>35</v>
      </c>
      <c r="AZ151" s="300" t="s">
        <v>102</v>
      </c>
      <c r="BA151" s="300">
        <v>2020</v>
      </c>
      <c r="BB151" s="300">
        <v>230</v>
      </c>
      <c r="BC151" s="300">
        <v>186</v>
      </c>
      <c r="BD151" s="300">
        <v>281</v>
      </c>
      <c r="BE151" s="300">
        <v>340</v>
      </c>
      <c r="BF151" s="300">
        <v>329</v>
      </c>
      <c r="BG151" s="300">
        <v>1366</v>
      </c>
      <c r="BH151" s="300"/>
      <c r="BI151" s="300">
        <v>2020</v>
      </c>
      <c r="BJ151" s="300">
        <v>19</v>
      </c>
      <c r="BK151" s="300">
        <v>0</v>
      </c>
      <c r="BL151" s="300">
        <v>0</v>
      </c>
      <c r="BM151" s="300">
        <v>0</v>
      </c>
      <c r="BN151" s="300">
        <v>0</v>
      </c>
      <c r="BO151" s="300">
        <v>19</v>
      </c>
    </row>
    <row r="152" spans="1:67">
      <c r="A152" s="288" t="s">
        <v>752</v>
      </c>
      <c r="B152" s="288">
        <v>2020</v>
      </c>
      <c r="C152" s="288">
        <v>10</v>
      </c>
      <c r="D152" s="288">
        <v>7</v>
      </c>
      <c r="E152" s="288">
        <v>3</v>
      </c>
      <c r="F152" s="288">
        <v>2</v>
      </c>
      <c r="G152" s="288">
        <v>0</v>
      </c>
      <c r="H152" s="288">
        <v>22</v>
      </c>
      <c r="J152" s="288">
        <v>2020</v>
      </c>
      <c r="K152" s="288">
        <v>105</v>
      </c>
      <c r="L152" s="288">
        <v>217</v>
      </c>
      <c r="M152" s="288">
        <v>346</v>
      </c>
      <c r="N152" s="288">
        <v>434</v>
      </c>
      <c r="O152" s="288">
        <v>319</v>
      </c>
      <c r="P152" s="288">
        <v>1421</v>
      </c>
      <c r="AI152" s="290" t="s">
        <v>431</v>
      </c>
      <c r="AJ152" s="290">
        <v>2020</v>
      </c>
      <c r="AK152" s="290">
        <v>108</v>
      </c>
      <c r="AL152" s="290">
        <v>145</v>
      </c>
      <c r="AM152" s="290">
        <v>196</v>
      </c>
      <c r="AN152" s="290">
        <v>243</v>
      </c>
      <c r="AO152" s="290">
        <v>184</v>
      </c>
      <c r="AP152" s="290">
        <v>876</v>
      </c>
      <c r="AQ152" s="290"/>
      <c r="AR152" s="290">
        <v>2020</v>
      </c>
      <c r="AS152" s="290">
        <v>17</v>
      </c>
      <c r="AT152" s="290">
        <v>3</v>
      </c>
      <c r="AU152" s="290">
        <v>1</v>
      </c>
      <c r="AV152" s="290">
        <v>1</v>
      </c>
      <c r="AW152" s="290">
        <v>0</v>
      </c>
      <c r="AX152" s="290">
        <v>22</v>
      </c>
      <c r="AZ152" s="300" t="s">
        <v>104</v>
      </c>
      <c r="BA152" s="300">
        <v>2020</v>
      </c>
      <c r="BB152" s="300">
        <v>62</v>
      </c>
      <c r="BC152" s="300">
        <v>109</v>
      </c>
      <c r="BD152" s="300">
        <v>214</v>
      </c>
      <c r="BE152" s="300">
        <v>279</v>
      </c>
      <c r="BF152" s="300">
        <v>232</v>
      </c>
      <c r="BG152" s="300">
        <v>896</v>
      </c>
      <c r="BH152" s="300"/>
      <c r="BI152" s="300">
        <v>2020</v>
      </c>
      <c r="BJ152" s="300">
        <v>12</v>
      </c>
      <c r="BK152" s="300">
        <v>0</v>
      </c>
      <c r="BL152" s="300">
        <v>0</v>
      </c>
      <c r="BM152" s="300">
        <v>0</v>
      </c>
      <c r="BN152" s="300">
        <v>0</v>
      </c>
      <c r="BO152" s="300">
        <v>12</v>
      </c>
    </row>
    <row r="153" spans="1:67">
      <c r="A153" s="288" t="s">
        <v>755</v>
      </c>
      <c r="B153" s="288">
        <v>2020</v>
      </c>
      <c r="C153" s="288">
        <v>24</v>
      </c>
      <c r="D153" s="288">
        <v>0</v>
      </c>
      <c r="E153" s="288">
        <v>1</v>
      </c>
      <c r="F153" s="288">
        <v>0</v>
      </c>
      <c r="G153" s="288">
        <v>0</v>
      </c>
      <c r="H153" s="288">
        <v>25</v>
      </c>
      <c r="J153" s="288">
        <v>2020</v>
      </c>
      <c r="K153" s="288">
        <v>185</v>
      </c>
      <c r="L153" s="288">
        <v>264</v>
      </c>
      <c r="M153" s="288">
        <v>444</v>
      </c>
      <c r="N153" s="288">
        <v>539</v>
      </c>
      <c r="O153" s="288">
        <v>382</v>
      </c>
      <c r="P153" s="288">
        <v>1814</v>
      </c>
      <c r="AI153" s="290" t="s">
        <v>1676</v>
      </c>
      <c r="AJ153" s="290">
        <v>2020</v>
      </c>
      <c r="AK153" s="290" t="s">
        <v>360</v>
      </c>
      <c r="AL153" s="290" t="s">
        <v>360</v>
      </c>
      <c r="AM153" s="290" t="s">
        <v>360</v>
      </c>
      <c r="AN153" s="290" t="s">
        <v>360</v>
      </c>
      <c r="AO153" s="290" t="s">
        <v>360</v>
      </c>
      <c r="AP153" s="290" t="s">
        <v>360</v>
      </c>
      <c r="AQ153" s="290"/>
      <c r="AR153" s="290">
        <v>2020</v>
      </c>
      <c r="AS153" s="290" t="s">
        <v>360</v>
      </c>
      <c r="AT153" s="290" t="s">
        <v>360</v>
      </c>
      <c r="AU153" s="290" t="s">
        <v>360</v>
      </c>
      <c r="AV153" s="290" t="s">
        <v>360</v>
      </c>
      <c r="AW153" s="290" t="s">
        <v>360</v>
      </c>
      <c r="AX153" s="290" t="s">
        <v>360</v>
      </c>
      <c r="AZ153" s="300" t="s">
        <v>106</v>
      </c>
      <c r="BA153" s="300">
        <v>2020</v>
      </c>
      <c r="BB153" s="300">
        <v>155</v>
      </c>
      <c r="BC153" s="300">
        <v>143</v>
      </c>
      <c r="BD153" s="300">
        <v>219</v>
      </c>
      <c r="BE153" s="300">
        <v>294</v>
      </c>
      <c r="BF153" s="300">
        <v>269</v>
      </c>
      <c r="BG153" s="300">
        <v>1080</v>
      </c>
      <c r="BH153" s="300"/>
      <c r="BI153" s="300">
        <v>2020</v>
      </c>
      <c r="BJ153" s="300">
        <v>18</v>
      </c>
      <c r="BK153" s="300">
        <v>0</v>
      </c>
      <c r="BL153" s="300">
        <v>0</v>
      </c>
      <c r="BM153" s="300">
        <v>0</v>
      </c>
      <c r="BN153" s="300">
        <v>0</v>
      </c>
      <c r="BO153" s="300">
        <v>18</v>
      </c>
    </row>
    <row r="154" spans="1:67">
      <c r="AI154" s="290" t="s">
        <v>432</v>
      </c>
      <c r="AJ154" s="290">
        <v>2020</v>
      </c>
      <c r="AK154" s="290">
        <v>520</v>
      </c>
      <c r="AL154" s="290">
        <v>422</v>
      </c>
      <c r="AM154" s="290">
        <v>467</v>
      </c>
      <c r="AN154" s="290">
        <v>454</v>
      </c>
      <c r="AO154" s="290">
        <v>292</v>
      </c>
      <c r="AP154" s="290">
        <v>2155</v>
      </c>
      <c r="AQ154" s="290"/>
      <c r="AR154" s="290">
        <v>2020</v>
      </c>
      <c r="AS154" s="290">
        <v>87</v>
      </c>
      <c r="AT154" s="290">
        <v>6</v>
      </c>
      <c r="AU154" s="290">
        <v>1</v>
      </c>
      <c r="AV154" s="290">
        <v>1</v>
      </c>
      <c r="AW154" s="290">
        <v>0</v>
      </c>
      <c r="AX154" s="290">
        <v>95</v>
      </c>
      <c r="AZ154" s="300" t="s">
        <v>186</v>
      </c>
      <c r="BA154" s="300">
        <v>2020</v>
      </c>
      <c r="BB154" s="300">
        <v>521</v>
      </c>
      <c r="BC154" s="300">
        <v>645</v>
      </c>
      <c r="BD154" s="300">
        <v>999</v>
      </c>
      <c r="BE154" s="300">
        <v>1117</v>
      </c>
      <c r="BF154" s="300">
        <v>908</v>
      </c>
      <c r="BG154" s="300">
        <v>4190</v>
      </c>
      <c r="BH154" s="300"/>
      <c r="BI154" s="300">
        <v>2020</v>
      </c>
      <c r="BJ154" s="300">
        <v>20</v>
      </c>
      <c r="BK154" s="300">
        <v>0</v>
      </c>
      <c r="BL154" s="300">
        <v>0</v>
      </c>
      <c r="BM154" s="300">
        <v>0</v>
      </c>
      <c r="BN154" s="300">
        <v>0</v>
      </c>
      <c r="BO154" s="300">
        <v>20</v>
      </c>
    </row>
    <row r="155" spans="1:67">
      <c r="AI155" s="290" t="s">
        <v>433</v>
      </c>
      <c r="AJ155" s="290">
        <v>2020</v>
      </c>
      <c r="AK155" s="290">
        <v>888</v>
      </c>
      <c r="AL155" s="290">
        <v>831</v>
      </c>
      <c r="AM155" s="290">
        <v>1314</v>
      </c>
      <c r="AN155" s="290">
        <v>1774</v>
      </c>
      <c r="AO155" s="290">
        <v>1352</v>
      </c>
      <c r="AP155" s="290">
        <v>6159</v>
      </c>
      <c r="AQ155" s="290"/>
      <c r="AR155" s="290">
        <v>2020</v>
      </c>
      <c r="AS155" s="290">
        <v>49</v>
      </c>
      <c r="AT155" s="290">
        <v>0</v>
      </c>
      <c r="AU155" s="290">
        <v>0</v>
      </c>
      <c r="AV155" s="290">
        <v>0</v>
      </c>
      <c r="AW155" s="290">
        <v>0</v>
      </c>
      <c r="AX155" s="290">
        <v>49</v>
      </c>
      <c r="AZ155" s="300" t="s">
        <v>108</v>
      </c>
      <c r="BA155" s="300">
        <v>2020</v>
      </c>
      <c r="BB155" s="300">
        <v>1642</v>
      </c>
      <c r="BC155" s="300">
        <v>1180</v>
      </c>
      <c r="BD155" s="300">
        <v>1104</v>
      </c>
      <c r="BE155" s="300">
        <v>1005</v>
      </c>
      <c r="BF155" s="300">
        <v>723</v>
      </c>
      <c r="BG155" s="300">
        <v>5654</v>
      </c>
      <c r="BH155" s="300"/>
      <c r="BI155" s="300">
        <v>2020</v>
      </c>
      <c r="BJ155" s="300">
        <v>251</v>
      </c>
      <c r="BK155" s="300">
        <v>3</v>
      </c>
      <c r="BL155" s="300">
        <v>0</v>
      </c>
      <c r="BM155" s="300">
        <v>0</v>
      </c>
      <c r="BN155" s="300">
        <v>0</v>
      </c>
      <c r="BO155" s="300">
        <v>254</v>
      </c>
    </row>
    <row r="156" spans="1:67">
      <c r="AI156" s="290" t="s">
        <v>434</v>
      </c>
      <c r="AJ156" s="290">
        <v>2020</v>
      </c>
      <c r="AK156" s="290">
        <v>825</v>
      </c>
      <c r="AL156" s="290">
        <v>1025</v>
      </c>
      <c r="AM156" s="290">
        <v>1450</v>
      </c>
      <c r="AN156" s="290">
        <v>1625</v>
      </c>
      <c r="AO156" s="290">
        <v>1073</v>
      </c>
      <c r="AP156" s="290">
        <v>5998</v>
      </c>
      <c r="AQ156" s="290"/>
      <c r="AR156" s="290">
        <v>2020</v>
      </c>
      <c r="AS156" s="290">
        <v>52</v>
      </c>
      <c r="AT156" s="290">
        <v>3</v>
      </c>
      <c r="AU156" s="290">
        <v>0</v>
      </c>
      <c r="AV156" s="290">
        <v>0</v>
      </c>
      <c r="AW156" s="290">
        <v>2</v>
      </c>
      <c r="AX156" s="290">
        <v>57</v>
      </c>
      <c r="AZ156" s="300" t="s">
        <v>159</v>
      </c>
      <c r="BA156" s="300">
        <v>2020</v>
      </c>
      <c r="BB156" s="300">
        <v>141</v>
      </c>
      <c r="BC156" s="300">
        <v>108</v>
      </c>
      <c r="BD156" s="300">
        <v>181</v>
      </c>
      <c r="BE156" s="300">
        <v>232</v>
      </c>
      <c r="BF156" s="300">
        <v>216</v>
      </c>
      <c r="BG156" s="300">
        <v>878</v>
      </c>
      <c r="BH156" s="300"/>
      <c r="BI156" s="300">
        <v>2020</v>
      </c>
      <c r="BJ156" s="300">
        <v>26</v>
      </c>
      <c r="BK156" s="300">
        <v>0</v>
      </c>
      <c r="BL156" s="300">
        <v>1</v>
      </c>
      <c r="BM156" s="300">
        <v>0</v>
      </c>
      <c r="BN156" s="300">
        <v>0</v>
      </c>
      <c r="BO156" s="300">
        <v>27</v>
      </c>
    </row>
    <row r="157" spans="1:67">
      <c r="AI157" s="290" t="s">
        <v>435</v>
      </c>
      <c r="AJ157" s="290">
        <v>2020</v>
      </c>
      <c r="AK157" s="290">
        <v>708</v>
      </c>
      <c r="AL157" s="290">
        <v>674</v>
      </c>
      <c r="AM157" s="290">
        <v>750</v>
      </c>
      <c r="AN157" s="290">
        <v>869</v>
      </c>
      <c r="AO157" s="290">
        <v>607</v>
      </c>
      <c r="AP157" s="290">
        <v>3608</v>
      </c>
      <c r="AQ157" s="290"/>
      <c r="AR157" s="290">
        <v>2020</v>
      </c>
      <c r="AS157" s="290">
        <v>79</v>
      </c>
      <c r="AT157" s="290">
        <v>0</v>
      </c>
      <c r="AU157" s="290">
        <v>0</v>
      </c>
      <c r="AV157" s="290">
        <v>1</v>
      </c>
      <c r="AW157" s="290">
        <v>1</v>
      </c>
      <c r="AX157" s="290">
        <v>81</v>
      </c>
      <c r="AZ157" s="300" t="s">
        <v>161</v>
      </c>
      <c r="BA157" s="300">
        <v>2020</v>
      </c>
      <c r="BB157" s="300">
        <v>380</v>
      </c>
      <c r="BC157" s="300">
        <v>523</v>
      </c>
      <c r="BD157" s="300">
        <v>726</v>
      </c>
      <c r="BE157" s="300">
        <v>853</v>
      </c>
      <c r="BF157" s="300">
        <v>575</v>
      </c>
      <c r="BG157" s="300">
        <v>3057</v>
      </c>
      <c r="BH157" s="300"/>
      <c r="BI157" s="300">
        <v>2020</v>
      </c>
      <c r="BJ157" s="300">
        <v>33</v>
      </c>
      <c r="BK157" s="300">
        <v>0</v>
      </c>
      <c r="BL157" s="300">
        <v>0</v>
      </c>
      <c r="BM157" s="300">
        <v>0</v>
      </c>
      <c r="BN157" s="300">
        <v>0</v>
      </c>
      <c r="BO157" s="300">
        <v>33</v>
      </c>
    </row>
    <row r="158" spans="1:67">
      <c r="AI158" s="290" t="s">
        <v>436</v>
      </c>
      <c r="AJ158" s="290">
        <v>2020</v>
      </c>
      <c r="AK158" s="290">
        <v>358</v>
      </c>
      <c r="AL158" s="290">
        <v>485</v>
      </c>
      <c r="AM158" s="290">
        <v>741</v>
      </c>
      <c r="AN158" s="290">
        <v>819</v>
      </c>
      <c r="AO158" s="290">
        <v>546</v>
      </c>
      <c r="AP158" s="290">
        <v>2949</v>
      </c>
      <c r="AQ158" s="290"/>
      <c r="AR158" s="290">
        <v>2020</v>
      </c>
      <c r="AS158" s="290">
        <v>22</v>
      </c>
      <c r="AT158" s="290">
        <v>2</v>
      </c>
      <c r="AU158" s="290">
        <v>0</v>
      </c>
      <c r="AV158" s="290">
        <v>0</v>
      </c>
      <c r="AW158" s="290">
        <v>1</v>
      </c>
      <c r="AX158" s="290">
        <v>25</v>
      </c>
      <c r="AZ158" s="300" t="s">
        <v>163</v>
      </c>
      <c r="BA158" s="300">
        <v>2020</v>
      </c>
      <c r="BB158" s="300">
        <v>146</v>
      </c>
      <c r="BC158" s="300">
        <v>162</v>
      </c>
      <c r="BD158" s="300">
        <v>389</v>
      </c>
      <c r="BE158" s="300">
        <v>583</v>
      </c>
      <c r="BF158" s="300">
        <v>445</v>
      </c>
      <c r="BG158" s="300">
        <v>1725</v>
      </c>
      <c r="BH158" s="300"/>
      <c r="BI158" s="300">
        <v>2020</v>
      </c>
      <c r="BJ158" s="300">
        <v>28</v>
      </c>
      <c r="BK158" s="300">
        <v>0</v>
      </c>
      <c r="BL158" s="300">
        <v>0</v>
      </c>
      <c r="BM158" s="300">
        <v>0</v>
      </c>
      <c r="BN158" s="300">
        <v>0</v>
      </c>
      <c r="BO158" s="300">
        <v>28</v>
      </c>
    </row>
    <row r="159" spans="1:67">
      <c r="AI159" s="290" t="s">
        <v>437</v>
      </c>
      <c r="AJ159" s="290">
        <v>2020</v>
      </c>
      <c r="AK159" s="290">
        <v>228</v>
      </c>
      <c r="AL159" s="290">
        <v>363</v>
      </c>
      <c r="AM159" s="290">
        <v>593</v>
      </c>
      <c r="AN159" s="290">
        <v>745</v>
      </c>
      <c r="AO159" s="290">
        <v>545</v>
      </c>
      <c r="AP159" s="290">
        <v>2474</v>
      </c>
      <c r="AQ159" s="290"/>
      <c r="AR159" s="290">
        <v>2020</v>
      </c>
      <c r="AS159" s="290">
        <v>22</v>
      </c>
      <c r="AT159" s="290">
        <v>3</v>
      </c>
      <c r="AU159" s="290">
        <v>1</v>
      </c>
      <c r="AV159" s="290">
        <v>1</v>
      </c>
      <c r="AW159" s="290">
        <v>0</v>
      </c>
      <c r="AX159" s="290">
        <v>27</v>
      </c>
      <c r="AZ159" s="300" t="s">
        <v>165</v>
      </c>
      <c r="BA159" s="300">
        <v>2020</v>
      </c>
      <c r="BB159" s="300">
        <v>184</v>
      </c>
      <c r="BC159" s="300">
        <v>244</v>
      </c>
      <c r="BD159" s="300">
        <v>490</v>
      </c>
      <c r="BE159" s="300">
        <v>700</v>
      </c>
      <c r="BF159" s="300">
        <v>569</v>
      </c>
      <c r="BG159" s="300">
        <v>2187</v>
      </c>
      <c r="BH159" s="300"/>
      <c r="BI159" s="300">
        <v>2020</v>
      </c>
      <c r="BJ159" s="300">
        <v>31</v>
      </c>
      <c r="BK159" s="300">
        <v>2</v>
      </c>
      <c r="BL159" s="300">
        <v>0</v>
      </c>
      <c r="BM159" s="300">
        <v>0</v>
      </c>
      <c r="BN159" s="300">
        <v>0</v>
      </c>
      <c r="BO159" s="300">
        <v>33</v>
      </c>
    </row>
    <row r="160" spans="1:67">
      <c r="AI160" s="290" t="s">
        <v>438</v>
      </c>
      <c r="AJ160" s="290">
        <v>2020</v>
      </c>
      <c r="AK160" s="290">
        <v>332</v>
      </c>
      <c r="AL160" s="290">
        <v>451</v>
      </c>
      <c r="AM160" s="290">
        <v>587</v>
      </c>
      <c r="AN160" s="290">
        <v>655</v>
      </c>
      <c r="AO160" s="290">
        <v>487</v>
      </c>
      <c r="AP160" s="290">
        <v>2512</v>
      </c>
      <c r="AQ160" s="290"/>
      <c r="AR160" s="290">
        <v>2020</v>
      </c>
      <c r="AS160" s="290">
        <v>23</v>
      </c>
      <c r="AT160" s="290">
        <v>0</v>
      </c>
      <c r="AU160" s="290">
        <v>0</v>
      </c>
      <c r="AV160" s="290">
        <v>0</v>
      </c>
      <c r="AW160" s="290">
        <v>0</v>
      </c>
      <c r="AX160" s="290">
        <v>23</v>
      </c>
      <c r="AZ160" s="300" t="s">
        <v>187</v>
      </c>
      <c r="BA160" s="300">
        <v>2020</v>
      </c>
      <c r="BB160" s="300">
        <v>234</v>
      </c>
      <c r="BC160" s="300">
        <v>173</v>
      </c>
      <c r="BD160" s="300">
        <v>277</v>
      </c>
      <c r="BE160" s="300">
        <v>366</v>
      </c>
      <c r="BF160" s="300">
        <v>322</v>
      </c>
      <c r="BG160" s="300">
        <v>1372</v>
      </c>
      <c r="BH160" s="300"/>
      <c r="BI160" s="300">
        <v>2020</v>
      </c>
      <c r="BJ160" s="300">
        <v>35</v>
      </c>
      <c r="BK160" s="300">
        <v>0</v>
      </c>
      <c r="BL160" s="300">
        <v>0</v>
      </c>
      <c r="BM160" s="300">
        <v>0</v>
      </c>
      <c r="BN160" s="300">
        <v>0</v>
      </c>
      <c r="BO160" s="300">
        <v>35</v>
      </c>
    </row>
    <row r="161" spans="35:67">
      <c r="AZ161" s="300" t="s">
        <v>109</v>
      </c>
      <c r="BA161" s="300">
        <v>2020</v>
      </c>
      <c r="BB161" s="300">
        <v>496</v>
      </c>
      <c r="BC161" s="300">
        <v>71</v>
      </c>
      <c r="BD161" s="300">
        <v>108</v>
      </c>
      <c r="BE161" s="300">
        <v>145</v>
      </c>
      <c r="BF161" s="300">
        <v>251</v>
      </c>
      <c r="BG161" s="300">
        <v>1071</v>
      </c>
      <c r="BH161" s="300"/>
      <c r="BI161" s="300">
        <v>2020</v>
      </c>
      <c r="BJ161" s="300">
        <v>150</v>
      </c>
      <c r="BK161" s="300">
        <v>0</v>
      </c>
      <c r="BL161" s="300">
        <v>0</v>
      </c>
      <c r="BM161" s="300">
        <v>0</v>
      </c>
      <c r="BN161" s="300">
        <v>0</v>
      </c>
      <c r="BO161" s="300">
        <v>150</v>
      </c>
    </row>
    <row r="162" spans="35:67">
      <c r="AI162" s="290" t="s">
        <v>439</v>
      </c>
      <c r="AJ162" s="290">
        <v>2020</v>
      </c>
      <c r="AK162" s="290">
        <v>384</v>
      </c>
      <c r="AL162" s="290">
        <v>390</v>
      </c>
      <c r="AM162" s="290">
        <v>328</v>
      </c>
      <c r="AN162" s="290">
        <v>288</v>
      </c>
      <c r="AO162" s="290">
        <v>464</v>
      </c>
      <c r="AP162" s="290">
        <v>1854</v>
      </c>
      <c r="AQ162" s="290"/>
      <c r="AR162" s="290">
        <v>2020</v>
      </c>
      <c r="AS162" s="290">
        <v>139</v>
      </c>
      <c r="AT162" s="290">
        <v>57</v>
      </c>
      <c r="AU162" s="290">
        <v>49</v>
      </c>
      <c r="AV162" s="290">
        <v>51</v>
      </c>
      <c r="AW162" s="290">
        <v>65</v>
      </c>
      <c r="AX162" s="290">
        <v>361</v>
      </c>
      <c r="AZ162" s="300" t="s">
        <v>110</v>
      </c>
      <c r="BA162" s="300">
        <v>2020</v>
      </c>
      <c r="BB162" s="300">
        <v>70</v>
      </c>
      <c r="BC162" s="300">
        <v>38</v>
      </c>
      <c r="BD162" s="300">
        <v>36</v>
      </c>
      <c r="BE162" s="300">
        <v>42</v>
      </c>
      <c r="BF162" s="300">
        <v>107</v>
      </c>
      <c r="BG162" s="300">
        <v>293</v>
      </c>
      <c r="BH162" s="300"/>
      <c r="BI162" s="300">
        <v>2020</v>
      </c>
      <c r="BJ162" s="300">
        <v>36</v>
      </c>
      <c r="BK162" s="300">
        <v>0</v>
      </c>
      <c r="BL162" s="300">
        <v>0</v>
      </c>
      <c r="BM162" s="300">
        <v>0</v>
      </c>
      <c r="BN162" s="300">
        <v>0</v>
      </c>
      <c r="BO162" s="300">
        <v>36</v>
      </c>
    </row>
    <row r="163" spans="35:67">
      <c r="AI163" s="290" t="s">
        <v>440</v>
      </c>
      <c r="AJ163" s="290">
        <v>2020</v>
      </c>
      <c r="AK163" s="290">
        <v>537</v>
      </c>
      <c r="AL163" s="290">
        <v>622</v>
      </c>
      <c r="AM163" s="290">
        <v>422</v>
      </c>
      <c r="AN163" s="290">
        <v>371</v>
      </c>
      <c r="AO163" s="290">
        <v>497</v>
      </c>
      <c r="AP163" s="290">
        <v>2449</v>
      </c>
      <c r="AQ163" s="290"/>
      <c r="AR163" s="290">
        <v>2020</v>
      </c>
      <c r="AS163" s="290">
        <v>153</v>
      </c>
      <c r="AT163" s="290">
        <v>39</v>
      </c>
      <c r="AU163" s="290">
        <v>21</v>
      </c>
      <c r="AV163" s="290">
        <v>26</v>
      </c>
      <c r="AW163" s="290">
        <v>46</v>
      </c>
      <c r="AX163" s="290">
        <v>285</v>
      </c>
      <c r="AZ163" s="300" t="s">
        <v>111</v>
      </c>
      <c r="BA163" s="300">
        <v>2020</v>
      </c>
      <c r="BB163" s="300">
        <v>805</v>
      </c>
      <c r="BC163" s="300">
        <v>665</v>
      </c>
      <c r="BD163" s="300">
        <v>888</v>
      </c>
      <c r="BE163" s="300">
        <v>845</v>
      </c>
      <c r="BF163" s="300">
        <v>690</v>
      </c>
      <c r="BG163" s="300">
        <v>3893</v>
      </c>
      <c r="BH163" s="300"/>
      <c r="BI163" s="300">
        <v>2020</v>
      </c>
      <c r="BJ163" s="300">
        <v>204</v>
      </c>
      <c r="BK163" s="300">
        <v>0</v>
      </c>
      <c r="BL163" s="300">
        <v>0</v>
      </c>
      <c r="BM163" s="300">
        <v>0</v>
      </c>
      <c r="BN163" s="300">
        <v>0</v>
      </c>
      <c r="BO163" s="300">
        <v>204</v>
      </c>
    </row>
    <row r="164" spans="35:67">
      <c r="AI164" s="290" t="s">
        <v>441</v>
      </c>
      <c r="AJ164" s="290">
        <v>2020</v>
      </c>
      <c r="AK164" s="290">
        <v>520</v>
      </c>
      <c r="AL164" s="290">
        <v>729</v>
      </c>
      <c r="AM164" s="290">
        <v>432</v>
      </c>
      <c r="AN164" s="290">
        <v>493</v>
      </c>
      <c r="AO164" s="290">
        <v>534</v>
      </c>
      <c r="AP164" s="290">
        <v>2708</v>
      </c>
      <c r="AQ164" s="290"/>
      <c r="AR164" s="290">
        <v>2020</v>
      </c>
      <c r="AS164" s="290">
        <v>135</v>
      </c>
      <c r="AT164" s="290">
        <v>40</v>
      </c>
      <c r="AU164" s="290">
        <v>40</v>
      </c>
      <c r="AV164" s="290">
        <v>51</v>
      </c>
      <c r="AW164" s="290">
        <v>41</v>
      </c>
      <c r="AX164" s="290">
        <v>307</v>
      </c>
      <c r="AZ164" s="300" t="s">
        <v>113</v>
      </c>
      <c r="BA164" s="300">
        <v>2020</v>
      </c>
      <c r="BB164" s="300">
        <v>128</v>
      </c>
      <c r="BC164" s="300">
        <v>157</v>
      </c>
      <c r="BD164" s="300">
        <v>281</v>
      </c>
      <c r="BE164" s="300">
        <v>385</v>
      </c>
      <c r="BF164" s="300">
        <v>373</v>
      </c>
      <c r="BG164" s="300">
        <v>1324</v>
      </c>
      <c r="BH164" s="300"/>
      <c r="BI164" s="300">
        <v>2020</v>
      </c>
      <c r="BJ164" s="300">
        <v>49</v>
      </c>
      <c r="BK164" s="300">
        <v>0</v>
      </c>
      <c r="BL164" s="300">
        <v>0</v>
      </c>
      <c r="BM164" s="300">
        <v>0</v>
      </c>
      <c r="BN164" s="300">
        <v>0</v>
      </c>
      <c r="BO164" s="300">
        <v>49</v>
      </c>
    </row>
    <row r="165" spans="35:67">
      <c r="AI165" s="290" t="s">
        <v>442</v>
      </c>
      <c r="AJ165" s="290">
        <v>2020</v>
      </c>
      <c r="AK165" s="290">
        <v>484</v>
      </c>
      <c r="AL165" s="290">
        <v>361</v>
      </c>
      <c r="AM165" s="290">
        <v>368</v>
      </c>
      <c r="AN165" s="290">
        <v>370</v>
      </c>
      <c r="AO165" s="290">
        <v>486</v>
      </c>
      <c r="AP165" s="290">
        <v>2069</v>
      </c>
      <c r="AQ165" s="290"/>
      <c r="AR165" s="290">
        <v>2020</v>
      </c>
      <c r="AS165" s="290">
        <v>190</v>
      </c>
      <c r="AT165" s="290">
        <v>35</v>
      </c>
      <c r="AU165" s="290">
        <v>33</v>
      </c>
      <c r="AV165" s="290">
        <v>22</v>
      </c>
      <c r="AW165" s="290">
        <v>52</v>
      </c>
      <c r="AX165" s="290">
        <v>332</v>
      </c>
      <c r="AZ165" s="300" t="s">
        <v>115</v>
      </c>
      <c r="BA165" s="300">
        <v>2020</v>
      </c>
      <c r="BB165" s="300">
        <v>327</v>
      </c>
      <c r="BC165" s="300">
        <v>488</v>
      </c>
      <c r="BD165" s="300">
        <v>710</v>
      </c>
      <c r="BE165" s="300">
        <v>766</v>
      </c>
      <c r="BF165" s="300">
        <v>712</v>
      </c>
      <c r="BG165" s="300">
        <v>3003</v>
      </c>
      <c r="BH165" s="300"/>
      <c r="BI165" s="300">
        <v>2020</v>
      </c>
      <c r="BJ165" s="300">
        <v>30</v>
      </c>
      <c r="BK165" s="300">
        <v>0</v>
      </c>
      <c r="BL165" s="300">
        <v>0</v>
      </c>
      <c r="BM165" s="300">
        <v>0</v>
      </c>
      <c r="BN165" s="300">
        <v>0</v>
      </c>
      <c r="BO165" s="300">
        <v>30</v>
      </c>
    </row>
    <row r="166" spans="35:67">
      <c r="AI166" s="290" t="s">
        <v>443</v>
      </c>
      <c r="AJ166" s="290">
        <v>2020</v>
      </c>
      <c r="AK166" s="290">
        <v>774</v>
      </c>
      <c r="AL166" s="290">
        <v>679</v>
      </c>
      <c r="AM166" s="290">
        <v>549</v>
      </c>
      <c r="AN166" s="290">
        <v>565</v>
      </c>
      <c r="AO166" s="290">
        <v>772</v>
      </c>
      <c r="AP166" s="290">
        <v>3339</v>
      </c>
      <c r="AQ166" s="290"/>
      <c r="AR166" s="290">
        <v>2020</v>
      </c>
      <c r="AS166" s="290">
        <v>144</v>
      </c>
      <c r="AT166" s="290">
        <v>15</v>
      </c>
      <c r="AU166" s="290">
        <v>12</v>
      </c>
      <c r="AV166" s="290">
        <v>10</v>
      </c>
      <c r="AW166" s="290">
        <v>23</v>
      </c>
      <c r="AX166" s="290">
        <v>204</v>
      </c>
      <c r="AZ166" s="300" t="s">
        <v>117</v>
      </c>
      <c r="BA166" s="300">
        <v>2020</v>
      </c>
      <c r="BB166" s="300">
        <v>120</v>
      </c>
      <c r="BC166" s="300">
        <v>108</v>
      </c>
      <c r="BD166" s="300">
        <v>243</v>
      </c>
      <c r="BE166" s="300">
        <v>360</v>
      </c>
      <c r="BF166" s="300">
        <v>352</v>
      </c>
      <c r="BG166" s="300">
        <v>1183</v>
      </c>
      <c r="BH166" s="300"/>
      <c r="BI166" s="300">
        <v>2020</v>
      </c>
      <c r="BJ166" s="300">
        <v>22</v>
      </c>
      <c r="BK166" s="300">
        <v>0</v>
      </c>
      <c r="BL166" s="300">
        <v>0</v>
      </c>
      <c r="BM166" s="300">
        <v>0</v>
      </c>
      <c r="BN166" s="300">
        <v>0</v>
      </c>
      <c r="BO166" s="300">
        <v>22</v>
      </c>
    </row>
    <row r="167" spans="35:67">
      <c r="AI167" s="290" t="s">
        <v>444</v>
      </c>
      <c r="AJ167" s="290">
        <v>2020</v>
      </c>
      <c r="AK167" s="290">
        <v>678</v>
      </c>
      <c r="AL167" s="290">
        <v>545</v>
      </c>
      <c r="AM167" s="290">
        <v>530</v>
      </c>
      <c r="AN167" s="290">
        <v>489</v>
      </c>
      <c r="AO167" s="290">
        <v>687</v>
      </c>
      <c r="AP167" s="290">
        <v>2929</v>
      </c>
      <c r="AQ167" s="290"/>
      <c r="AR167" s="290">
        <v>2020</v>
      </c>
      <c r="AS167" s="290">
        <v>133</v>
      </c>
      <c r="AT167" s="290">
        <v>23</v>
      </c>
      <c r="AU167" s="290">
        <v>19</v>
      </c>
      <c r="AV167" s="290">
        <v>20</v>
      </c>
      <c r="AW167" s="290">
        <v>27</v>
      </c>
      <c r="AX167" s="290">
        <v>222</v>
      </c>
      <c r="AZ167" s="300" t="s">
        <v>169</v>
      </c>
      <c r="BA167" s="300">
        <v>2020</v>
      </c>
      <c r="BB167" s="300">
        <v>116</v>
      </c>
      <c r="BC167" s="300">
        <v>192</v>
      </c>
      <c r="BD167" s="300">
        <v>366</v>
      </c>
      <c r="BE167" s="300">
        <v>447</v>
      </c>
      <c r="BF167" s="300">
        <v>386</v>
      </c>
      <c r="BG167" s="300">
        <v>1507</v>
      </c>
      <c r="BH167" s="300"/>
      <c r="BI167" s="300">
        <v>2020</v>
      </c>
      <c r="BJ167" s="300">
        <v>21</v>
      </c>
      <c r="BK167" s="300">
        <v>0</v>
      </c>
      <c r="BL167" s="300">
        <v>0</v>
      </c>
      <c r="BM167" s="300">
        <v>0</v>
      </c>
      <c r="BN167" s="300">
        <v>0</v>
      </c>
      <c r="BO167" s="300">
        <v>21</v>
      </c>
    </row>
    <row r="168" spans="35:67">
      <c r="AI168" s="290" t="s">
        <v>445</v>
      </c>
      <c r="AJ168" s="290">
        <v>2020</v>
      </c>
      <c r="AK168" s="290">
        <v>777</v>
      </c>
      <c r="AL168" s="290">
        <v>602</v>
      </c>
      <c r="AM168" s="290">
        <v>545</v>
      </c>
      <c r="AN168" s="290">
        <v>517</v>
      </c>
      <c r="AO168" s="290">
        <v>697</v>
      </c>
      <c r="AP168" s="290">
        <v>3138</v>
      </c>
      <c r="AQ168" s="290"/>
      <c r="AR168" s="290">
        <v>2020</v>
      </c>
      <c r="AS168" s="290">
        <v>227</v>
      </c>
      <c r="AT168" s="290">
        <v>57</v>
      </c>
      <c r="AU168" s="290">
        <v>51</v>
      </c>
      <c r="AV168" s="290">
        <v>35</v>
      </c>
      <c r="AW168" s="290">
        <v>53</v>
      </c>
      <c r="AX168" s="290">
        <v>423</v>
      </c>
      <c r="AZ168" s="300" t="s">
        <v>119</v>
      </c>
      <c r="BA168" s="300">
        <v>2020</v>
      </c>
      <c r="BB168" s="300">
        <v>1526</v>
      </c>
      <c r="BC168" s="300">
        <v>975</v>
      </c>
      <c r="BD168" s="300">
        <v>1228</v>
      </c>
      <c r="BE168" s="300">
        <v>1283</v>
      </c>
      <c r="BF168" s="300">
        <v>865</v>
      </c>
      <c r="BG168" s="300">
        <v>5877</v>
      </c>
      <c r="BH168" s="300"/>
      <c r="BI168" s="300">
        <v>2020</v>
      </c>
      <c r="BJ168" s="300">
        <v>390</v>
      </c>
      <c r="BK168" s="300">
        <v>0</v>
      </c>
      <c r="BL168" s="300">
        <v>0</v>
      </c>
      <c r="BM168" s="300">
        <v>0</v>
      </c>
      <c r="BN168" s="300">
        <v>0</v>
      </c>
      <c r="BO168" s="300">
        <v>390</v>
      </c>
    </row>
    <row r="169" spans="35:67">
      <c r="AI169" s="290" t="s">
        <v>446</v>
      </c>
      <c r="AJ169" s="290">
        <v>2020</v>
      </c>
      <c r="AK169" s="290">
        <v>592</v>
      </c>
      <c r="AL169" s="290">
        <v>557</v>
      </c>
      <c r="AM169" s="290">
        <v>445</v>
      </c>
      <c r="AN169" s="290">
        <v>470</v>
      </c>
      <c r="AO169" s="290">
        <v>627</v>
      </c>
      <c r="AP169" s="290">
        <v>2691</v>
      </c>
      <c r="AQ169" s="290"/>
      <c r="AR169" s="290">
        <v>2020</v>
      </c>
      <c r="AS169" s="290">
        <v>205</v>
      </c>
      <c r="AT169" s="290">
        <v>47</v>
      </c>
      <c r="AU169" s="290">
        <v>30</v>
      </c>
      <c r="AV169" s="290">
        <v>24</v>
      </c>
      <c r="AW169" s="290">
        <v>48</v>
      </c>
      <c r="AX169" s="290">
        <v>354</v>
      </c>
      <c r="AZ169" s="300" t="s">
        <v>171</v>
      </c>
      <c r="BA169" s="300">
        <v>2020</v>
      </c>
      <c r="BB169" s="300">
        <v>59</v>
      </c>
      <c r="BC169" s="300">
        <v>77</v>
      </c>
      <c r="BD169" s="300">
        <v>142</v>
      </c>
      <c r="BE169" s="300">
        <v>225</v>
      </c>
      <c r="BF169" s="300">
        <v>216</v>
      </c>
      <c r="BG169" s="300">
        <v>719</v>
      </c>
      <c r="BH169" s="300"/>
      <c r="BI169" s="300">
        <v>2020</v>
      </c>
      <c r="BJ169" s="300">
        <v>22</v>
      </c>
      <c r="BK169" s="300">
        <v>0</v>
      </c>
      <c r="BL169" s="300">
        <v>0</v>
      </c>
      <c r="BM169" s="300">
        <v>0</v>
      </c>
      <c r="BN169" s="300">
        <v>0</v>
      </c>
      <c r="BO169" s="300">
        <v>22</v>
      </c>
    </row>
    <row r="170" spans="35:67">
      <c r="AI170" s="290" t="s">
        <v>447</v>
      </c>
      <c r="AJ170" s="290">
        <v>2020</v>
      </c>
      <c r="AK170" s="290">
        <v>363</v>
      </c>
      <c r="AL170" s="290">
        <v>462</v>
      </c>
      <c r="AM170" s="290">
        <v>369</v>
      </c>
      <c r="AN170" s="290">
        <v>374</v>
      </c>
      <c r="AO170" s="290">
        <v>452</v>
      </c>
      <c r="AP170" s="290">
        <v>2020</v>
      </c>
      <c r="AQ170" s="290"/>
      <c r="AR170" s="290">
        <v>2020</v>
      </c>
      <c r="AS170" s="290">
        <v>124</v>
      </c>
      <c r="AT170" s="290">
        <v>54</v>
      </c>
      <c r="AU170" s="290">
        <v>41</v>
      </c>
      <c r="AV170" s="290">
        <v>46</v>
      </c>
      <c r="AW170" s="290">
        <v>50</v>
      </c>
      <c r="AX170" s="290">
        <v>315</v>
      </c>
      <c r="AZ170" s="300" t="s">
        <v>121</v>
      </c>
      <c r="BA170" s="300">
        <v>2020</v>
      </c>
      <c r="BB170" s="300">
        <v>137</v>
      </c>
      <c r="BC170" s="300">
        <v>87</v>
      </c>
      <c r="BD170" s="300">
        <v>116</v>
      </c>
      <c r="BE170" s="300">
        <v>147</v>
      </c>
      <c r="BF170" s="300">
        <v>132</v>
      </c>
      <c r="BG170" s="300">
        <v>619</v>
      </c>
      <c r="BH170" s="300"/>
      <c r="BI170" s="300">
        <v>2020</v>
      </c>
      <c r="BJ170" s="300">
        <v>30</v>
      </c>
      <c r="BK170" s="300">
        <v>0</v>
      </c>
      <c r="BL170" s="300">
        <v>0</v>
      </c>
      <c r="BM170" s="300">
        <v>0</v>
      </c>
      <c r="BN170" s="300">
        <v>0</v>
      </c>
      <c r="BO170" s="300">
        <v>30</v>
      </c>
    </row>
    <row r="171" spans="35:67">
      <c r="AI171" s="290" t="s">
        <v>448</v>
      </c>
      <c r="AJ171" s="290">
        <v>2020</v>
      </c>
      <c r="AK171" s="290">
        <v>511</v>
      </c>
      <c r="AL171" s="290">
        <v>618</v>
      </c>
      <c r="AM171" s="290">
        <v>434</v>
      </c>
      <c r="AN171" s="290">
        <v>431</v>
      </c>
      <c r="AO171" s="290">
        <v>561</v>
      </c>
      <c r="AP171" s="290">
        <v>2555</v>
      </c>
      <c r="AQ171" s="290"/>
      <c r="AR171" s="290">
        <v>2020</v>
      </c>
      <c r="AS171" s="290">
        <v>142</v>
      </c>
      <c r="AT171" s="290">
        <v>33</v>
      </c>
      <c r="AU171" s="290">
        <v>21</v>
      </c>
      <c r="AV171" s="290">
        <v>19</v>
      </c>
      <c r="AW171" s="290">
        <v>33</v>
      </c>
      <c r="AX171" s="290">
        <v>248</v>
      </c>
      <c r="AZ171" s="300" t="s">
        <v>122</v>
      </c>
      <c r="BA171" s="300">
        <v>2020</v>
      </c>
      <c r="BB171" s="300">
        <v>75</v>
      </c>
      <c r="BC171" s="300">
        <v>52</v>
      </c>
      <c r="BD171" s="300">
        <v>92</v>
      </c>
      <c r="BE171" s="300">
        <v>96</v>
      </c>
      <c r="BF171" s="300">
        <v>82</v>
      </c>
      <c r="BG171" s="300">
        <v>397</v>
      </c>
      <c r="BH171" s="300"/>
      <c r="BI171" s="300">
        <v>2020</v>
      </c>
      <c r="BJ171" s="300">
        <v>23</v>
      </c>
      <c r="BK171" s="300">
        <v>0</v>
      </c>
      <c r="BL171" s="300">
        <v>0</v>
      </c>
      <c r="BM171" s="300">
        <v>0</v>
      </c>
      <c r="BN171" s="300">
        <v>0</v>
      </c>
      <c r="BO171" s="300">
        <v>23</v>
      </c>
    </row>
    <row r="172" spans="35:67">
      <c r="AZ172" s="300" t="s">
        <v>123</v>
      </c>
      <c r="BA172" s="300">
        <v>2020</v>
      </c>
      <c r="BB172" s="300">
        <v>88</v>
      </c>
      <c r="BC172" s="300">
        <v>69</v>
      </c>
      <c r="BD172" s="300">
        <v>148</v>
      </c>
      <c r="BE172" s="300">
        <v>224</v>
      </c>
      <c r="BF172" s="300">
        <v>222</v>
      </c>
      <c r="BG172" s="300">
        <v>751</v>
      </c>
      <c r="BH172" s="300"/>
      <c r="BI172" s="300">
        <v>2020</v>
      </c>
      <c r="BJ172" s="300">
        <v>26</v>
      </c>
      <c r="BK172" s="300">
        <v>0</v>
      </c>
      <c r="BL172" s="300">
        <v>0</v>
      </c>
      <c r="BM172" s="300">
        <v>0</v>
      </c>
      <c r="BN172" s="300">
        <v>0</v>
      </c>
      <c r="BO172" s="300">
        <v>26</v>
      </c>
    </row>
    <row r="173" spans="35:67">
      <c r="AZ173" s="300" t="s">
        <v>125</v>
      </c>
      <c r="BA173" s="300">
        <v>2020</v>
      </c>
      <c r="BB173" s="300">
        <v>410</v>
      </c>
      <c r="BC173" s="300">
        <v>426</v>
      </c>
      <c r="BD173" s="300">
        <v>920</v>
      </c>
      <c r="BE173" s="300">
        <v>1331</v>
      </c>
      <c r="BF173" s="300">
        <v>1149</v>
      </c>
      <c r="BG173" s="300">
        <v>4236</v>
      </c>
      <c r="BH173" s="300"/>
      <c r="BI173" s="300">
        <v>2020</v>
      </c>
      <c r="BJ173" s="300">
        <v>63</v>
      </c>
      <c r="BK173" s="300">
        <v>0</v>
      </c>
      <c r="BL173" s="300">
        <v>0</v>
      </c>
      <c r="BM173" s="300">
        <v>0</v>
      </c>
      <c r="BN173" s="300">
        <v>0</v>
      </c>
      <c r="BO173" s="300">
        <v>63</v>
      </c>
    </row>
    <row r="174" spans="35:67">
      <c r="AZ174" s="300" t="s">
        <v>127</v>
      </c>
      <c r="BA174" s="300">
        <v>2020</v>
      </c>
      <c r="BB174" s="300">
        <v>179</v>
      </c>
      <c r="BC174" s="300">
        <v>97</v>
      </c>
      <c r="BD174" s="300">
        <v>202</v>
      </c>
      <c r="BE174" s="300">
        <v>268</v>
      </c>
      <c r="BF174" s="300">
        <v>282</v>
      </c>
      <c r="BG174" s="300">
        <v>1028</v>
      </c>
      <c r="BH174" s="300"/>
      <c r="BI174" s="300">
        <v>2020</v>
      </c>
      <c r="BJ174" s="300">
        <v>21</v>
      </c>
      <c r="BK174" s="300">
        <v>0</v>
      </c>
      <c r="BL174" s="300">
        <v>0</v>
      </c>
      <c r="BM174" s="300">
        <v>0</v>
      </c>
      <c r="BN174" s="300">
        <v>0</v>
      </c>
      <c r="BO174" s="300">
        <v>21</v>
      </c>
    </row>
    <row r="175" spans="35:67">
      <c r="AZ175" s="300" t="s">
        <v>129</v>
      </c>
      <c r="BA175" s="300">
        <v>2020</v>
      </c>
      <c r="BB175" s="300">
        <v>482</v>
      </c>
      <c r="BC175" s="300">
        <v>313</v>
      </c>
      <c r="BD175" s="300">
        <v>538</v>
      </c>
      <c r="BE175" s="300">
        <v>687</v>
      </c>
      <c r="BF175" s="300">
        <v>566</v>
      </c>
      <c r="BG175" s="300">
        <v>2586</v>
      </c>
      <c r="BH175" s="300"/>
      <c r="BI175" s="300">
        <v>2020</v>
      </c>
      <c r="BJ175" s="300">
        <v>60</v>
      </c>
      <c r="BK175" s="300">
        <v>0</v>
      </c>
      <c r="BL175" s="300">
        <v>0</v>
      </c>
      <c r="BM175" s="300">
        <v>0</v>
      </c>
      <c r="BN175" s="300">
        <v>0</v>
      </c>
      <c r="BO175" s="300">
        <v>60</v>
      </c>
    </row>
    <row r="176" spans="35:67">
      <c r="AZ176" s="300" t="s">
        <v>130</v>
      </c>
      <c r="BA176" s="300">
        <v>2020</v>
      </c>
      <c r="BB176" s="300">
        <v>208</v>
      </c>
      <c r="BC176" s="300">
        <v>197</v>
      </c>
      <c r="BD176" s="300">
        <v>309</v>
      </c>
      <c r="BE176" s="300">
        <v>429</v>
      </c>
      <c r="BF176" s="300">
        <v>405</v>
      </c>
      <c r="BG176" s="300">
        <v>1548</v>
      </c>
      <c r="BH176" s="300"/>
      <c r="BI176" s="300">
        <v>2020</v>
      </c>
      <c r="BJ176" s="300">
        <v>40</v>
      </c>
      <c r="BK176" s="300">
        <v>0</v>
      </c>
      <c r="BL176" s="300">
        <v>0</v>
      </c>
      <c r="BM176" s="300">
        <v>0</v>
      </c>
      <c r="BN176" s="300">
        <v>0</v>
      </c>
      <c r="BO176" s="300">
        <v>40</v>
      </c>
    </row>
    <row r="177" spans="52:67">
      <c r="AZ177" s="300" t="s">
        <v>131</v>
      </c>
      <c r="BA177" s="300">
        <v>2020</v>
      </c>
      <c r="BB177" s="300">
        <v>165</v>
      </c>
      <c r="BC177" s="300">
        <v>154</v>
      </c>
      <c r="BD177" s="300">
        <v>293</v>
      </c>
      <c r="BE177" s="300">
        <v>448</v>
      </c>
      <c r="BF177" s="300">
        <v>434</v>
      </c>
      <c r="BG177" s="300">
        <v>1494</v>
      </c>
      <c r="BH177" s="300"/>
      <c r="BI177" s="300">
        <v>2020</v>
      </c>
      <c r="BJ177" s="300">
        <v>22</v>
      </c>
      <c r="BK177" s="300">
        <v>0</v>
      </c>
      <c r="BL177" s="300">
        <v>0</v>
      </c>
      <c r="BM177" s="300">
        <v>0</v>
      </c>
      <c r="BN177" s="300">
        <v>0</v>
      </c>
      <c r="BO177" s="300">
        <v>22</v>
      </c>
    </row>
    <row r="178" spans="52:67">
      <c r="AZ178" s="300" t="s">
        <v>133</v>
      </c>
      <c r="BA178" s="300">
        <v>2020</v>
      </c>
      <c r="BB178" s="300">
        <v>125</v>
      </c>
      <c r="BC178" s="300">
        <v>125</v>
      </c>
      <c r="BD178" s="300">
        <v>227</v>
      </c>
      <c r="BE178" s="300">
        <v>373</v>
      </c>
      <c r="BF178" s="300">
        <v>308</v>
      </c>
      <c r="BG178" s="300">
        <v>1158</v>
      </c>
      <c r="BH178" s="300"/>
      <c r="BI178" s="300">
        <v>2020</v>
      </c>
      <c r="BJ178" s="300">
        <v>37</v>
      </c>
      <c r="BK178" s="300">
        <v>0</v>
      </c>
      <c r="BL178" s="300">
        <v>0</v>
      </c>
      <c r="BM178" s="300">
        <v>0</v>
      </c>
      <c r="BN178" s="300">
        <v>0</v>
      </c>
      <c r="BO178" s="300">
        <v>37</v>
      </c>
    </row>
    <row r="179" spans="52:67">
      <c r="AZ179" s="300" t="s">
        <v>135</v>
      </c>
      <c r="BA179" s="300">
        <v>2020</v>
      </c>
      <c r="BB179" s="300">
        <v>150</v>
      </c>
      <c r="BC179" s="300">
        <v>196</v>
      </c>
      <c r="BD179" s="300">
        <v>349</v>
      </c>
      <c r="BE179" s="300">
        <v>602</v>
      </c>
      <c r="BF179" s="300">
        <v>535</v>
      </c>
      <c r="BG179" s="300">
        <v>1832</v>
      </c>
      <c r="BH179" s="300"/>
      <c r="BI179" s="300">
        <v>2020</v>
      </c>
      <c r="BJ179" s="300">
        <v>41</v>
      </c>
      <c r="BK179" s="300">
        <v>0</v>
      </c>
      <c r="BL179" s="300">
        <v>0</v>
      </c>
      <c r="BM179" s="300">
        <v>0</v>
      </c>
      <c r="BN179" s="300">
        <v>0</v>
      </c>
      <c r="BO179" s="300">
        <v>41</v>
      </c>
    </row>
    <row r="180" spans="52:67">
      <c r="AZ180" s="300" t="s">
        <v>177</v>
      </c>
      <c r="BA180" s="300">
        <v>2020</v>
      </c>
      <c r="BB180" s="300">
        <v>51</v>
      </c>
      <c r="BC180" s="300">
        <v>63</v>
      </c>
      <c r="BD180" s="300">
        <v>132</v>
      </c>
      <c r="BE180" s="300">
        <v>205</v>
      </c>
      <c r="BF180" s="300">
        <v>192</v>
      </c>
      <c r="BG180" s="300">
        <v>643</v>
      </c>
      <c r="BH180" s="300"/>
      <c r="BI180" s="300">
        <v>2020</v>
      </c>
      <c r="BJ180" s="300">
        <v>12</v>
      </c>
      <c r="BK180" s="300">
        <v>0</v>
      </c>
      <c r="BL180" s="300">
        <v>0</v>
      </c>
      <c r="BM180" s="300">
        <v>0</v>
      </c>
      <c r="BN180" s="300">
        <v>0</v>
      </c>
      <c r="BO180" s="300">
        <v>12</v>
      </c>
    </row>
    <row r="181" spans="52:67">
      <c r="AZ181" s="300" t="s">
        <v>137</v>
      </c>
      <c r="BA181" s="300">
        <v>2020</v>
      </c>
      <c r="BB181" s="300">
        <v>369</v>
      </c>
      <c r="BC181" s="300">
        <v>506</v>
      </c>
      <c r="BD181" s="300">
        <v>884</v>
      </c>
      <c r="BE181" s="300">
        <v>1305</v>
      </c>
      <c r="BF181" s="300">
        <v>1220</v>
      </c>
      <c r="BG181" s="300">
        <v>4284</v>
      </c>
      <c r="BH181" s="300"/>
      <c r="BI181" s="300">
        <v>2020</v>
      </c>
      <c r="BJ181" s="300">
        <v>55</v>
      </c>
      <c r="BK181" s="300">
        <v>2</v>
      </c>
      <c r="BL181" s="300">
        <v>0</v>
      </c>
      <c r="BM181" s="300">
        <v>0</v>
      </c>
      <c r="BN181" s="300">
        <v>0</v>
      </c>
      <c r="BO181" s="300">
        <v>57</v>
      </c>
    </row>
    <row r="182" spans="52:67">
      <c r="AZ182" s="300" t="s">
        <v>139</v>
      </c>
      <c r="BA182" s="300">
        <v>2020</v>
      </c>
      <c r="BB182" s="300">
        <v>370</v>
      </c>
      <c r="BC182" s="300">
        <v>378</v>
      </c>
      <c r="BD182" s="300">
        <v>712</v>
      </c>
      <c r="BE182" s="300">
        <v>1042</v>
      </c>
      <c r="BF182" s="300">
        <v>894</v>
      </c>
      <c r="BG182" s="300">
        <v>3396</v>
      </c>
      <c r="BH182" s="300"/>
      <c r="BI182" s="300">
        <v>2020</v>
      </c>
      <c r="BJ182" s="300">
        <v>39</v>
      </c>
      <c r="BK182" s="300">
        <v>0</v>
      </c>
      <c r="BL182" s="300">
        <v>0</v>
      </c>
      <c r="BM182" s="300">
        <v>0</v>
      </c>
      <c r="BN182" s="300">
        <v>0</v>
      </c>
      <c r="BO182" s="300">
        <v>39</v>
      </c>
    </row>
    <row r="183" spans="52:67">
      <c r="AZ183" s="300" t="s">
        <v>141</v>
      </c>
      <c r="BA183" s="300">
        <v>2020</v>
      </c>
      <c r="BB183" s="300">
        <v>256</v>
      </c>
      <c r="BC183" s="300">
        <v>257</v>
      </c>
      <c r="BD183" s="300">
        <v>513</v>
      </c>
      <c r="BE183" s="300">
        <v>841</v>
      </c>
      <c r="BF183" s="300">
        <v>816</v>
      </c>
      <c r="BG183" s="300">
        <v>2683</v>
      </c>
      <c r="BH183" s="300"/>
      <c r="BI183" s="300">
        <v>2020</v>
      </c>
      <c r="BJ183" s="300">
        <v>32</v>
      </c>
      <c r="BK183" s="300">
        <v>1</v>
      </c>
      <c r="BL183" s="300">
        <v>0</v>
      </c>
      <c r="BM183" s="300">
        <v>0</v>
      </c>
      <c r="BN183" s="300">
        <v>0</v>
      </c>
      <c r="BO183" s="300">
        <v>33</v>
      </c>
    </row>
    <row r="184" spans="52:67">
      <c r="AZ184" s="300" t="s">
        <v>179</v>
      </c>
      <c r="BA184" s="300">
        <v>2020</v>
      </c>
      <c r="BB184" s="300">
        <v>88</v>
      </c>
      <c r="BC184" s="300">
        <v>122</v>
      </c>
      <c r="BD184" s="300">
        <v>218</v>
      </c>
      <c r="BE184" s="300">
        <v>316</v>
      </c>
      <c r="BF184" s="300">
        <v>310</v>
      </c>
      <c r="BG184" s="300">
        <v>1054</v>
      </c>
      <c r="BH184" s="300"/>
      <c r="BI184" s="300">
        <v>2020</v>
      </c>
      <c r="BJ184" s="300">
        <v>18</v>
      </c>
      <c r="BK184" s="300">
        <v>0</v>
      </c>
      <c r="BL184" s="300">
        <v>0</v>
      </c>
      <c r="BM184" s="300">
        <v>0</v>
      </c>
      <c r="BN184" s="300">
        <v>0</v>
      </c>
      <c r="BO184" s="300">
        <v>18</v>
      </c>
    </row>
    <row r="185" spans="52:67">
      <c r="AZ185" s="300" t="s">
        <v>188</v>
      </c>
      <c r="BA185" s="300">
        <v>2020</v>
      </c>
      <c r="BB185" s="300">
        <v>80</v>
      </c>
      <c r="BC185" s="300">
        <v>84</v>
      </c>
      <c r="BD185" s="300">
        <v>184</v>
      </c>
      <c r="BE185" s="300">
        <v>207</v>
      </c>
      <c r="BF185" s="300">
        <v>235</v>
      </c>
      <c r="BG185" s="300">
        <v>790</v>
      </c>
      <c r="BH185" s="300"/>
      <c r="BI185" s="300">
        <v>2020</v>
      </c>
      <c r="BJ185" s="300">
        <v>19</v>
      </c>
      <c r="BK185" s="300">
        <v>0</v>
      </c>
      <c r="BL185" s="300">
        <v>0</v>
      </c>
      <c r="BM185" s="300">
        <v>0</v>
      </c>
      <c r="BN185" s="300">
        <v>0</v>
      </c>
      <c r="BO185" s="300">
        <v>19</v>
      </c>
    </row>
    <row r="186" spans="52:67">
      <c r="AZ186" s="300" t="s">
        <v>143</v>
      </c>
      <c r="BA186" s="300">
        <v>2020</v>
      </c>
      <c r="BB186" s="300">
        <v>182</v>
      </c>
      <c r="BC186" s="300">
        <v>96</v>
      </c>
      <c r="BD186" s="300">
        <v>123</v>
      </c>
      <c r="BE186" s="300">
        <v>161</v>
      </c>
      <c r="BF186" s="300">
        <v>200</v>
      </c>
      <c r="BG186" s="300">
        <v>762</v>
      </c>
      <c r="BH186" s="300"/>
      <c r="BI186" s="300">
        <v>2020</v>
      </c>
      <c r="BJ186" s="300">
        <v>60</v>
      </c>
      <c r="BK186" s="300">
        <v>0</v>
      </c>
      <c r="BL186" s="300">
        <v>0</v>
      </c>
      <c r="BM186" s="300">
        <v>0</v>
      </c>
      <c r="BN186" s="300">
        <v>0</v>
      </c>
      <c r="BO186" s="300">
        <v>60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7"/>
  <dimension ref="A1:AN107"/>
  <sheetViews>
    <sheetView zoomScaleNormal="100" workbookViewId="0">
      <pane ySplit="1" topLeftCell="A2" activePane="bottomLeft" state="frozen"/>
      <selection activeCell="C1" sqref="C1"/>
      <selection pane="bottomLeft"/>
    </sheetView>
  </sheetViews>
  <sheetFormatPr defaultColWidth="0" defaultRowHeight="15.6" zeroHeight="1"/>
  <cols>
    <col min="1" max="1" width="7.109375" style="16" customWidth="1"/>
    <col min="2" max="2" width="9.109375" style="16" customWidth="1"/>
    <col min="3" max="3" width="25.77734375" style="16" customWidth="1"/>
    <col min="4" max="4" width="14.33203125" style="16" hidden="1" customWidth="1"/>
    <col min="5" max="5" width="7.77734375" style="25" customWidth="1"/>
    <col min="6" max="7" width="7.77734375" style="16" customWidth="1"/>
    <col min="8" max="8" width="7.77734375" style="184" customWidth="1"/>
    <col min="9" max="9" width="8.77734375" style="16" customWidth="1"/>
    <col min="10" max="10" width="7.6640625" style="16" customWidth="1"/>
    <col min="11" max="11" width="4.88671875" style="16" customWidth="1"/>
    <col min="12" max="12" width="4.6640625" style="184" customWidth="1"/>
    <col min="13" max="13" width="9.77734375" style="184" customWidth="1"/>
    <col min="14" max="19" width="2.21875" style="16" customWidth="1"/>
    <col min="20" max="20" width="8.88671875" style="16" customWidth="1"/>
    <col min="21" max="21" width="6.33203125" style="16" customWidth="1"/>
    <col min="22" max="23" width="6.33203125" style="180" customWidth="1"/>
    <col min="24" max="26" width="6.33203125" style="16" customWidth="1"/>
    <col min="27" max="27" width="8.88671875" style="16" customWidth="1"/>
    <col min="28" max="32" width="6.33203125" style="16" customWidth="1"/>
    <col min="33" max="33" width="6.33203125" style="180" customWidth="1"/>
    <col min="34" max="34" width="3.109375" style="16" customWidth="1"/>
    <col min="35" max="35" width="8.109375" style="293" customWidth="1"/>
    <col min="36" max="40" width="0" style="16" hidden="1" customWidth="1"/>
    <col min="41" max="16384" width="10.88671875" style="16" hidden="1"/>
  </cols>
  <sheetData>
    <row r="1" spans="1:35" s="294" customFormat="1" ht="18" customHeight="1">
      <c r="A1" s="45" t="s">
        <v>203</v>
      </c>
      <c r="B1" s="45" t="s">
        <v>298</v>
      </c>
      <c r="C1" s="45" t="s">
        <v>367</v>
      </c>
      <c r="D1" s="45"/>
      <c r="E1" s="279" t="s">
        <v>204</v>
      </c>
      <c r="F1" s="279" t="s">
        <v>300</v>
      </c>
      <c r="G1" s="279" t="s">
        <v>301</v>
      </c>
      <c r="H1" s="304" t="s">
        <v>205</v>
      </c>
      <c r="I1" s="505" t="s">
        <v>790</v>
      </c>
      <c r="J1" s="505"/>
      <c r="K1" s="279" t="s">
        <v>361</v>
      </c>
      <c r="L1" s="372" t="s">
        <v>376</v>
      </c>
      <c r="M1" s="353" t="s">
        <v>2189</v>
      </c>
      <c r="N1" s="279" t="s">
        <v>369</v>
      </c>
      <c r="O1" s="279" t="s">
        <v>370</v>
      </c>
      <c r="P1" s="279" t="s">
        <v>371</v>
      </c>
      <c r="Q1" s="279" t="s">
        <v>372</v>
      </c>
      <c r="R1" s="279" t="s">
        <v>373</v>
      </c>
      <c r="S1" s="279" t="s">
        <v>374</v>
      </c>
      <c r="T1" s="279" t="s">
        <v>2029</v>
      </c>
      <c r="U1" s="279" t="s">
        <v>2027</v>
      </c>
      <c r="V1" s="279" t="s">
        <v>2021</v>
      </c>
      <c r="W1" s="279" t="s">
        <v>2022</v>
      </c>
      <c r="X1" s="279" t="s">
        <v>2023</v>
      </c>
      <c r="Y1" s="279" t="s">
        <v>2024</v>
      </c>
      <c r="Z1" s="279" t="s">
        <v>2025</v>
      </c>
      <c r="AA1" s="279" t="s">
        <v>2038</v>
      </c>
      <c r="AB1" s="279" t="s">
        <v>2027</v>
      </c>
      <c r="AC1" s="279" t="s">
        <v>2021</v>
      </c>
      <c r="AD1" s="279" t="s">
        <v>2022</v>
      </c>
      <c r="AE1" s="279" t="s">
        <v>2023</v>
      </c>
      <c r="AF1" s="279" t="s">
        <v>2024</v>
      </c>
      <c r="AG1" s="279" t="s">
        <v>2025</v>
      </c>
      <c r="AI1" s="279"/>
    </row>
    <row r="2" spans="1:35" s="183" customFormat="1" ht="18" customHeight="1">
      <c r="A2" s="175" t="s">
        <v>395</v>
      </c>
      <c r="B2" s="175" t="s">
        <v>767</v>
      </c>
      <c r="C2" s="175" t="s">
        <v>485</v>
      </c>
      <c r="D2" s="175" t="s">
        <v>1632</v>
      </c>
      <c r="E2" s="437" t="s">
        <v>190</v>
      </c>
      <c r="F2" s="176">
        <f>'PolyU 參考分數'!AG3</f>
        <v>250.00000000001802</v>
      </c>
      <c r="G2" s="176">
        <f>'PolyU 參考分數'!AG4</f>
        <v>242.50000000001802</v>
      </c>
      <c r="H2" s="193">
        <f>計分版!D108</f>
        <v>1.925E-8</v>
      </c>
      <c r="I2" s="188">
        <f>IF(I$1="差距(Median)",H2-F2,IF(I$1="差距(LQ)",H2-G2))</f>
        <v>-242.49999998076802</v>
      </c>
      <c r="J2" s="189">
        <f>IF(I$1="差距(Median)",(H2-F2)/H2,IF(I$1="差距(LQ)",(H2-G2)/H2))</f>
        <v>-12597402596.403534</v>
      </c>
      <c r="K2" s="276">
        <v>70</v>
      </c>
      <c r="L2" s="380">
        <f>入學要求!S88</f>
        <v>0</v>
      </c>
      <c r="M2" s="355" t="s">
        <v>360</v>
      </c>
      <c r="N2" s="181">
        <v>3</v>
      </c>
      <c r="O2" s="181">
        <v>3</v>
      </c>
      <c r="P2" s="181">
        <v>2</v>
      </c>
      <c r="Q2" s="181">
        <v>2</v>
      </c>
      <c r="R2" s="181">
        <v>3</v>
      </c>
      <c r="S2" s="181">
        <v>3</v>
      </c>
      <c r="T2" s="501" t="s">
        <v>2030</v>
      </c>
      <c r="U2" s="276">
        <f>IF($T$2="2018年",'Offer Statistics'!AX2,IF($T$2="2019年",'Offer Statistics'!AX59,IF($T$2="2020年",'Offer Statistics'!AX116)))</f>
        <v>66</v>
      </c>
      <c r="V2" s="284">
        <f>IF($T$2="2018年",'Offer Statistics'!AS2,IF($T$2="2019年",'Offer Statistics'!AS59,IF($T$2="2020年",'Offer Statistics'!AS116)))</f>
        <v>62</v>
      </c>
      <c r="W2" s="284">
        <f>IF($T$2="2018年",'Offer Statistics'!AT2,IF($T$2="2019年",'Offer Statistics'!AT59,IF($T$2="2020年",'Offer Statistics'!AT116)))</f>
        <v>3</v>
      </c>
      <c r="X2" s="284">
        <f>IF($T$2="2018年",'Offer Statistics'!AU2,IF($T$2="2019年",'Offer Statistics'!AU59,IF($T$2="2020年",'Offer Statistics'!AU116)))</f>
        <v>0</v>
      </c>
      <c r="Y2" s="284">
        <f>IF($T$2="2018年",'Offer Statistics'!AV2,IF($T$2="2019年",'Offer Statistics'!AV59,IF($T$2="2020年",'Offer Statistics'!AV116)))</f>
        <v>1</v>
      </c>
      <c r="Z2" s="284">
        <f>IF($T$2="2018年",'Offer Statistics'!AW2,IF($T$2="2019年",'Offer Statistics'!AW59,IF($T$2="2020年",'Offer Statistics'!AW116)))</f>
        <v>0</v>
      </c>
      <c r="AA2" s="501" t="str">
        <f>T2</f>
        <v>2020年</v>
      </c>
      <c r="AB2" s="276">
        <f>IF($AA$2="2018年",'Offer Statistics'!AP2,IF($AA$2="2019年",'Offer Statistics'!AP59,IF($AA$2="2020年",'Offer Statistics'!AP116)))</f>
        <v>3447</v>
      </c>
      <c r="AC2" s="284">
        <f>IF($AA$2="2018年",'Offer Statistics'!AK2,IF($AA$2="2019年",'Offer Statistics'!AK59,IF($AA$2="2020年",'Offer Statistics'!AK116)))</f>
        <v>424</v>
      </c>
      <c r="AD2" s="284">
        <f>IF($AA$2="2018年",'Offer Statistics'!AL2,IF($AA$2="2019年",'Offer Statistics'!AL59,IF($AA$2="2020年",'Offer Statistics'!AL116)))</f>
        <v>574</v>
      </c>
      <c r="AE2" s="284">
        <f>IF($AA$2="2018年",'Offer Statistics'!AM2,IF($AA$2="2019年",'Offer Statistics'!AM59,IF($AA$2="2020年",'Offer Statistics'!AM116)))</f>
        <v>823</v>
      </c>
      <c r="AF2" s="284">
        <f>IF($AA$2="2018年",'Offer Statistics'!AN2,IF($AA$2="2019年",'Offer Statistics'!AN59,IF($AA$2="2020年",'Offer Statistics'!AN116)))</f>
        <v>925</v>
      </c>
      <c r="AG2" s="284">
        <f>IF($AA$2="2018年",'Offer Statistics'!AO2,IF($AA$2="2019年",'Offer Statistics'!AO59,IF($AA$2="2020年",'Offer Statistics'!AO116)))</f>
        <v>701</v>
      </c>
      <c r="AH2" s="181"/>
      <c r="AI2" s="181" t="str">
        <f>A2</f>
        <v>JS3337</v>
      </c>
    </row>
    <row r="3" spans="1:35" s="183" customFormat="1" ht="18" customHeight="1">
      <c r="A3" s="175" t="s">
        <v>396</v>
      </c>
      <c r="B3" s="175" t="s">
        <v>772</v>
      </c>
      <c r="C3" s="175" t="s">
        <v>486</v>
      </c>
      <c r="D3" s="175" t="s">
        <v>2080</v>
      </c>
      <c r="E3" s="437" t="s">
        <v>189</v>
      </c>
      <c r="F3" s="176">
        <f>'PolyU 參考分數'!AG6</f>
        <v>203.00000000001882</v>
      </c>
      <c r="G3" s="176">
        <f>'PolyU 參考分數'!AG7</f>
        <v>188.00000000001671</v>
      </c>
      <c r="H3" s="193">
        <f>計分版!D109</f>
        <v>2.175E-8</v>
      </c>
      <c r="I3" s="188">
        <f t="shared" ref="I3:I46" si="0">IF(I$1="差距(Median)",H3-F3,IF(I$1="差距(LQ)",H3-G3))</f>
        <v>-187.99999997826671</v>
      </c>
      <c r="J3" s="189">
        <f t="shared" ref="J3:J46" si="1">IF(I$1="差距(Median)",(H3-F3)/H3,IF(I$1="差距(LQ)",(H3-G3)/H3))</f>
        <v>-8643678159.9203091</v>
      </c>
      <c r="K3" s="276">
        <v>26</v>
      </c>
      <c r="L3" s="381">
        <f>入學要求!S89</f>
        <v>0</v>
      </c>
      <c r="M3" s="377" t="s">
        <v>2193</v>
      </c>
      <c r="N3" s="181">
        <v>3</v>
      </c>
      <c r="O3" s="181">
        <v>3</v>
      </c>
      <c r="P3" s="181">
        <v>2</v>
      </c>
      <c r="Q3" s="181">
        <v>2</v>
      </c>
      <c r="R3" s="181">
        <v>3</v>
      </c>
      <c r="S3" s="181">
        <v>3</v>
      </c>
      <c r="T3" s="501"/>
      <c r="U3" s="283">
        <f>IF($T$2="2018年",'Offer Statistics'!AX3,IF($T$2="2019年",'Offer Statistics'!AX60,IF($T$2="2020年",'Offer Statistics'!AX117)))</f>
        <v>25</v>
      </c>
      <c r="V3" s="284">
        <f>IF($T$2="2018年",'Offer Statistics'!AS3,IF($T$2="2019年",'Offer Statistics'!AS60,IF($T$2="2020年",'Offer Statistics'!AS117)))</f>
        <v>17</v>
      </c>
      <c r="W3" s="284">
        <f>IF($T$2="2018年",'Offer Statistics'!AT3,IF($T$2="2019年",'Offer Statistics'!AT60,IF($T$2="2020年",'Offer Statistics'!AT117)))</f>
        <v>4</v>
      </c>
      <c r="X3" s="284">
        <f>IF($T$2="2018年",'Offer Statistics'!AU3,IF($T$2="2019年",'Offer Statistics'!AU60,IF($T$2="2020年",'Offer Statistics'!AU117)))</f>
        <v>3</v>
      </c>
      <c r="Y3" s="284">
        <f>IF($T$2="2018年",'Offer Statistics'!AV3,IF($T$2="2019年",'Offer Statistics'!AV60,IF($T$2="2020年",'Offer Statistics'!AV117)))</f>
        <v>1</v>
      </c>
      <c r="Z3" s="284">
        <f>IF($T$2="2018年",'Offer Statistics'!AW3,IF($T$2="2019年",'Offer Statistics'!AW60,IF($T$2="2020年",'Offer Statistics'!AW117)))</f>
        <v>0</v>
      </c>
      <c r="AA3" s="501"/>
      <c r="AB3" s="283">
        <f>IF($AA$2="2018年",'Offer Statistics'!AP3,IF($AA$2="2019年",'Offer Statistics'!AP60,IF($AA$2="2020年",'Offer Statistics'!AP117)))</f>
        <v>3678</v>
      </c>
      <c r="AC3" s="284">
        <f>IF($AA$2="2018年",'Offer Statistics'!AK3,IF($AA$2="2019年",'Offer Statistics'!AK60,IF($AA$2="2020年",'Offer Statistics'!AK117)))</f>
        <v>271</v>
      </c>
      <c r="AD3" s="284">
        <f>IF($AA$2="2018年",'Offer Statistics'!AL3,IF($AA$2="2019年",'Offer Statistics'!AL60,IF($AA$2="2020年",'Offer Statistics'!AL117)))</f>
        <v>503</v>
      </c>
      <c r="AE3" s="284">
        <f>IF($AA$2="2018年",'Offer Statistics'!AM3,IF($AA$2="2019年",'Offer Statistics'!AM60,IF($AA$2="2020年",'Offer Statistics'!AM117)))</f>
        <v>914</v>
      </c>
      <c r="AF3" s="284">
        <f>IF($AA$2="2018年",'Offer Statistics'!AN3,IF($AA$2="2019年",'Offer Statistics'!AN60,IF($AA$2="2020年",'Offer Statistics'!AN117)))</f>
        <v>1112</v>
      </c>
      <c r="AG3" s="284">
        <f>IF($AA$2="2018年",'Offer Statistics'!AO3,IF($AA$2="2019年",'Offer Statistics'!AO60,IF($AA$2="2020年",'Offer Statistics'!AO117)))</f>
        <v>878</v>
      </c>
      <c r="AH3" s="181"/>
      <c r="AI3" s="338" t="str">
        <f t="shared" ref="AI3:AI46" si="2">A3</f>
        <v>JS3349</v>
      </c>
    </row>
    <row r="4" spans="1:35" s="183" customFormat="1" ht="18" customHeight="1">
      <c r="A4" s="175" t="s">
        <v>397</v>
      </c>
      <c r="B4" s="175" t="s">
        <v>293</v>
      </c>
      <c r="C4" s="175" t="s">
        <v>487</v>
      </c>
      <c r="D4" s="175" t="s">
        <v>2081</v>
      </c>
      <c r="E4" s="437" t="s">
        <v>189</v>
      </c>
      <c r="F4" s="176">
        <f>'PolyU 參考分數'!AG9</f>
        <v>186.00000000001882</v>
      </c>
      <c r="G4" s="176">
        <f>'PolyU 參考分數'!AG10</f>
        <v>170.00000000002299</v>
      </c>
      <c r="H4" s="193">
        <f>計分版!D110</f>
        <v>2.175E-8</v>
      </c>
      <c r="I4" s="188">
        <f t="shared" si="0"/>
        <v>-169.999999978273</v>
      </c>
      <c r="J4" s="189">
        <f t="shared" si="1"/>
        <v>-7816091953.0240459</v>
      </c>
      <c r="K4" s="276">
        <v>23</v>
      </c>
      <c r="L4" s="381">
        <f>入學要求!S90</f>
        <v>0</v>
      </c>
      <c r="M4" s="355" t="s">
        <v>2194</v>
      </c>
      <c r="N4" s="181">
        <v>3</v>
      </c>
      <c r="O4" s="181">
        <v>3</v>
      </c>
      <c r="P4" s="181">
        <v>2</v>
      </c>
      <c r="Q4" s="181">
        <v>2</v>
      </c>
      <c r="R4" s="181">
        <v>3</v>
      </c>
      <c r="S4" s="181">
        <v>3</v>
      </c>
      <c r="T4" s="501"/>
      <c r="U4" s="283">
        <f>IF($T$2="2018年",'Offer Statistics'!AX4,IF($T$2="2019年",'Offer Statistics'!AX61,IF($T$2="2020年",'Offer Statistics'!AX118)))</f>
        <v>25</v>
      </c>
      <c r="V4" s="284">
        <f>IF($T$2="2018年",'Offer Statistics'!AS4,IF($T$2="2019年",'Offer Statistics'!AS61,IF($T$2="2020年",'Offer Statistics'!AS118)))</f>
        <v>18</v>
      </c>
      <c r="W4" s="284">
        <f>IF($T$2="2018年",'Offer Statistics'!AT4,IF($T$2="2019年",'Offer Statistics'!AT61,IF($T$2="2020年",'Offer Statistics'!AT118)))</f>
        <v>4</v>
      </c>
      <c r="X4" s="284">
        <f>IF($T$2="2018年",'Offer Statistics'!AU4,IF($T$2="2019年",'Offer Statistics'!AU61,IF($T$2="2020年",'Offer Statistics'!AU118)))</f>
        <v>3</v>
      </c>
      <c r="Y4" s="284">
        <f>IF($T$2="2018年",'Offer Statistics'!AV4,IF($T$2="2019年",'Offer Statistics'!AV61,IF($T$2="2020年",'Offer Statistics'!AV118)))</f>
        <v>0</v>
      </c>
      <c r="Z4" s="284">
        <f>IF($T$2="2018年",'Offer Statistics'!AW4,IF($T$2="2019年",'Offer Statistics'!AW61,IF($T$2="2020年",'Offer Statistics'!AW118)))</f>
        <v>0</v>
      </c>
      <c r="AA4" s="501"/>
      <c r="AB4" s="283">
        <f>IF($AA$2="2018年",'Offer Statistics'!AP4,IF($AA$2="2019年",'Offer Statistics'!AP61,IF($AA$2="2020年",'Offer Statistics'!AP118)))</f>
        <v>1752</v>
      </c>
      <c r="AC4" s="284">
        <f>IF($AA$2="2018年",'Offer Statistics'!AK4,IF($AA$2="2019年",'Offer Statistics'!AK61,IF($AA$2="2020年",'Offer Statistics'!AK118)))</f>
        <v>197</v>
      </c>
      <c r="AD4" s="284">
        <f>IF($AA$2="2018年",'Offer Statistics'!AL4,IF($AA$2="2019年",'Offer Statistics'!AL61,IF($AA$2="2020年",'Offer Statistics'!AL118)))</f>
        <v>271</v>
      </c>
      <c r="AE4" s="284">
        <f>IF($AA$2="2018年",'Offer Statistics'!AM4,IF($AA$2="2019年",'Offer Statistics'!AM61,IF($AA$2="2020年",'Offer Statistics'!AM118)))</f>
        <v>407</v>
      </c>
      <c r="AF4" s="284">
        <f>IF($AA$2="2018年",'Offer Statistics'!AN4,IF($AA$2="2019年",'Offer Statistics'!AN61,IF($AA$2="2020年",'Offer Statistics'!AN118)))</f>
        <v>476</v>
      </c>
      <c r="AG4" s="284">
        <f>IF($AA$2="2018年",'Offer Statistics'!AO4,IF($AA$2="2019年",'Offer Statistics'!AO61,IF($AA$2="2020年",'Offer Statistics'!AO118)))</f>
        <v>401</v>
      </c>
      <c r="AH4" s="181"/>
      <c r="AI4" s="338" t="str">
        <f t="shared" si="2"/>
        <v>JS3351</v>
      </c>
    </row>
    <row r="5" spans="1:35" s="183" customFormat="1" ht="18" customHeight="1">
      <c r="A5" s="175" t="s">
        <v>398</v>
      </c>
      <c r="B5" s="175" t="s">
        <v>770</v>
      </c>
      <c r="C5" s="175" t="s">
        <v>488</v>
      </c>
      <c r="D5" s="175" t="s">
        <v>2082</v>
      </c>
      <c r="E5" s="249" t="s">
        <v>189</v>
      </c>
      <c r="F5" s="176">
        <f>'PolyU 參考分數'!AG12</f>
        <v>178.00000000001671</v>
      </c>
      <c r="G5" s="176">
        <f>'PolyU 參考分數'!AG13</f>
        <v>171.00000000001882</v>
      </c>
      <c r="H5" s="193">
        <f>計分版!D111</f>
        <v>1.9750000000000001E-8</v>
      </c>
      <c r="I5" s="188">
        <f t="shared" si="0"/>
        <v>-170.99999998026883</v>
      </c>
      <c r="J5" s="189">
        <f t="shared" si="1"/>
        <v>-8658227847.1022186</v>
      </c>
      <c r="K5" s="276">
        <v>27</v>
      </c>
      <c r="L5" s="381">
        <f>入學要求!S91</f>
        <v>0</v>
      </c>
      <c r="M5" s="377" t="s">
        <v>2193</v>
      </c>
      <c r="N5" s="181">
        <v>3</v>
      </c>
      <c r="O5" s="181">
        <v>3</v>
      </c>
      <c r="P5" s="181">
        <v>2</v>
      </c>
      <c r="Q5" s="181">
        <v>2</v>
      </c>
      <c r="R5" s="181">
        <v>3</v>
      </c>
      <c r="S5" s="181">
        <v>3</v>
      </c>
      <c r="T5" s="501"/>
      <c r="U5" s="283">
        <f>IF($T$2="2018年",'Offer Statistics'!AX5,IF($T$2="2019年",'Offer Statistics'!AX62,IF($T$2="2020年",'Offer Statistics'!AX119)))</f>
        <v>25</v>
      </c>
      <c r="V5" s="284">
        <f>IF($T$2="2018年",'Offer Statistics'!AS5,IF($T$2="2019年",'Offer Statistics'!AS62,IF($T$2="2020年",'Offer Statistics'!AS119)))</f>
        <v>15</v>
      </c>
      <c r="W5" s="284">
        <f>IF($T$2="2018年",'Offer Statistics'!AT5,IF($T$2="2019年",'Offer Statistics'!AT62,IF($T$2="2020年",'Offer Statistics'!AT119)))</f>
        <v>3</v>
      </c>
      <c r="X5" s="284">
        <f>IF($T$2="2018年",'Offer Statistics'!AU5,IF($T$2="2019年",'Offer Statistics'!AU62,IF($T$2="2020年",'Offer Statistics'!AU119)))</f>
        <v>5</v>
      </c>
      <c r="Y5" s="284">
        <f>IF($T$2="2018年",'Offer Statistics'!AV5,IF($T$2="2019年",'Offer Statistics'!AV62,IF($T$2="2020年",'Offer Statistics'!AV119)))</f>
        <v>1</v>
      </c>
      <c r="Z5" s="284">
        <f>IF($T$2="2018年",'Offer Statistics'!AW5,IF($T$2="2019年",'Offer Statistics'!AW62,IF($T$2="2020年",'Offer Statistics'!AW119)))</f>
        <v>1</v>
      </c>
      <c r="AA5" s="501"/>
      <c r="AB5" s="283">
        <f>IF($AA$2="2018年",'Offer Statistics'!AP5,IF($AA$2="2019年",'Offer Statistics'!AP62,IF($AA$2="2020年",'Offer Statistics'!AP119)))</f>
        <v>2166</v>
      </c>
      <c r="AC5" s="284">
        <f>IF($AA$2="2018年",'Offer Statistics'!AK5,IF($AA$2="2019年",'Offer Statistics'!AK62,IF($AA$2="2020年",'Offer Statistics'!AK119)))</f>
        <v>184</v>
      </c>
      <c r="AD5" s="284">
        <f>IF($AA$2="2018年",'Offer Statistics'!AL5,IF($AA$2="2019年",'Offer Statistics'!AL62,IF($AA$2="2020年",'Offer Statistics'!AL119)))</f>
        <v>339</v>
      </c>
      <c r="AE5" s="284">
        <f>IF($AA$2="2018年",'Offer Statistics'!AM5,IF($AA$2="2019年",'Offer Statistics'!AM62,IF($AA$2="2020年",'Offer Statistics'!AM119)))</f>
        <v>494</v>
      </c>
      <c r="AF5" s="284">
        <f>IF($AA$2="2018年",'Offer Statistics'!AN5,IF($AA$2="2019年",'Offer Statistics'!AN62,IF($AA$2="2020年",'Offer Statistics'!AN119)))</f>
        <v>662</v>
      </c>
      <c r="AG5" s="284">
        <f>IF($AA$2="2018年",'Offer Statistics'!AO5,IF($AA$2="2019年",'Offer Statistics'!AO62,IF($AA$2="2020年",'Offer Statistics'!AO119)))</f>
        <v>487</v>
      </c>
      <c r="AH5" s="181"/>
      <c r="AI5" s="338" t="str">
        <f t="shared" si="2"/>
        <v>JS3375</v>
      </c>
    </row>
    <row r="6" spans="1:35" s="183" customFormat="1" ht="18" customHeight="1">
      <c r="A6" s="175" t="s">
        <v>399</v>
      </c>
      <c r="B6" s="175" t="s">
        <v>770</v>
      </c>
      <c r="C6" s="175" t="s">
        <v>489</v>
      </c>
      <c r="D6" s="175" t="s">
        <v>1637</v>
      </c>
      <c r="E6" s="249" t="s">
        <v>189</v>
      </c>
      <c r="F6" s="176">
        <f>'PolyU 參考分數'!AG15</f>
        <v>164.50000000001202</v>
      </c>
      <c r="G6" s="176">
        <f>'PolyU 參考分數'!AG16</f>
        <v>163.500000000011</v>
      </c>
      <c r="H6" s="193">
        <f>計分版!D112</f>
        <v>1.9750000000000001E-8</v>
      </c>
      <c r="I6" s="188">
        <f t="shared" si="0"/>
        <v>-163.49999998026101</v>
      </c>
      <c r="J6" s="189">
        <f t="shared" si="1"/>
        <v>-8278481011.6587849</v>
      </c>
      <c r="K6" s="276">
        <v>37</v>
      </c>
      <c r="L6" s="381">
        <f>入學要求!S92</f>
        <v>0</v>
      </c>
      <c r="M6" s="377" t="s">
        <v>2193</v>
      </c>
      <c r="N6" s="181">
        <v>3</v>
      </c>
      <c r="O6" s="181">
        <v>3</v>
      </c>
      <c r="P6" s="181">
        <v>2</v>
      </c>
      <c r="Q6" s="181">
        <v>2</v>
      </c>
      <c r="R6" s="181">
        <v>3</v>
      </c>
      <c r="S6" s="181">
        <v>3</v>
      </c>
      <c r="T6" s="501"/>
      <c r="U6" s="283">
        <f>IF($T$2="2018年",'Offer Statistics'!AX6,IF($T$2="2019年",'Offer Statistics'!AX63,IF($T$2="2020年",'Offer Statistics'!AX120)))</f>
        <v>33</v>
      </c>
      <c r="V6" s="284">
        <f>IF($T$2="2018年",'Offer Statistics'!AS6,IF($T$2="2019年",'Offer Statistics'!AS63,IF($T$2="2020年",'Offer Statistics'!AS120)))</f>
        <v>31</v>
      </c>
      <c r="W6" s="284">
        <f>IF($T$2="2018年",'Offer Statistics'!AT6,IF($T$2="2019年",'Offer Statistics'!AT63,IF($T$2="2020年",'Offer Statistics'!AT120)))</f>
        <v>2</v>
      </c>
      <c r="X6" s="284">
        <f>IF($T$2="2018年",'Offer Statistics'!AU6,IF($T$2="2019年",'Offer Statistics'!AU63,IF($T$2="2020年",'Offer Statistics'!AU120)))</f>
        <v>0</v>
      </c>
      <c r="Y6" s="284">
        <f>IF($T$2="2018年",'Offer Statistics'!AV6,IF($T$2="2019年",'Offer Statistics'!AV63,IF($T$2="2020年",'Offer Statistics'!AV120)))</f>
        <v>0</v>
      </c>
      <c r="Z6" s="284">
        <f>IF($T$2="2018年",'Offer Statistics'!AW6,IF($T$2="2019年",'Offer Statistics'!AW63,IF($T$2="2020年",'Offer Statistics'!AW120)))</f>
        <v>0</v>
      </c>
      <c r="AA6" s="501"/>
      <c r="AB6" s="283">
        <f>IF($AA$2="2018年",'Offer Statistics'!AP6,IF($AA$2="2019年",'Offer Statistics'!AP63,IF($AA$2="2020年",'Offer Statistics'!AP120)))</f>
        <v>1804</v>
      </c>
      <c r="AC6" s="284">
        <f>IF($AA$2="2018年",'Offer Statistics'!AK6,IF($AA$2="2019年",'Offer Statistics'!AK63,IF($AA$2="2020年",'Offer Statistics'!AK120)))</f>
        <v>239</v>
      </c>
      <c r="AD6" s="284">
        <f>IF($AA$2="2018年",'Offer Statistics'!AL6,IF($AA$2="2019年",'Offer Statistics'!AL63,IF($AA$2="2020年",'Offer Statistics'!AL120)))</f>
        <v>246</v>
      </c>
      <c r="AE6" s="284">
        <f>IF($AA$2="2018年",'Offer Statistics'!AM6,IF($AA$2="2019年",'Offer Statistics'!AM63,IF($AA$2="2020年",'Offer Statistics'!AM120)))</f>
        <v>373</v>
      </c>
      <c r="AF6" s="284">
        <f>IF($AA$2="2018年",'Offer Statistics'!AN6,IF($AA$2="2019年",'Offer Statistics'!AN63,IF($AA$2="2020年",'Offer Statistics'!AN120)))</f>
        <v>557</v>
      </c>
      <c r="AG6" s="284">
        <f>IF($AA$2="2018年",'Offer Statistics'!AO6,IF($AA$2="2019年",'Offer Statistics'!AO63,IF($AA$2="2020年",'Offer Statistics'!AO120)))</f>
        <v>389</v>
      </c>
      <c r="AH6" s="181"/>
      <c r="AI6" s="338" t="str">
        <f t="shared" si="2"/>
        <v>JS3387</v>
      </c>
    </row>
    <row r="7" spans="1:35" s="183" customFormat="1" ht="18" customHeight="1">
      <c r="A7" s="175" t="s">
        <v>791</v>
      </c>
      <c r="B7" s="175" t="s">
        <v>770</v>
      </c>
      <c r="C7" s="175" t="s">
        <v>490</v>
      </c>
      <c r="D7" s="175" t="s">
        <v>2083</v>
      </c>
      <c r="E7" s="437" t="s">
        <v>189</v>
      </c>
      <c r="F7" s="176">
        <f>'PolyU 參考分數'!AG18</f>
        <v>144.50000000001012</v>
      </c>
      <c r="G7" s="176">
        <f>'PolyU 參考分數'!AG19</f>
        <v>137.0000000000106</v>
      </c>
      <c r="H7" s="193">
        <f>計分版!D113</f>
        <v>3.875E-8</v>
      </c>
      <c r="I7" s="188">
        <f t="shared" si="0"/>
        <v>-136.99999996126061</v>
      </c>
      <c r="J7" s="189">
        <f t="shared" si="1"/>
        <v>-3535483869.9680157</v>
      </c>
      <c r="K7" s="276">
        <v>22</v>
      </c>
      <c r="L7" s="381">
        <f>入學要求!S93</f>
        <v>0</v>
      </c>
      <c r="M7" s="377" t="s">
        <v>2193</v>
      </c>
      <c r="N7" s="181">
        <v>3</v>
      </c>
      <c r="O7" s="181">
        <v>3</v>
      </c>
      <c r="P7" s="181">
        <v>2</v>
      </c>
      <c r="Q7" s="181">
        <v>2</v>
      </c>
      <c r="R7" s="181">
        <v>3</v>
      </c>
      <c r="S7" s="181">
        <v>3</v>
      </c>
      <c r="T7" s="501"/>
      <c r="U7" s="283">
        <f>IF($T$2="2018年",'Offer Statistics'!AX7,IF($T$2="2019年",'Offer Statistics'!AX64,IF($T$2="2020年",'Offer Statistics'!AX121)))</f>
        <v>23</v>
      </c>
      <c r="V7" s="284">
        <f>IF($T$2="2018年",'Offer Statistics'!AS7,IF($T$2="2019年",'Offer Statistics'!AS64,IF($T$2="2020年",'Offer Statistics'!AS121)))</f>
        <v>22</v>
      </c>
      <c r="W7" s="284">
        <f>IF($T$2="2018年",'Offer Statistics'!AT7,IF($T$2="2019年",'Offer Statistics'!AT64,IF($T$2="2020年",'Offer Statistics'!AT121)))</f>
        <v>0</v>
      </c>
      <c r="X7" s="284">
        <f>IF($T$2="2018年",'Offer Statistics'!AU7,IF($T$2="2019年",'Offer Statistics'!AU64,IF($T$2="2020年",'Offer Statistics'!AU121)))</f>
        <v>1</v>
      </c>
      <c r="Y7" s="284">
        <f>IF($T$2="2018年",'Offer Statistics'!AV7,IF($T$2="2019年",'Offer Statistics'!AV64,IF($T$2="2020年",'Offer Statistics'!AV121)))</f>
        <v>0</v>
      </c>
      <c r="Z7" s="284">
        <f>IF($T$2="2018年",'Offer Statistics'!AW7,IF($T$2="2019年",'Offer Statistics'!AW64,IF($T$2="2020年",'Offer Statistics'!AW121)))</f>
        <v>0</v>
      </c>
      <c r="AA7" s="501"/>
      <c r="AB7" s="283">
        <f>IF($AA$2="2018年",'Offer Statistics'!AP7,IF($AA$2="2019年",'Offer Statistics'!AP64,IF($AA$2="2020年",'Offer Statistics'!AP121)))</f>
        <v>2186</v>
      </c>
      <c r="AC7" s="284">
        <f>IF($AA$2="2018年",'Offer Statistics'!AK7,IF($AA$2="2019年",'Offer Statistics'!AK64,IF($AA$2="2020年",'Offer Statistics'!AK121)))</f>
        <v>295</v>
      </c>
      <c r="AD7" s="284">
        <f>IF($AA$2="2018年",'Offer Statistics'!AL7,IF($AA$2="2019年",'Offer Statistics'!AL64,IF($AA$2="2020年",'Offer Statistics'!AL121)))</f>
        <v>330</v>
      </c>
      <c r="AE7" s="284">
        <f>IF($AA$2="2018年",'Offer Statistics'!AM7,IF($AA$2="2019年",'Offer Statistics'!AM64,IF($AA$2="2020年",'Offer Statistics'!AM121)))</f>
        <v>467</v>
      </c>
      <c r="AF7" s="284">
        <f>IF($AA$2="2018年",'Offer Statistics'!AN7,IF($AA$2="2019年",'Offer Statistics'!AN64,IF($AA$2="2020年",'Offer Statistics'!AN121)))</f>
        <v>595</v>
      </c>
      <c r="AG7" s="284">
        <f>IF($AA$2="2018年",'Offer Statistics'!AO7,IF($AA$2="2019年",'Offer Statistics'!AO64,IF($AA$2="2020年",'Offer Statistics'!AO121)))</f>
        <v>499</v>
      </c>
      <c r="AH7" s="181"/>
      <c r="AI7" s="338" t="str">
        <f t="shared" si="2"/>
        <v>JS3442</v>
      </c>
    </row>
    <row r="8" spans="1:35" s="183" customFormat="1" ht="18" customHeight="1">
      <c r="A8" s="175" t="s">
        <v>401</v>
      </c>
      <c r="B8" s="175" t="s">
        <v>771</v>
      </c>
      <c r="C8" s="175" t="s">
        <v>491</v>
      </c>
      <c r="D8" s="175" t="s">
        <v>2084</v>
      </c>
      <c r="E8" s="437" t="s">
        <v>189</v>
      </c>
      <c r="F8" s="176">
        <f>'PolyU 參考分數'!AG21</f>
        <v>172.50000000001202</v>
      </c>
      <c r="G8" s="176">
        <f>'PolyU 參考分數'!AG22</f>
        <v>163.500000000011</v>
      </c>
      <c r="H8" s="193">
        <f>計分版!D114</f>
        <v>1.8250000000000001E-8</v>
      </c>
      <c r="I8" s="188">
        <f t="shared" si="0"/>
        <v>-163.49999998176099</v>
      </c>
      <c r="J8" s="189">
        <f t="shared" si="1"/>
        <v>-8958904108.5896435</v>
      </c>
      <c r="K8" s="276">
        <v>38</v>
      </c>
      <c r="L8" s="381">
        <f>入學要求!S94</f>
        <v>0</v>
      </c>
      <c r="M8" s="355" t="s">
        <v>2188</v>
      </c>
      <c r="N8" s="181">
        <v>3</v>
      </c>
      <c r="O8" s="181">
        <v>3</v>
      </c>
      <c r="P8" s="181">
        <v>2</v>
      </c>
      <c r="Q8" s="181">
        <v>2</v>
      </c>
      <c r="R8" s="181">
        <v>3</v>
      </c>
      <c r="S8" s="181">
        <v>3</v>
      </c>
      <c r="T8" s="501"/>
      <c r="U8" s="283">
        <f>IF($T$2="2018年",'Offer Statistics'!AX8,IF($T$2="2019年",'Offer Statistics'!AX65,IF($T$2="2020年",'Offer Statistics'!AX122)))</f>
        <v>38</v>
      </c>
      <c r="V8" s="284">
        <f>IF($T$2="2018年",'Offer Statistics'!AS8,IF($T$2="2019年",'Offer Statistics'!AS65,IF($T$2="2020年",'Offer Statistics'!AS122)))</f>
        <v>36</v>
      </c>
      <c r="W8" s="284">
        <f>IF($T$2="2018年",'Offer Statistics'!AT8,IF($T$2="2019年",'Offer Statistics'!AT65,IF($T$2="2020年",'Offer Statistics'!AT122)))</f>
        <v>2</v>
      </c>
      <c r="X8" s="284">
        <f>IF($T$2="2018年",'Offer Statistics'!AU8,IF($T$2="2019年",'Offer Statistics'!AU65,IF($T$2="2020年",'Offer Statistics'!AU122)))</f>
        <v>0</v>
      </c>
      <c r="Y8" s="284">
        <f>IF($T$2="2018年",'Offer Statistics'!AV8,IF($T$2="2019年",'Offer Statistics'!AV65,IF($T$2="2020年",'Offer Statistics'!AV122)))</f>
        <v>0</v>
      </c>
      <c r="Z8" s="284">
        <f>IF($T$2="2018年",'Offer Statistics'!AW8,IF($T$2="2019年",'Offer Statistics'!AW65,IF($T$2="2020年",'Offer Statistics'!AW122)))</f>
        <v>0</v>
      </c>
      <c r="AA8" s="501"/>
      <c r="AB8" s="283">
        <f>IF($AA$2="2018年",'Offer Statistics'!AP8,IF($AA$2="2019年",'Offer Statistics'!AP65,IF($AA$2="2020年",'Offer Statistics'!AP122)))</f>
        <v>3410</v>
      </c>
      <c r="AC8" s="284">
        <f>IF($AA$2="2018年",'Offer Statistics'!AK8,IF($AA$2="2019年",'Offer Statistics'!AK65,IF($AA$2="2020年",'Offer Statistics'!AK122)))</f>
        <v>377</v>
      </c>
      <c r="AD8" s="284">
        <f>IF($AA$2="2018年",'Offer Statistics'!AL8,IF($AA$2="2019年",'Offer Statistics'!AL65,IF($AA$2="2020年",'Offer Statistics'!AL122)))</f>
        <v>626</v>
      </c>
      <c r="AE8" s="284">
        <f>IF($AA$2="2018年",'Offer Statistics'!AM8,IF($AA$2="2019年",'Offer Statistics'!AM65,IF($AA$2="2020年",'Offer Statistics'!AM122)))</f>
        <v>862</v>
      </c>
      <c r="AF8" s="284">
        <f>IF($AA$2="2018年",'Offer Statistics'!AN8,IF($AA$2="2019年",'Offer Statistics'!AN65,IF($AA$2="2020年",'Offer Statistics'!AN122)))</f>
        <v>937</v>
      </c>
      <c r="AG8" s="284">
        <f>IF($AA$2="2018年",'Offer Statistics'!AO8,IF($AA$2="2019年",'Offer Statistics'!AO65,IF($AA$2="2020年",'Offer Statistics'!AO122)))</f>
        <v>608</v>
      </c>
      <c r="AH8" s="181"/>
      <c r="AI8" s="338" t="str">
        <f t="shared" si="2"/>
        <v>JS3466</v>
      </c>
    </row>
    <row r="9" spans="1:35" s="183" customFormat="1" ht="18" customHeight="1">
      <c r="A9" s="175" t="s">
        <v>402</v>
      </c>
      <c r="B9" s="175" t="s">
        <v>767</v>
      </c>
      <c r="C9" s="175" t="s">
        <v>2302</v>
      </c>
      <c r="D9" s="175" t="s">
        <v>2085</v>
      </c>
      <c r="E9" s="437" t="s">
        <v>548</v>
      </c>
      <c r="F9" s="176">
        <f>'PolyU 參考分數'!AG24</f>
        <v>323.50000000002012</v>
      </c>
      <c r="G9" s="176">
        <f>'PolyU 參考分數'!AG25</f>
        <v>316.50000000002149</v>
      </c>
      <c r="H9" s="193">
        <f>計分版!D115</f>
        <v>2.475E-8</v>
      </c>
      <c r="I9" s="188">
        <f t="shared" si="0"/>
        <v>-316.49999997527146</v>
      </c>
      <c r="J9" s="189">
        <f t="shared" si="1"/>
        <v>-12787878786.879656</v>
      </c>
      <c r="K9" s="276">
        <v>54</v>
      </c>
      <c r="L9" s="381">
        <f>入學要求!S95</f>
        <v>0</v>
      </c>
      <c r="M9" s="355" t="s">
        <v>360</v>
      </c>
      <c r="N9" s="181">
        <v>3</v>
      </c>
      <c r="O9" s="181">
        <v>3</v>
      </c>
      <c r="P9" s="181">
        <v>2</v>
      </c>
      <c r="Q9" s="181">
        <v>2</v>
      </c>
      <c r="R9" s="181">
        <v>3</v>
      </c>
      <c r="S9" s="181">
        <v>3</v>
      </c>
      <c r="T9" s="501"/>
      <c r="U9" s="283">
        <f>IF($T$2="2018年",'Offer Statistics'!AX9,IF($T$2="2019年",'Offer Statistics'!AX66,IF($T$2="2020年",'Offer Statistics'!AX123)))</f>
        <v>55</v>
      </c>
      <c r="V9" s="284">
        <f>IF($T$2="2018年",'Offer Statistics'!AS9,IF($T$2="2019年",'Offer Statistics'!AS66,IF($T$2="2020年",'Offer Statistics'!AS123)))</f>
        <v>53</v>
      </c>
      <c r="W9" s="284">
        <f>IF($T$2="2018年",'Offer Statistics'!AT9,IF($T$2="2019年",'Offer Statistics'!AT66,IF($T$2="2020年",'Offer Statistics'!AT123)))</f>
        <v>1</v>
      </c>
      <c r="X9" s="284">
        <f>IF($T$2="2018年",'Offer Statistics'!AU9,IF($T$2="2019年",'Offer Statistics'!AU66,IF($T$2="2020年",'Offer Statistics'!AU123)))</f>
        <v>0</v>
      </c>
      <c r="Y9" s="284">
        <f>IF($T$2="2018年",'Offer Statistics'!AV9,IF($T$2="2019年",'Offer Statistics'!AV66,IF($T$2="2020年",'Offer Statistics'!AV123)))</f>
        <v>1</v>
      </c>
      <c r="Z9" s="284">
        <f>IF($T$2="2018年",'Offer Statistics'!AW9,IF($T$2="2019年",'Offer Statistics'!AW66,IF($T$2="2020年",'Offer Statistics'!AW123)))</f>
        <v>0</v>
      </c>
      <c r="AA9" s="501"/>
      <c r="AB9" s="283">
        <f>IF($AA$2="2018年",'Offer Statistics'!AP9,IF($AA$2="2019年",'Offer Statistics'!AP66,IF($AA$2="2020年",'Offer Statistics'!AP123)))</f>
        <v>2013</v>
      </c>
      <c r="AC9" s="284">
        <f>IF($AA$2="2018年",'Offer Statistics'!AK9,IF($AA$2="2019年",'Offer Statistics'!AK66,IF($AA$2="2020年",'Offer Statistics'!AK123)))</f>
        <v>286</v>
      </c>
      <c r="AD9" s="284">
        <f>IF($AA$2="2018年",'Offer Statistics'!AL9,IF($AA$2="2019年",'Offer Statistics'!AL66,IF($AA$2="2020年",'Offer Statistics'!AL123)))</f>
        <v>246</v>
      </c>
      <c r="AE9" s="284">
        <f>IF($AA$2="2018年",'Offer Statistics'!AM9,IF($AA$2="2019年",'Offer Statistics'!AM66,IF($AA$2="2020年",'Offer Statistics'!AM123)))</f>
        <v>410</v>
      </c>
      <c r="AF9" s="284">
        <f>IF($AA$2="2018年",'Offer Statistics'!AN9,IF($AA$2="2019年",'Offer Statistics'!AN66,IF($AA$2="2020年",'Offer Statistics'!AN123)))</f>
        <v>559</v>
      </c>
      <c r="AG9" s="284">
        <f>IF($AA$2="2018年",'Offer Statistics'!AO9,IF($AA$2="2019年",'Offer Statistics'!AO66,IF($AA$2="2020年",'Offer Statistics'!AO123)))</f>
        <v>512</v>
      </c>
      <c r="AH9" s="181"/>
      <c r="AI9" s="338" t="str">
        <f t="shared" si="2"/>
        <v>JS3478</v>
      </c>
    </row>
    <row r="10" spans="1:35" s="183" customFormat="1" ht="18" customHeight="1">
      <c r="A10" s="175" t="s">
        <v>403</v>
      </c>
      <c r="B10" s="175" t="s">
        <v>772</v>
      </c>
      <c r="C10" s="175" t="s">
        <v>493</v>
      </c>
      <c r="D10" s="175" t="s">
        <v>2086</v>
      </c>
      <c r="E10" s="437" t="s">
        <v>189</v>
      </c>
      <c r="F10" s="176">
        <f>'PolyU 參考分數'!AG27</f>
        <v>176.00000000001791</v>
      </c>
      <c r="G10" s="176">
        <f>'PolyU 參考分數'!AG28</f>
        <v>166.00000000001791</v>
      </c>
      <c r="H10" s="193">
        <f>計分版!D116</f>
        <v>1.9750000000000001E-8</v>
      </c>
      <c r="I10" s="188">
        <f t="shared" si="0"/>
        <v>-165.99999998026792</v>
      </c>
      <c r="J10" s="189">
        <f t="shared" si="1"/>
        <v>-8405063290.1401472</v>
      </c>
      <c r="K10" s="276">
        <v>92</v>
      </c>
      <c r="L10" s="381">
        <f>入學要求!S96</f>
        <v>0</v>
      </c>
      <c r="M10" s="355" t="s">
        <v>360</v>
      </c>
      <c r="N10" s="181">
        <v>3</v>
      </c>
      <c r="O10" s="181">
        <v>3</v>
      </c>
      <c r="P10" s="181">
        <v>2</v>
      </c>
      <c r="Q10" s="181">
        <v>2</v>
      </c>
      <c r="R10" s="181">
        <v>3</v>
      </c>
      <c r="S10" s="181">
        <v>3</v>
      </c>
      <c r="T10" s="501"/>
      <c r="U10" s="283">
        <f>IF($T$2="2018年",'Offer Statistics'!AX10,IF($T$2="2019年",'Offer Statistics'!AX67,IF($T$2="2020年",'Offer Statistics'!AX124)))</f>
        <v>92</v>
      </c>
      <c r="V10" s="284">
        <f>IF($T$2="2018年",'Offer Statistics'!AS10,IF($T$2="2019年",'Offer Statistics'!AS67,IF($T$2="2020年",'Offer Statistics'!AS124)))</f>
        <v>77</v>
      </c>
      <c r="W10" s="284">
        <f>IF($T$2="2018年",'Offer Statistics'!AT10,IF($T$2="2019年",'Offer Statistics'!AT67,IF($T$2="2020年",'Offer Statistics'!AT124)))</f>
        <v>6</v>
      </c>
      <c r="X10" s="284">
        <f>IF($T$2="2018年",'Offer Statistics'!AU10,IF($T$2="2019年",'Offer Statistics'!AU67,IF($T$2="2020年",'Offer Statistics'!AU124)))</f>
        <v>6</v>
      </c>
      <c r="Y10" s="284">
        <f>IF($T$2="2018年",'Offer Statistics'!AV10,IF($T$2="2019年",'Offer Statistics'!AV67,IF($T$2="2020年",'Offer Statistics'!AV124)))</f>
        <v>3</v>
      </c>
      <c r="Z10" s="284">
        <f>IF($T$2="2018年",'Offer Statistics'!AW10,IF($T$2="2019年",'Offer Statistics'!AW67,IF($T$2="2020年",'Offer Statistics'!AW124)))</f>
        <v>0</v>
      </c>
      <c r="AA10" s="501"/>
      <c r="AB10" s="283">
        <f>IF($AA$2="2018年",'Offer Statistics'!AP10,IF($AA$2="2019年",'Offer Statistics'!AP67,IF($AA$2="2020年",'Offer Statistics'!AP124)))</f>
        <v>2243</v>
      </c>
      <c r="AC10" s="284">
        <f>IF($AA$2="2018年",'Offer Statistics'!AK10,IF($AA$2="2019年",'Offer Statistics'!AK67,IF($AA$2="2020年",'Offer Statistics'!AK124)))</f>
        <v>560</v>
      </c>
      <c r="AD10" s="284">
        <f>IF($AA$2="2018年",'Offer Statistics'!AL10,IF($AA$2="2019年",'Offer Statistics'!AL67,IF($AA$2="2020年",'Offer Statistics'!AL124)))</f>
        <v>357</v>
      </c>
      <c r="AE10" s="284">
        <f>IF($AA$2="2018年",'Offer Statistics'!AM10,IF($AA$2="2019年",'Offer Statistics'!AM67,IF($AA$2="2020年",'Offer Statistics'!AM124)))</f>
        <v>427</v>
      </c>
      <c r="AF10" s="284">
        <f>IF($AA$2="2018年",'Offer Statistics'!AN10,IF($AA$2="2019年",'Offer Statistics'!AN67,IF($AA$2="2020年",'Offer Statistics'!AN124)))</f>
        <v>555</v>
      </c>
      <c r="AG10" s="284">
        <f>IF($AA$2="2018年",'Offer Statistics'!AO10,IF($AA$2="2019年",'Offer Statistics'!AO67,IF($AA$2="2020年",'Offer Statistics'!AO124)))</f>
        <v>344</v>
      </c>
      <c r="AH10" s="181"/>
      <c r="AI10" s="338" t="str">
        <f t="shared" si="2"/>
        <v>JS3492</v>
      </c>
    </row>
    <row r="11" spans="1:35" s="183" customFormat="1" ht="18" customHeight="1">
      <c r="A11" s="175" t="s">
        <v>404</v>
      </c>
      <c r="B11" s="175" t="s">
        <v>293</v>
      </c>
      <c r="C11" s="175" t="s">
        <v>494</v>
      </c>
      <c r="D11" s="175" t="s">
        <v>2087</v>
      </c>
      <c r="E11" s="437" t="s">
        <v>189</v>
      </c>
      <c r="F11" s="176">
        <f>'PolyU 參考分數'!AG30</f>
        <v>185.00000000002899</v>
      </c>
      <c r="G11" s="176">
        <f>'PolyU 參考分數'!AG31</f>
        <v>171.00000000001882</v>
      </c>
      <c r="H11" s="193">
        <f>計分版!D117</f>
        <v>2.175E-8</v>
      </c>
      <c r="I11" s="188">
        <f>IF(I$1="差距(Median)",H11-F11,IF(I$1="差距(LQ)",H11-G11))</f>
        <v>-170.99999997826882</v>
      </c>
      <c r="J11" s="189">
        <f>IF(I$1="差距(Median)",(H11-F11)/H11,IF(I$1="差距(LQ)",(H11-G11)/H11))</f>
        <v>-7862068964.5181065</v>
      </c>
      <c r="K11" s="276">
        <v>56</v>
      </c>
      <c r="L11" s="381">
        <f>入學要求!S97</f>
        <v>0</v>
      </c>
      <c r="M11" s="355" t="s">
        <v>360</v>
      </c>
      <c r="N11" s="181">
        <v>3</v>
      </c>
      <c r="O11" s="181">
        <v>3</v>
      </c>
      <c r="P11" s="181">
        <v>2</v>
      </c>
      <c r="Q11" s="181">
        <v>2</v>
      </c>
      <c r="R11" s="181">
        <v>3</v>
      </c>
      <c r="S11" s="181">
        <v>3</v>
      </c>
      <c r="T11" s="501"/>
      <c r="U11" s="283">
        <f>IF($T$2="2018年",'Offer Statistics'!AX11,IF($T$2="2019年",'Offer Statistics'!AX68,IF($T$2="2020年",'Offer Statistics'!AX125)))</f>
        <v>49</v>
      </c>
      <c r="V11" s="284">
        <f>IF($T$2="2018年",'Offer Statistics'!AS11,IF($T$2="2019年",'Offer Statistics'!AS68,IF($T$2="2020年",'Offer Statistics'!AS125)))</f>
        <v>35</v>
      </c>
      <c r="W11" s="284">
        <f>IF($T$2="2018年",'Offer Statistics'!AT11,IF($T$2="2019年",'Offer Statistics'!AT68,IF($T$2="2020年",'Offer Statistics'!AT125)))</f>
        <v>5</v>
      </c>
      <c r="X11" s="284">
        <f>IF($T$2="2018年",'Offer Statistics'!AU11,IF($T$2="2019年",'Offer Statistics'!AU68,IF($T$2="2020年",'Offer Statistics'!AU125)))</f>
        <v>3</v>
      </c>
      <c r="Y11" s="284">
        <f>IF($T$2="2018年",'Offer Statistics'!AV11,IF($T$2="2019年",'Offer Statistics'!AV68,IF($T$2="2020年",'Offer Statistics'!AV125)))</f>
        <v>4</v>
      </c>
      <c r="Z11" s="284">
        <f>IF($T$2="2018年",'Offer Statistics'!AW11,IF($T$2="2019年",'Offer Statistics'!AW68,IF($T$2="2020年",'Offer Statistics'!AW125)))</f>
        <v>2</v>
      </c>
      <c r="AA11" s="501"/>
      <c r="AB11" s="283">
        <f>IF($AA$2="2018年",'Offer Statistics'!AP11,IF($AA$2="2019年",'Offer Statistics'!AP68,IF($AA$2="2020年",'Offer Statistics'!AP125)))</f>
        <v>2869</v>
      </c>
      <c r="AC11" s="284">
        <f>IF($AA$2="2018年",'Offer Statistics'!AK11,IF($AA$2="2019年",'Offer Statistics'!AK68,IF($AA$2="2020年",'Offer Statistics'!AK125)))</f>
        <v>409</v>
      </c>
      <c r="AD11" s="284">
        <f>IF($AA$2="2018年",'Offer Statistics'!AL11,IF($AA$2="2019年",'Offer Statistics'!AL68,IF($AA$2="2020年",'Offer Statistics'!AL125)))</f>
        <v>395</v>
      </c>
      <c r="AE11" s="284">
        <f>IF($AA$2="2018年",'Offer Statistics'!AM11,IF($AA$2="2019年",'Offer Statistics'!AM68,IF($AA$2="2020年",'Offer Statistics'!AM125)))</f>
        <v>710</v>
      </c>
      <c r="AF11" s="284">
        <f>IF($AA$2="2018年",'Offer Statistics'!AN11,IF($AA$2="2019年",'Offer Statistics'!AN68,IF($AA$2="2020年",'Offer Statistics'!AN125)))</f>
        <v>754</v>
      </c>
      <c r="AG11" s="284">
        <f>IF($AA$2="2018年",'Offer Statistics'!AO11,IF($AA$2="2019年",'Offer Statistics'!AO68,IF($AA$2="2020年",'Offer Statistics'!AO125)))</f>
        <v>601</v>
      </c>
      <c r="AH11" s="181"/>
      <c r="AI11" s="338" t="str">
        <f t="shared" si="2"/>
        <v>JS3507</v>
      </c>
    </row>
    <row r="12" spans="1:35" s="183" customFormat="1" ht="18" customHeight="1">
      <c r="A12" s="175" t="s">
        <v>405</v>
      </c>
      <c r="B12" s="175" t="s">
        <v>293</v>
      </c>
      <c r="C12" s="175" t="s">
        <v>495</v>
      </c>
      <c r="D12" s="175" t="s">
        <v>2088</v>
      </c>
      <c r="E12" s="437" t="s">
        <v>189</v>
      </c>
      <c r="F12" s="176">
        <f>'PolyU 參考分數'!AG33</f>
        <v>190.00000000002498</v>
      </c>
      <c r="G12" s="176">
        <f>'PolyU 參考分數'!AG34</f>
        <v>175.00000000002399</v>
      </c>
      <c r="H12" s="193">
        <f>計分版!D118</f>
        <v>2.175E-8</v>
      </c>
      <c r="I12" s="188">
        <f t="shared" si="0"/>
        <v>-174.99999997827399</v>
      </c>
      <c r="J12" s="189">
        <f t="shared" si="1"/>
        <v>-8045977010.4953556</v>
      </c>
      <c r="K12" s="276">
        <v>27</v>
      </c>
      <c r="L12" s="381">
        <f>入學要求!S98</f>
        <v>0</v>
      </c>
      <c r="M12" s="355" t="s">
        <v>2194</v>
      </c>
      <c r="N12" s="181">
        <v>3</v>
      </c>
      <c r="O12" s="181">
        <v>3</v>
      </c>
      <c r="P12" s="181">
        <v>2</v>
      </c>
      <c r="Q12" s="181">
        <v>2</v>
      </c>
      <c r="R12" s="181">
        <v>3</v>
      </c>
      <c r="S12" s="181">
        <v>3</v>
      </c>
      <c r="T12" s="501"/>
      <c r="U12" s="283">
        <f>IF($T$2="2018年",'Offer Statistics'!AX12,IF($T$2="2019年",'Offer Statistics'!AX69,IF($T$2="2020年",'Offer Statistics'!AX126)))</f>
        <v>26</v>
      </c>
      <c r="V12" s="284">
        <f>IF($T$2="2018年",'Offer Statistics'!AS12,IF($T$2="2019年",'Offer Statistics'!AS69,IF($T$2="2020年",'Offer Statistics'!AS126)))</f>
        <v>22</v>
      </c>
      <c r="W12" s="284">
        <f>IF($T$2="2018年",'Offer Statistics'!AT12,IF($T$2="2019年",'Offer Statistics'!AT69,IF($T$2="2020年",'Offer Statistics'!AT126)))</f>
        <v>1</v>
      </c>
      <c r="X12" s="284">
        <f>IF($T$2="2018年",'Offer Statistics'!AU12,IF($T$2="2019年",'Offer Statistics'!AU69,IF($T$2="2020年",'Offer Statistics'!AU126)))</f>
        <v>3</v>
      </c>
      <c r="Y12" s="284">
        <f>IF($T$2="2018年",'Offer Statistics'!AV12,IF($T$2="2019年",'Offer Statistics'!AV69,IF($T$2="2020年",'Offer Statistics'!AV126)))</f>
        <v>0</v>
      </c>
      <c r="Z12" s="284">
        <f>IF($T$2="2018年",'Offer Statistics'!AW12,IF($T$2="2019年",'Offer Statistics'!AW69,IF($T$2="2020年",'Offer Statistics'!AW126)))</f>
        <v>0</v>
      </c>
      <c r="AA12" s="501"/>
      <c r="AB12" s="283">
        <f>IF($AA$2="2018年",'Offer Statistics'!AP12,IF($AA$2="2019年",'Offer Statistics'!AP69,IF($AA$2="2020年",'Offer Statistics'!AP126)))</f>
        <v>3116</v>
      </c>
      <c r="AC12" s="284">
        <f>IF($AA$2="2018年",'Offer Statistics'!AK12,IF($AA$2="2019年",'Offer Statistics'!AK69,IF($AA$2="2020年",'Offer Statistics'!AK126)))</f>
        <v>564</v>
      </c>
      <c r="AD12" s="284">
        <f>IF($AA$2="2018年",'Offer Statistics'!AL12,IF($AA$2="2019年",'Offer Statistics'!AL69,IF($AA$2="2020年",'Offer Statistics'!AL126)))</f>
        <v>563</v>
      </c>
      <c r="AE12" s="284">
        <f>IF($AA$2="2018年",'Offer Statistics'!AM12,IF($AA$2="2019年",'Offer Statistics'!AM69,IF($AA$2="2020年",'Offer Statistics'!AM126)))</f>
        <v>690</v>
      </c>
      <c r="AF12" s="284">
        <f>IF($AA$2="2018年",'Offer Statistics'!AN12,IF($AA$2="2019年",'Offer Statistics'!AN69,IF($AA$2="2020年",'Offer Statistics'!AN126)))</f>
        <v>750</v>
      </c>
      <c r="AG12" s="284">
        <f>IF($AA$2="2018年",'Offer Statistics'!AO12,IF($AA$2="2019年",'Offer Statistics'!AO69,IF($AA$2="2020年",'Offer Statistics'!AO126)))</f>
        <v>549</v>
      </c>
      <c r="AH12" s="181"/>
      <c r="AI12" s="338" t="str">
        <f t="shared" si="2"/>
        <v>JS3519</v>
      </c>
    </row>
    <row r="13" spans="1:35" s="183" customFormat="1" ht="18" customHeight="1">
      <c r="A13" s="175" t="s">
        <v>406</v>
      </c>
      <c r="B13" s="175" t="s">
        <v>293</v>
      </c>
      <c r="C13" s="175" t="s">
        <v>496</v>
      </c>
      <c r="D13" s="175" t="s">
        <v>2089</v>
      </c>
      <c r="E13" s="437" t="s">
        <v>189</v>
      </c>
      <c r="F13" s="176">
        <f>'PolyU 參考分數'!AG36</f>
        <v>149.50000000001222</v>
      </c>
      <c r="G13" s="176">
        <f>'PolyU 參考分數'!AG37</f>
        <v>149.00000000001151</v>
      </c>
      <c r="H13" s="193">
        <f>計分版!D119</f>
        <v>1.9750000000000001E-8</v>
      </c>
      <c r="I13" s="188">
        <f t="shared" si="0"/>
        <v>-148.99999998026152</v>
      </c>
      <c r="J13" s="189">
        <f t="shared" si="1"/>
        <v>-7544303796.4689369</v>
      </c>
      <c r="K13" s="276">
        <v>56</v>
      </c>
      <c r="L13" s="381">
        <f>入學要求!S99</f>
        <v>0</v>
      </c>
      <c r="M13" s="355" t="s">
        <v>360</v>
      </c>
      <c r="N13" s="181">
        <v>3</v>
      </c>
      <c r="O13" s="181">
        <v>3</v>
      </c>
      <c r="P13" s="181">
        <v>2</v>
      </c>
      <c r="Q13" s="181">
        <v>2</v>
      </c>
      <c r="R13" s="181">
        <v>3</v>
      </c>
      <c r="S13" s="181">
        <v>3</v>
      </c>
      <c r="T13" s="501"/>
      <c r="U13" s="283">
        <f>IF($T$2="2018年",'Offer Statistics'!AX13,IF($T$2="2019年",'Offer Statistics'!AX70,IF($T$2="2020年",'Offer Statistics'!AX127)))</f>
        <v>46</v>
      </c>
      <c r="V13" s="284">
        <f>IF($T$2="2018年",'Offer Statistics'!AS13,IF($T$2="2019年",'Offer Statistics'!AS70,IF($T$2="2020年",'Offer Statistics'!AS127)))</f>
        <v>38</v>
      </c>
      <c r="W13" s="284">
        <f>IF($T$2="2018年",'Offer Statistics'!AT13,IF($T$2="2019年",'Offer Statistics'!AT70,IF($T$2="2020年",'Offer Statistics'!AT127)))</f>
        <v>5</v>
      </c>
      <c r="X13" s="284">
        <f>IF($T$2="2018年",'Offer Statistics'!AU13,IF($T$2="2019年",'Offer Statistics'!AU70,IF($T$2="2020年",'Offer Statistics'!AU127)))</f>
        <v>2</v>
      </c>
      <c r="Y13" s="284">
        <f>IF($T$2="2018年",'Offer Statistics'!AV13,IF($T$2="2019年",'Offer Statistics'!AV70,IF($T$2="2020年",'Offer Statistics'!AV127)))</f>
        <v>1</v>
      </c>
      <c r="Z13" s="284">
        <f>IF($T$2="2018年",'Offer Statistics'!AW13,IF($T$2="2019年",'Offer Statistics'!AW70,IF($T$2="2020年",'Offer Statistics'!AW127)))</f>
        <v>0</v>
      </c>
      <c r="AA13" s="501"/>
      <c r="AB13" s="283">
        <f>IF($AA$2="2018年",'Offer Statistics'!AP13,IF($AA$2="2019年",'Offer Statistics'!AP70,IF($AA$2="2020年",'Offer Statistics'!AP127)))</f>
        <v>2308</v>
      </c>
      <c r="AC13" s="284">
        <f>IF($AA$2="2018年",'Offer Statistics'!AK13,IF($AA$2="2019年",'Offer Statistics'!AK70,IF($AA$2="2020年",'Offer Statistics'!AK127)))</f>
        <v>371</v>
      </c>
      <c r="AD13" s="284">
        <f>IF($AA$2="2018年",'Offer Statistics'!AL13,IF($AA$2="2019年",'Offer Statistics'!AL70,IF($AA$2="2020年",'Offer Statistics'!AL127)))</f>
        <v>400</v>
      </c>
      <c r="AE13" s="284">
        <f>IF($AA$2="2018年",'Offer Statistics'!AM13,IF($AA$2="2019年",'Offer Statistics'!AM70,IF($AA$2="2020年",'Offer Statistics'!AM127)))</f>
        <v>495</v>
      </c>
      <c r="AF13" s="284">
        <f>IF($AA$2="2018年",'Offer Statistics'!AN13,IF($AA$2="2019年",'Offer Statistics'!AN70,IF($AA$2="2020年",'Offer Statistics'!AN127)))</f>
        <v>598</v>
      </c>
      <c r="AG13" s="284">
        <f>IF($AA$2="2018年",'Offer Statistics'!AO13,IF($AA$2="2019年",'Offer Statistics'!AO70,IF($AA$2="2020年",'Offer Statistics'!AO127)))</f>
        <v>444</v>
      </c>
      <c r="AH13" s="181"/>
      <c r="AI13" s="338" t="str">
        <f t="shared" si="2"/>
        <v>JS3557</v>
      </c>
    </row>
    <row r="14" spans="1:35" s="183" customFormat="1" ht="18" customHeight="1">
      <c r="A14" s="175" t="s">
        <v>407</v>
      </c>
      <c r="B14" s="175" t="s">
        <v>775</v>
      </c>
      <c r="C14" s="175" t="s">
        <v>497</v>
      </c>
      <c r="D14" s="175" t="s">
        <v>2090</v>
      </c>
      <c r="E14" s="437" t="s">
        <v>189</v>
      </c>
      <c r="F14" s="176">
        <f>'PolyU 參考分數'!AG39</f>
        <v>200.00000000001998</v>
      </c>
      <c r="G14" s="176">
        <f>'PolyU 參考分數'!AG40</f>
        <v>180.000000000017</v>
      </c>
      <c r="H14" s="193">
        <f>計分版!D120</f>
        <v>2.0749999999999997E-8</v>
      </c>
      <c r="I14" s="188">
        <f t="shared" si="0"/>
        <v>-179.99999997926699</v>
      </c>
      <c r="J14" s="189">
        <f t="shared" si="1"/>
        <v>-8674698794.1815434</v>
      </c>
      <c r="K14" s="276">
        <v>81</v>
      </c>
      <c r="L14" s="381">
        <f>入學要求!S100</f>
        <v>0</v>
      </c>
      <c r="M14" s="355" t="s">
        <v>2194</v>
      </c>
      <c r="N14" s="181">
        <v>3</v>
      </c>
      <c r="O14" s="181">
        <v>3</v>
      </c>
      <c r="P14" s="181">
        <v>2</v>
      </c>
      <c r="Q14" s="181">
        <v>2</v>
      </c>
      <c r="R14" s="181">
        <v>3</v>
      </c>
      <c r="S14" s="181">
        <v>3</v>
      </c>
      <c r="T14" s="501"/>
      <c r="U14" s="283">
        <f>IF($T$2="2018年",'Offer Statistics'!AX14,IF($T$2="2019年",'Offer Statistics'!AX71,IF($T$2="2020年",'Offer Statistics'!AX128)))</f>
        <v>65</v>
      </c>
      <c r="V14" s="284">
        <f>IF($T$2="2018年",'Offer Statistics'!AS14,IF($T$2="2019年",'Offer Statistics'!AS71,IF($T$2="2020年",'Offer Statistics'!AS128)))</f>
        <v>64</v>
      </c>
      <c r="W14" s="284">
        <f>IF($T$2="2018年",'Offer Statistics'!AT14,IF($T$2="2019年",'Offer Statistics'!AT71,IF($T$2="2020年",'Offer Statistics'!AT128)))</f>
        <v>1</v>
      </c>
      <c r="X14" s="284">
        <f>IF($T$2="2018年",'Offer Statistics'!AU14,IF($T$2="2019年",'Offer Statistics'!AU71,IF($T$2="2020年",'Offer Statistics'!AU128)))</f>
        <v>0</v>
      </c>
      <c r="Y14" s="284">
        <f>IF($T$2="2018年",'Offer Statistics'!AV14,IF($T$2="2019年",'Offer Statistics'!AV71,IF($T$2="2020年",'Offer Statistics'!AV128)))</f>
        <v>0</v>
      </c>
      <c r="Z14" s="284">
        <f>IF($T$2="2018年",'Offer Statistics'!AW14,IF($T$2="2019年",'Offer Statistics'!AW71,IF($T$2="2020年",'Offer Statistics'!AW128)))</f>
        <v>0</v>
      </c>
      <c r="AA14" s="501"/>
      <c r="AB14" s="283">
        <f>IF($AA$2="2018年",'Offer Statistics'!AP14,IF($AA$2="2019年",'Offer Statistics'!AP71,IF($AA$2="2020年",'Offer Statistics'!AP128)))</f>
        <v>2896</v>
      </c>
      <c r="AC14" s="284">
        <f>IF($AA$2="2018年",'Offer Statistics'!AK14,IF($AA$2="2019年",'Offer Statistics'!AK71,IF($AA$2="2020年",'Offer Statistics'!AK128)))</f>
        <v>1043</v>
      </c>
      <c r="AD14" s="284">
        <f>IF($AA$2="2018年",'Offer Statistics'!AL14,IF($AA$2="2019年",'Offer Statistics'!AL71,IF($AA$2="2020年",'Offer Statistics'!AL128)))</f>
        <v>459</v>
      </c>
      <c r="AE14" s="284">
        <f>IF($AA$2="2018年",'Offer Statistics'!AM14,IF($AA$2="2019年",'Offer Statistics'!AM71,IF($AA$2="2020年",'Offer Statistics'!AM128)))</f>
        <v>480</v>
      </c>
      <c r="AF14" s="284">
        <f>IF($AA$2="2018年",'Offer Statistics'!AN14,IF($AA$2="2019年",'Offer Statistics'!AN71,IF($AA$2="2020年",'Offer Statistics'!AN128)))</f>
        <v>568</v>
      </c>
      <c r="AG14" s="284">
        <f>IF($AA$2="2018年",'Offer Statistics'!AO14,IF($AA$2="2019年",'Offer Statistics'!AO71,IF($AA$2="2020年",'Offer Statistics'!AO128)))</f>
        <v>346</v>
      </c>
      <c r="AH14" s="181"/>
      <c r="AI14" s="338" t="str">
        <f t="shared" si="2"/>
        <v>JS3569</v>
      </c>
    </row>
    <row r="15" spans="1:35" s="183" customFormat="1" ht="18" customHeight="1">
      <c r="A15" s="175" t="s">
        <v>408</v>
      </c>
      <c r="B15" s="175" t="s">
        <v>293</v>
      </c>
      <c r="C15" s="175" t="s">
        <v>498</v>
      </c>
      <c r="D15" s="175" t="s">
        <v>2091</v>
      </c>
      <c r="E15" s="437" t="s">
        <v>189</v>
      </c>
      <c r="F15" s="176">
        <f>'PolyU 參考分數'!AG42</f>
        <v>149.500000000011</v>
      </c>
      <c r="G15" s="176">
        <f>'PolyU 參考分數'!AG43</f>
        <v>146.000000000011</v>
      </c>
      <c r="H15" s="193">
        <f>計分版!D121</f>
        <v>1.9750000000000001E-8</v>
      </c>
      <c r="I15" s="188">
        <f>IF(I$1="差距(Median)",H15-F15,IF(I$1="差距(LQ)",H15-G15))</f>
        <v>-145.99999998026101</v>
      </c>
      <c r="J15" s="189">
        <f>IF(I$1="差距(Median)",(H15-F15)/H15,IF(I$1="差距(LQ)",(H15-G15)/H15))</f>
        <v>-7392405062.2916965</v>
      </c>
      <c r="K15" s="276">
        <v>51</v>
      </c>
      <c r="L15" s="381">
        <f>入學要求!S101</f>
        <v>0</v>
      </c>
      <c r="M15" s="355" t="s">
        <v>360</v>
      </c>
      <c r="N15" s="181">
        <v>3</v>
      </c>
      <c r="O15" s="181">
        <v>3</v>
      </c>
      <c r="P15" s="181">
        <v>2</v>
      </c>
      <c r="Q15" s="181">
        <v>2</v>
      </c>
      <c r="R15" s="181">
        <v>3</v>
      </c>
      <c r="S15" s="181">
        <v>3</v>
      </c>
      <c r="T15" s="501"/>
      <c r="U15" s="283">
        <f>IF($T$2="2018年",'Offer Statistics'!AX15,IF($T$2="2019年",'Offer Statistics'!AX72,IF($T$2="2020年",'Offer Statistics'!AX129)))</f>
        <v>41</v>
      </c>
      <c r="V15" s="284">
        <f>IF($T$2="2018年",'Offer Statistics'!AS15,IF($T$2="2019年",'Offer Statistics'!AS72,IF($T$2="2020年",'Offer Statistics'!AS129)))</f>
        <v>34</v>
      </c>
      <c r="W15" s="284">
        <f>IF($T$2="2018年",'Offer Statistics'!AT15,IF($T$2="2019年",'Offer Statistics'!AT72,IF($T$2="2020年",'Offer Statistics'!AT129)))</f>
        <v>3</v>
      </c>
      <c r="X15" s="284">
        <f>IF($T$2="2018年",'Offer Statistics'!AU15,IF($T$2="2019年",'Offer Statistics'!AU72,IF($T$2="2020年",'Offer Statistics'!AU129)))</f>
        <v>4</v>
      </c>
      <c r="Y15" s="284">
        <f>IF($T$2="2018年",'Offer Statistics'!AV15,IF($T$2="2019年",'Offer Statistics'!AV72,IF($T$2="2020年",'Offer Statistics'!AV129)))</f>
        <v>0</v>
      </c>
      <c r="Z15" s="284">
        <f>IF($T$2="2018年",'Offer Statistics'!AW15,IF($T$2="2019年",'Offer Statistics'!AW72,IF($T$2="2020年",'Offer Statistics'!AW129)))</f>
        <v>0</v>
      </c>
      <c r="AA15" s="501"/>
      <c r="AB15" s="283">
        <f>IF($AA$2="2018年",'Offer Statistics'!AP15,IF($AA$2="2019年",'Offer Statistics'!AP72,IF($AA$2="2020年",'Offer Statistics'!AP129)))</f>
        <v>1980</v>
      </c>
      <c r="AC15" s="284">
        <f>IF($AA$2="2018年",'Offer Statistics'!AK15,IF($AA$2="2019年",'Offer Statistics'!AK72,IF($AA$2="2020年",'Offer Statistics'!AK129)))</f>
        <v>227</v>
      </c>
      <c r="AD15" s="284">
        <f>IF($AA$2="2018年",'Offer Statistics'!AL15,IF($AA$2="2019年",'Offer Statistics'!AL72,IF($AA$2="2020年",'Offer Statistics'!AL129)))</f>
        <v>278</v>
      </c>
      <c r="AE15" s="284">
        <f>IF($AA$2="2018年",'Offer Statistics'!AM15,IF($AA$2="2019年",'Offer Statistics'!AM72,IF($AA$2="2020年",'Offer Statistics'!AM129)))</f>
        <v>451</v>
      </c>
      <c r="AF15" s="284">
        <f>IF($AA$2="2018年",'Offer Statistics'!AN15,IF($AA$2="2019年",'Offer Statistics'!AN72,IF($AA$2="2020年",'Offer Statistics'!AN129)))</f>
        <v>549</v>
      </c>
      <c r="AG15" s="284">
        <f>IF($AA$2="2018年",'Offer Statistics'!AO15,IF($AA$2="2019年",'Offer Statistics'!AO72,IF($AA$2="2020年",'Offer Statistics'!AO129)))</f>
        <v>475</v>
      </c>
      <c r="AH15" s="181"/>
      <c r="AI15" s="338" t="str">
        <f t="shared" si="2"/>
        <v>JS3571</v>
      </c>
    </row>
    <row r="16" spans="1:35" s="183" customFormat="1" ht="18" customHeight="1">
      <c r="A16" s="175" t="s">
        <v>409</v>
      </c>
      <c r="B16" s="175" t="s">
        <v>771</v>
      </c>
      <c r="C16" s="175" t="s">
        <v>499</v>
      </c>
      <c r="D16" s="175" t="s">
        <v>2092</v>
      </c>
      <c r="E16" s="437" t="s">
        <v>189</v>
      </c>
      <c r="F16" s="176">
        <f>'PolyU 參考分數'!AG45</f>
        <v>161.00000000001199</v>
      </c>
      <c r="G16" s="176">
        <f>'PolyU 參考分數'!AG46</f>
        <v>156.50000000001148</v>
      </c>
      <c r="H16" s="193">
        <f>計分版!D122</f>
        <v>1.9750000000000001E-8</v>
      </c>
      <c r="I16" s="188">
        <f t="shared" si="0"/>
        <v>-156.49999998026149</v>
      </c>
      <c r="J16" s="189">
        <f t="shared" si="1"/>
        <v>-7924050631.911974</v>
      </c>
      <c r="K16" s="276">
        <v>50</v>
      </c>
      <c r="L16" s="381">
        <f>入學要求!S102</f>
        <v>0</v>
      </c>
      <c r="M16" s="355" t="s">
        <v>2188</v>
      </c>
      <c r="N16" s="181">
        <v>3</v>
      </c>
      <c r="O16" s="181">
        <v>3</v>
      </c>
      <c r="P16" s="181">
        <v>2</v>
      </c>
      <c r="Q16" s="181">
        <v>2</v>
      </c>
      <c r="R16" s="181">
        <v>3</v>
      </c>
      <c r="S16" s="181">
        <v>3</v>
      </c>
      <c r="T16" s="501"/>
      <c r="U16" s="283">
        <f>IF($T$2="2018年",'Offer Statistics'!AX16,IF($T$2="2019年",'Offer Statistics'!AX73,IF($T$2="2020年",'Offer Statistics'!AX130)))</f>
        <v>49</v>
      </c>
      <c r="V16" s="284">
        <f>IF($T$2="2018年",'Offer Statistics'!AS16,IF($T$2="2019年",'Offer Statistics'!AS73,IF($T$2="2020年",'Offer Statistics'!AS130)))</f>
        <v>42</v>
      </c>
      <c r="W16" s="284">
        <f>IF($T$2="2018年",'Offer Statistics'!AT16,IF($T$2="2019年",'Offer Statistics'!AT73,IF($T$2="2020年",'Offer Statistics'!AT130)))</f>
        <v>5</v>
      </c>
      <c r="X16" s="284">
        <f>IF($T$2="2018年",'Offer Statistics'!AU16,IF($T$2="2019年",'Offer Statistics'!AU73,IF($T$2="2020年",'Offer Statistics'!AU130)))</f>
        <v>0</v>
      </c>
      <c r="Y16" s="284">
        <f>IF($T$2="2018年",'Offer Statistics'!AV16,IF($T$2="2019年",'Offer Statistics'!AV73,IF($T$2="2020年",'Offer Statistics'!AV130)))</f>
        <v>0</v>
      </c>
      <c r="Z16" s="284">
        <f>IF($T$2="2018年",'Offer Statistics'!AW16,IF($T$2="2019年",'Offer Statistics'!AW73,IF($T$2="2020年",'Offer Statistics'!AW130)))</f>
        <v>2</v>
      </c>
      <c r="AA16" s="501"/>
      <c r="AB16" s="283">
        <f>IF($AA$2="2018年",'Offer Statistics'!AP16,IF($AA$2="2019年",'Offer Statistics'!AP73,IF($AA$2="2020年",'Offer Statistics'!AP130)))</f>
        <v>5381</v>
      </c>
      <c r="AC16" s="284">
        <f>IF($AA$2="2018年",'Offer Statistics'!AK16,IF($AA$2="2019年",'Offer Statistics'!AK73,IF($AA$2="2020年",'Offer Statistics'!AK130)))</f>
        <v>619</v>
      </c>
      <c r="AD16" s="284">
        <f>IF($AA$2="2018年",'Offer Statistics'!AL16,IF($AA$2="2019年",'Offer Statistics'!AL73,IF($AA$2="2020年",'Offer Statistics'!AL130)))</f>
        <v>952</v>
      </c>
      <c r="AE16" s="284">
        <f>IF($AA$2="2018年",'Offer Statistics'!AM16,IF($AA$2="2019年",'Offer Statistics'!AM73,IF($AA$2="2020年",'Offer Statistics'!AM130)))</f>
        <v>1398</v>
      </c>
      <c r="AF16" s="284">
        <f>IF($AA$2="2018年",'Offer Statistics'!AN16,IF($AA$2="2019年",'Offer Statistics'!AN73,IF($AA$2="2020年",'Offer Statistics'!AN130)))</f>
        <v>1531</v>
      </c>
      <c r="AG16" s="284">
        <f>IF($AA$2="2018年",'Offer Statistics'!AO16,IF($AA$2="2019年",'Offer Statistics'!AO73,IF($AA$2="2020年",'Offer Statistics'!AO130)))</f>
        <v>881</v>
      </c>
      <c r="AH16" s="181"/>
      <c r="AI16" s="338" t="str">
        <f t="shared" si="2"/>
        <v>JS3583</v>
      </c>
    </row>
    <row r="17" spans="1:35" s="183" customFormat="1" ht="18" customHeight="1">
      <c r="A17" s="175" t="s">
        <v>410</v>
      </c>
      <c r="B17" s="175" t="s">
        <v>771</v>
      </c>
      <c r="C17" s="175" t="s">
        <v>500</v>
      </c>
      <c r="D17" s="175" t="s">
        <v>1652</v>
      </c>
      <c r="E17" s="437" t="s">
        <v>189</v>
      </c>
      <c r="F17" s="176">
        <f>'PolyU 參考分數'!AG48</f>
        <v>153.50000000001251</v>
      </c>
      <c r="G17" s="176">
        <f>'PolyU 參考分數'!AG49</f>
        <v>149.00000000001202</v>
      </c>
      <c r="H17" s="193">
        <f>計分版!D123</f>
        <v>1.9750000000000001E-8</v>
      </c>
      <c r="I17" s="188">
        <f t="shared" si="0"/>
        <v>-148.99999998026203</v>
      </c>
      <c r="J17" s="189">
        <f t="shared" si="1"/>
        <v>-7544303796.4689627</v>
      </c>
      <c r="K17" s="276">
        <v>30</v>
      </c>
      <c r="L17" s="381">
        <f>入學要求!S103</f>
        <v>0</v>
      </c>
      <c r="M17" s="355" t="s">
        <v>2188</v>
      </c>
      <c r="N17" s="181">
        <v>3</v>
      </c>
      <c r="O17" s="181">
        <v>3</v>
      </c>
      <c r="P17" s="181">
        <v>2</v>
      </c>
      <c r="Q17" s="181">
        <v>2</v>
      </c>
      <c r="R17" s="181">
        <v>3</v>
      </c>
      <c r="S17" s="181">
        <v>3</v>
      </c>
      <c r="T17" s="501"/>
      <c r="U17" s="283">
        <f>IF($T$2="2018年",'Offer Statistics'!AX17,IF($T$2="2019年",'Offer Statistics'!AX74,IF($T$2="2020年",'Offer Statistics'!AX131)))</f>
        <v>26</v>
      </c>
      <c r="V17" s="284">
        <f>IF($T$2="2018年",'Offer Statistics'!AS17,IF($T$2="2019年",'Offer Statistics'!AS74,IF($T$2="2020年",'Offer Statistics'!AS131)))</f>
        <v>22</v>
      </c>
      <c r="W17" s="284">
        <f>IF($T$2="2018年",'Offer Statistics'!AT17,IF($T$2="2019年",'Offer Statistics'!AT74,IF($T$2="2020年",'Offer Statistics'!AT131)))</f>
        <v>3</v>
      </c>
      <c r="X17" s="284">
        <f>IF($T$2="2018年",'Offer Statistics'!AU17,IF($T$2="2019年",'Offer Statistics'!AU74,IF($T$2="2020年",'Offer Statistics'!AU131)))</f>
        <v>1</v>
      </c>
      <c r="Y17" s="284">
        <f>IF($T$2="2018年",'Offer Statistics'!AV17,IF($T$2="2019年",'Offer Statistics'!AV74,IF($T$2="2020年",'Offer Statistics'!AV131)))</f>
        <v>0</v>
      </c>
      <c r="Z17" s="284">
        <f>IF($T$2="2018年",'Offer Statistics'!AW17,IF($T$2="2019年",'Offer Statistics'!AW74,IF($T$2="2020年",'Offer Statistics'!AW131)))</f>
        <v>0</v>
      </c>
      <c r="AA17" s="501"/>
      <c r="AB17" s="283">
        <f>IF($AA$2="2018年",'Offer Statistics'!AP17,IF($AA$2="2019年",'Offer Statistics'!AP74,IF($AA$2="2020年",'Offer Statistics'!AP131)))</f>
        <v>2924</v>
      </c>
      <c r="AC17" s="284">
        <f>IF($AA$2="2018年",'Offer Statistics'!AK17,IF($AA$2="2019年",'Offer Statistics'!AK74,IF($AA$2="2020年",'Offer Statistics'!AK131)))</f>
        <v>264</v>
      </c>
      <c r="AD17" s="284">
        <f>IF($AA$2="2018年",'Offer Statistics'!AL17,IF($AA$2="2019年",'Offer Statistics'!AL74,IF($AA$2="2020年",'Offer Statistics'!AL131)))</f>
        <v>446</v>
      </c>
      <c r="AE17" s="284">
        <f>IF($AA$2="2018年",'Offer Statistics'!AM17,IF($AA$2="2019年",'Offer Statistics'!AM74,IF($AA$2="2020年",'Offer Statistics'!AM131)))</f>
        <v>777</v>
      </c>
      <c r="AF17" s="284">
        <f>IF($AA$2="2018年",'Offer Statistics'!AN17,IF($AA$2="2019年",'Offer Statistics'!AN74,IF($AA$2="2020年",'Offer Statistics'!AN131)))</f>
        <v>847</v>
      </c>
      <c r="AG17" s="284">
        <f>IF($AA$2="2018年",'Offer Statistics'!AO17,IF($AA$2="2019年",'Offer Statistics'!AO74,IF($AA$2="2020年",'Offer Statistics'!AO131)))</f>
        <v>590</v>
      </c>
      <c r="AH17" s="181"/>
      <c r="AI17" s="338" t="str">
        <f t="shared" si="2"/>
        <v>JS3595</v>
      </c>
    </row>
    <row r="18" spans="1:35" s="183" customFormat="1" ht="18" customHeight="1">
      <c r="A18" s="175" t="s">
        <v>411</v>
      </c>
      <c r="B18" s="175" t="s">
        <v>293</v>
      </c>
      <c r="C18" s="175" t="s">
        <v>501</v>
      </c>
      <c r="D18" s="175" t="s">
        <v>2093</v>
      </c>
      <c r="E18" s="437" t="s">
        <v>59</v>
      </c>
      <c r="F18" s="176">
        <f>'PolyU 參考分數'!AG51</f>
        <v>218.50000000002339</v>
      </c>
      <c r="G18" s="176">
        <f>'PolyU 參考分數'!AG52</f>
        <v>206.00000000001822</v>
      </c>
      <c r="H18" s="193">
        <f>計分版!D124</f>
        <v>2.175E-8</v>
      </c>
      <c r="I18" s="188">
        <f t="shared" si="0"/>
        <v>-205.99999997826822</v>
      </c>
      <c r="J18" s="189">
        <f t="shared" si="1"/>
        <v>-9471264366.8169308</v>
      </c>
      <c r="K18" s="276">
        <v>19</v>
      </c>
      <c r="L18" s="381">
        <f>入學要求!S104</f>
        <v>0</v>
      </c>
      <c r="M18" s="355" t="s">
        <v>360</v>
      </c>
      <c r="N18" s="181">
        <v>3</v>
      </c>
      <c r="O18" s="181">
        <v>3</v>
      </c>
      <c r="P18" s="181">
        <v>2</v>
      </c>
      <c r="Q18" s="181">
        <v>2</v>
      </c>
      <c r="R18" s="181">
        <v>3</v>
      </c>
      <c r="S18" s="181">
        <v>3</v>
      </c>
      <c r="T18" s="501"/>
      <c r="U18" s="283">
        <f>IF($T$2="2018年",'Offer Statistics'!AX18,IF($T$2="2019年",'Offer Statistics'!AX75,IF($T$2="2020年",'Offer Statistics'!AX132)))</f>
        <v>26</v>
      </c>
      <c r="V18" s="284">
        <f>IF($T$2="2018年",'Offer Statistics'!AS18,IF($T$2="2019年",'Offer Statistics'!AS75,IF($T$2="2020年",'Offer Statistics'!AS132)))</f>
        <v>20</v>
      </c>
      <c r="W18" s="284">
        <f>IF($T$2="2018年",'Offer Statistics'!AT18,IF($T$2="2019年",'Offer Statistics'!AT75,IF($T$2="2020年",'Offer Statistics'!AT132)))</f>
        <v>3</v>
      </c>
      <c r="X18" s="284">
        <f>IF($T$2="2018年",'Offer Statistics'!AU18,IF($T$2="2019年",'Offer Statistics'!AU75,IF($T$2="2020年",'Offer Statistics'!AU132)))</f>
        <v>0</v>
      </c>
      <c r="Y18" s="284">
        <f>IF($T$2="2018年",'Offer Statistics'!AV18,IF($T$2="2019年",'Offer Statistics'!AV75,IF($T$2="2020年",'Offer Statistics'!AV132)))</f>
        <v>2</v>
      </c>
      <c r="Z18" s="284">
        <f>IF($T$2="2018年",'Offer Statistics'!AW18,IF($T$2="2019年",'Offer Statistics'!AW75,IF($T$2="2020年",'Offer Statistics'!AW132)))</f>
        <v>1</v>
      </c>
      <c r="AA18" s="501"/>
      <c r="AB18" s="283">
        <f>IF($AA$2="2018年",'Offer Statistics'!AP18,IF($AA$2="2019年",'Offer Statistics'!AP75,IF($AA$2="2020年",'Offer Statistics'!AP132)))</f>
        <v>2568</v>
      </c>
      <c r="AC18" s="284">
        <f>IF($AA$2="2018年",'Offer Statistics'!AK18,IF($AA$2="2019年",'Offer Statistics'!AK75,IF($AA$2="2020年",'Offer Statistics'!AK132)))</f>
        <v>197</v>
      </c>
      <c r="AD18" s="284">
        <f>IF($AA$2="2018年",'Offer Statistics'!AL18,IF($AA$2="2019年",'Offer Statistics'!AL75,IF($AA$2="2020年",'Offer Statistics'!AL132)))</f>
        <v>324</v>
      </c>
      <c r="AE18" s="284">
        <f>IF($AA$2="2018年",'Offer Statistics'!AM18,IF($AA$2="2019年",'Offer Statistics'!AM75,IF($AA$2="2020年",'Offer Statistics'!AM132)))</f>
        <v>554</v>
      </c>
      <c r="AF18" s="284">
        <f>IF($AA$2="2018年",'Offer Statistics'!AN18,IF($AA$2="2019年",'Offer Statistics'!AN75,IF($AA$2="2020年",'Offer Statistics'!AN132)))</f>
        <v>853</v>
      </c>
      <c r="AG18" s="284">
        <f>IF($AA$2="2018年",'Offer Statistics'!AO18,IF($AA$2="2019年",'Offer Statistics'!AO75,IF($AA$2="2020年",'Offer Statistics'!AO132)))</f>
        <v>640</v>
      </c>
      <c r="AH18" s="181"/>
      <c r="AI18" s="338" t="str">
        <f t="shared" si="2"/>
        <v>JS3600</v>
      </c>
    </row>
    <row r="19" spans="1:35" s="183" customFormat="1" ht="18" customHeight="1">
      <c r="A19" s="175" t="s">
        <v>412</v>
      </c>
      <c r="B19" s="175" t="s">
        <v>767</v>
      </c>
      <c r="C19" s="175" t="s">
        <v>502</v>
      </c>
      <c r="D19" s="175" t="s">
        <v>2094</v>
      </c>
      <c r="E19" s="437" t="s">
        <v>548</v>
      </c>
      <c r="F19" s="176">
        <f>'PolyU 參考分數'!AG54</f>
        <v>305.00000000002296</v>
      </c>
      <c r="G19" s="176">
        <f>'PolyU 參考分數'!AG55</f>
        <v>305.00000000002296</v>
      </c>
      <c r="H19" s="193">
        <f>計分版!D125</f>
        <v>2.2750000000000002E-8</v>
      </c>
      <c r="I19" s="188">
        <f t="shared" si="0"/>
        <v>-304.99999997727298</v>
      </c>
      <c r="J19" s="189">
        <f t="shared" si="1"/>
        <v>-13406593405.594416</v>
      </c>
      <c r="K19" s="276">
        <v>110</v>
      </c>
      <c r="L19" s="381">
        <f>入學要求!S105</f>
        <v>0</v>
      </c>
      <c r="M19" s="355" t="s">
        <v>360</v>
      </c>
      <c r="N19" s="181">
        <v>3</v>
      </c>
      <c r="O19" s="181">
        <v>3</v>
      </c>
      <c r="P19" s="181">
        <v>2</v>
      </c>
      <c r="Q19" s="181">
        <v>2</v>
      </c>
      <c r="R19" s="181">
        <v>3</v>
      </c>
      <c r="S19" s="181">
        <v>3</v>
      </c>
      <c r="T19" s="501"/>
      <c r="U19" s="283">
        <f>IF($T$2="2018年",'Offer Statistics'!AX19,IF($T$2="2019年",'Offer Statistics'!AX76,IF($T$2="2020年",'Offer Statistics'!AX133)))</f>
        <v>113</v>
      </c>
      <c r="V19" s="284">
        <f>IF($T$2="2018年",'Offer Statistics'!AS19,IF($T$2="2019年",'Offer Statistics'!AS76,IF($T$2="2020年",'Offer Statistics'!AS133)))</f>
        <v>112</v>
      </c>
      <c r="W19" s="284">
        <f>IF($T$2="2018年",'Offer Statistics'!AT19,IF($T$2="2019年",'Offer Statistics'!AT76,IF($T$2="2020年",'Offer Statistics'!AT133)))</f>
        <v>1</v>
      </c>
      <c r="X19" s="284">
        <f>IF($T$2="2018年",'Offer Statistics'!AU19,IF($T$2="2019年",'Offer Statistics'!AU76,IF($T$2="2020年",'Offer Statistics'!AU133)))</f>
        <v>0</v>
      </c>
      <c r="Y19" s="284">
        <f>IF($T$2="2018年",'Offer Statistics'!AV19,IF($T$2="2019年",'Offer Statistics'!AV76,IF($T$2="2020年",'Offer Statistics'!AV133)))</f>
        <v>0</v>
      </c>
      <c r="Z19" s="284">
        <f>IF($T$2="2018年",'Offer Statistics'!AW19,IF($T$2="2019年",'Offer Statistics'!AW76,IF($T$2="2020年",'Offer Statistics'!AW133)))</f>
        <v>0</v>
      </c>
      <c r="AA19" s="501"/>
      <c r="AB19" s="283">
        <f>IF($AA$2="2018年",'Offer Statistics'!AP19,IF($AA$2="2019年",'Offer Statistics'!AP76,IF($AA$2="2020年",'Offer Statistics'!AP133)))</f>
        <v>2332</v>
      </c>
      <c r="AC19" s="284">
        <f>IF($AA$2="2018年",'Offer Statistics'!AK19,IF($AA$2="2019年",'Offer Statistics'!AK76,IF($AA$2="2020年",'Offer Statistics'!AK133)))</f>
        <v>587</v>
      </c>
      <c r="AD19" s="284">
        <f>IF($AA$2="2018年",'Offer Statistics'!AL19,IF($AA$2="2019年",'Offer Statistics'!AL76,IF($AA$2="2020年",'Offer Statistics'!AL133)))</f>
        <v>291</v>
      </c>
      <c r="AE19" s="284">
        <f>IF($AA$2="2018年",'Offer Statistics'!AM19,IF($AA$2="2019年",'Offer Statistics'!AM76,IF($AA$2="2020年",'Offer Statistics'!AM133)))</f>
        <v>404</v>
      </c>
      <c r="AF19" s="284">
        <f>IF($AA$2="2018年",'Offer Statistics'!AN19,IF($AA$2="2019年",'Offer Statistics'!AN76,IF($AA$2="2020年",'Offer Statistics'!AN133)))</f>
        <v>502</v>
      </c>
      <c r="AG19" s="284">
        <f>IF($AA$2="2018年",'Offer Statistics'!AO19,IF($AA$2="2019年",'Offer Statistics'!AO76,IF($AA$2="2020年",'Offer Statistics'!AO133)))</f>
        <v>548</v>
      </c>
      <c r="AH19" s="181"/>
      <c r="AI19" s="338" t="str">
        <f t="shared" si="2"/>
        <v>JS3612</v>
      </c>
    </row>
    <row r="20" spans="1:35" s="183" customFormat="1" ht="18" customHeight="1">
      <c r="A20" s="175" t="s">
        <v>413</v>
      </c>
      <c r="B20" s="175" t="s">
        <v>767</v>
      </c>
      <c r="C20" s="175" t="s">
        <v>503</v>
      </c>
      <c r="D20" s="175" t="s">
        <v>2095</v>
      </c>
      <c r="E20" s="437" t="s">
        <v>548</v>
      </c>
      <c r="F20" s="176">
        <f>'PolyU 參考分數'!AG57</f>
        <v>299.00000000001614</v>
      </c>
      <c r="G20" s="176">
        <f>'PolyU 參考分數'!AG58</f>
        <v>288.50000000001683</v>
      </c>
      <c r="H20" s="193">
        <f>計分版!D126</f>
        <v>2.255E-8</v>
      </c>
      <c r="I20" s="188">
        <f t="shared" si="0"/>
        <v>-288.49999997746681</v>
      </c>
      <c r="J20" s="189">
        <f t="shared" si="1"/>
        <v>-12793791573.280125</v>
      </c>
      <c r="K20" s="276">
        <v>100</v>
      </c>
      <c r="L20" s="381">
        <f>入學要求!S106</f>
        <v>0</v>
      </c>
      <c r="M20" s="377" t="s">
        <v>2193</v>
      </c>
      <c r="N20" s="181">
        <v>3</v>
      </c>
      <c r="O20" s="181">
        <v>3</v>
      </c>
      <c r="P20" s="181">
        <v>2</v>
      </c>
      <c r="Q20" s="181">
        <v>2</v>
      </c>
      <c r="R20" s="181">
        <v>3</v>
      </c>
      <c r="S20" s="181">
        <v>3</v>
      </c>
      <c r="T20" s="501"/>
      <c r="U20" s="283">
        <f>IF($T$2="2018年",'Offer Statistics'!AX20,IF($T$2="2019年",'Offer Statistics'!AX77,IF($T$2="2020年",'Offer Statistics'!AX134)))</f>
        <v>101</v>
      </c>
      <c r="V20" s="284">
        <f>IF($T$2="2018年",'Offer Statistics'!AS20,IF($T$2="2019年",'Offer Statistics'!AS77,IF($T$2="2020年",'Offer Statistics'!AS134)))</f>
        <v>100</v>
      </c>
      <c r="W20" s="284">
        <f>IF($T$2="2018年",'Offer Statistics'!AT20,IF($T$2="2019年",'Offer Statistics'!AT77,IF($T$2="2020年",'Offer Statistics'!AT134)))</f>
        <v>1</v>
      </c>
      <c r="X20" s="284">
        <f>IF($T$2="2018年",'Offer Statistics'!AU20,IF($T$2="2019年",'Offer Statistics'!AU77,IF($T$2="2020年",'Offer Statistics'!AU134)))</f>
        <v>0</v>
      </c>
      <c r="Y20" s="284">
        <f>IF($T$2="2018年",'Offer Statistics'!AV20,IF($T$2="2019年",'Offer Statistics'!AV77,IF($T$2="2020年",'Offer Statistics'!AV134)))</f>
        <v>0</v>
      </c>
      <c r="Z20" s="284">
        <f>IF($T$2="2018年",'Offer Statistics'!AW20,IF($T$2="2019年",'Offer Statistics'!AW77,IF($T$2="2020年",'Offer Statistics'!AW134)))</f>
        <v>0</v>
      </c>
      <c r="AA20" s="501"/>
      <c r="AB20" s="283">
        <f>IF($AA$2="2018年",'Offer Statistics'!AP20,IF($AA$2="2019年",'Offer Statistics'!AP77,IF($AA$2="2020年",'Offer Statistics'!AP134)))</f>
        <v>2169</v>
      </c>
      <c r="AC20" s="284">
        <f>IF($AA$2="2018年",'Offer Statistics'!AK20,IF($AA$2="2019年",'Offer Statistics'!AK77,IF($AA$2="2020年",'Offer Statistics'!AK134)))</f>
        <v>483</v>
      </c>
      <c r="AD20" s="284">
        <f>IF($AA$2="2018年",'Offer Statistics'!AL20,IF($AA$2="2019年",'Offer Statistics'!AL77,IF($AA$2="2020年",'Offer Statistics'!AL134)))</f>
        <v>252</v>
      </c>
      <c r="AE20" s="284">
        <f>IF($AA$2="2018年",'Offer Statistics'!AM20,IF($AA$2="2019年",'Offer Statistics'!AM77,IF($AA$2="2020年",'Offer Statistics'!AM134)))</f>
        <v>400</v>
      </c>
      <c r="AF20" s="284">
        <f>IF($AA$2="2018年",'Offer Statistics'!AN20,IF($AA$2="2019年",'Offer Statistics'!AN77,IF($AA$2="2020年",'Offer Statistics'!AN134)))</f>
        <v>534</v>
      </c>
      <c r="AG20" s="284">
        <f>IF($AA$2="2018年",'Offer Statistics'!AO20,IF($AA$2="2019年",'Offer Statistics'!AO77,IF($AA$2="2020年",'Offer Statistics'!AO134)))</f>
        <v>500</v>
      </c>
      <c r="AH20" s="181"/>
      <c r="AI20" s="338" t="str">
        <f t="shared" si="2"/>
        <v>JS3624</v>
      </c>
    </row>
    <row r="21" spans="1:35" s="183" customFormat="1" ht="18" customHeight="1">
      <c r="A21" s="175" t="s">
        <v>414</v>
      </c>
      <c r="B21" s="175" t="s">
        <v>767</v>
      </c>
      <c r="C21" s="175" t="s">
        <v>504</v>
      </c>
      <c r="D21" s="175" t="s">
        <v>2096</v>
      </c>
      <c r="E21" s="437" t="s">
        <v>548</v>
      </c>
      <c r="F21" s="176">
        <f>'PolyU 參考分數'!AG60</f>
        <v>284.00000000001609</v>
      </c>
      <c r="G21" s="176">
        <f>'PolyU 參考分數'!AG61</f>
        <v>267.50000000001501</v>
      </c>
      <c r="H21" s="193">
        <f>計分版!D127</f>
        <v>2.255E-8</v>
      </c>
      <c r="I21" s="188">
        <f t="shared" si="0"/>
        <v>-267.499999977465</v>
      </c>
      <c r="J21" s="189">
        <f t="shared" si="1"/>
        <v>-11862527715.186918</v>
      </c>
      <c r="K21" s="276">
        <v>150</v>
      </c>
      <c r="L21" s="381">
        <f>入學要求!S107</f>
        <v>0</v>
      </c>
      <c r="M21" s="377" t="s">
        <v>2193</v>
      </c>
      <c r="N21" s="181">
        <v>3</v>
      </c>
      <c r="O21" s="181">
        <v>3</v>
      </c>
      <c r="P21" s="181">
        <v>2</v>
      </c>
      <c r="Q21" s="181">
        <v>2</v>
      </c>
      <c r="R21" s="181">
        <v>3</v>
      </c>
      <c r="S21" s="181">
        <v>3</v>
      </c>
      <c r="T21" s="501"/>
      <c r="U21" s="283">
        <f>IF($T$2="2018年",'Offer Statistics'!AX21,IF($T$2="2019年",'Offer Statistics'!AX78,IF($T$2="2020年",'Offer Statistics'!AX135)))</f>
        <v>142</v>
      </c>
      <c r="V21" s="284">
        <f>IF($T$2="2018年",'Offer Statistics'!AS21,IF($T$2="2019年",'Offer Statistics'!AS78,IF($T$2="2020年",'Offer Statistics'!AS135)))</f>
        <v>139</v>
      </c>
      <c r="W21" s="284">
        <f>IF($T$2="2018年",'Offer Statistics'!AT21,IF($T$2="2019年",'Offer Statistics'!AT78,IF($T$2="2020年",'Offer Statistics'!AT135)))</f>
        <v>3</v>
      </c>
      <c r="X21" s="284">
        <f>IF($T$2="2018年",'Offer Statistics'!AU21,IF($T$2="2019年",'Offer Statistics'!AU78,IF($T$2="2020年",'Offer Statistics'!AU135)))</f>
        <v>0</v>
      </c>
      <c r="Y21" s="284">
        <f>IF($T$2="2018年",'Offer Statistics'!AV21,IF($T$2="2019年",'Offer Statistics'!AV78,IF($T$2="2020年",'Offer Statistics'!AV135)))</f>
        <v>0</v>
      </c>
      <c r="Z21" s="284">
        <f>IF($T$2="2018年",'Offer Statistics'!AW21,IF($T$2="2019年",'Offer Statistics'!AW78,IF($T$2="2020年",'Offer Statistics'!AW135)))</f>
        <v>0</v>
      </c>
      <c r="AA21" s="501"/>
      <c r="AB21" s="283">
        <f>IF($AA$2="2018年",'Offer Statistics'!AP21,IF($AA$2="2019年",'Offer Statistics'!AP78,IF($AA$2="2020年",'Offer Statistics'!AP135)))</f>
        <v>2424</v>
      </c>
      <c r="AC21" s="284">
        <f>IF($AA$2="2018年",'Offer Statistics'!AK21,IF($AA$2="2019年",'Offer Statistics'!AK78,IF($AA$2="2020年",'Offer Statistics'!AK135)))</f>
        <v>518</v>
      </c>
      <c r="AD21" s="284">
        <f>IF($AA$2="2018年",'Offer Statistics'!AL21,IF($AA$2="2019年",'Offer Statistics'!AL78,IF($AA$2="2020年",'Offer Statistics'!AL135)))</f>
        <v>296</v>
      </c>
      <c r="AE21" s="284">
        <f>IF($AA$2="2018年",'Offer Statistics'!AM21,IF($AA$2="2019年",'Offer Statistics'!AM78,IF($AA$2="2020年",'Offer Statistics'!AM135)))</f>
        <v>429</v>
      </c>
      <c r="AF21" s="284">
        <f>IF($AA$2="2018年",'Offer Statistics'!AN21,IF($AA$2="2019年",'Offer Statistics'!AN78,IF($AA$2="2020年",'Offer Statistics'!AN135)))</f>
        <v>608</v>
      </c>
      <c r="AG21" s="284">
        <f>IF($AA$2="2018年",'Offer Statistics'!AO21,IF($AA$2="2019年",'Offer Statistics'!AO78,IF($AA$2="2020年",'Offer Statistics'!AO135)))</f>
        <v>573</v>
      </c>
      <c r="AH21" s="181"/>
      <c r="AI21" s="338" t="str">
        <f t="shared" si="2"/>
        <v>JS3636</v>
      </c>
    </row>
    <row r="22" spans="1:35" s="183" customFormat="1" ht="18" customHeight="1">
      <c r="A22" s="175" t="s">
        <v>415</v>
      </c>
      <c r="B22" s="175" t="s">
        <v>767</v>
      </c>
      <c r="C22" s="175" t="s">
        <v>505</v>
      </c>
      <c r="D22" s="175" t="s">
        <v>2097</v>
      </c>
      <c r="E22" s="437" t="s">
        <v>190</v>
      </c>
      <c r="F22" s="176">
        <f>'PolyU 參考分數'!AG63</f>
        <v>245.00000000001498</v>
      </c>
      <c r="G22" s="176">
        <f>'PolyU 參考分數'!AG64</f>
        <v>230.00000000001501</v>
      </c>
      <c r="H22" s="193">
        <f>計分版!D128</f>
        <v>1.925E-8</v>
      </c>
      <c r="I22" s="188">
        <f t="shared" si="0"/>
        <v>-229.99999998076501</v>
      </c>
      <c r="J22" s="189">
        <f t="shared" si="1"/>
        <v>-11948051947.052727</v>
      </c>
      <c r="K22" s="276">
        <v>193</v>
      </c>
      <c r="L22" s="381">
        <f>入學要求!S108</f>
        <v>0</v>
      </c>
      <c r="M22" s="355" t="s">
        <v>360</v>
      </c>
      <c r="N22" s="181">
        <v>3</v>
      </c>
      <c r="O22" s="181">
        <v>3</v>
      </c>
      <c r="P22" s="181">
        <v>2</v>
      </c>
      <c r="Q22" s="181">
        <v>2</v>
      </c>
      <c r="R22" s="181">
        <v>3</v>
      </c>
      <c r="S22" s="181">
        <v>3</v>
      </c>
      <c r="T22" s="501"/>
      <c r="U22" s="283">
        <f>IF($T$2="2018年",'Offer Statistics'!AX22,IF($T$2="2019年",'Offer Statistics'!AX79,IF($T$2="2020年",'Offer Statistics'!AX136)))</f>
        <v>165</v>
      </c>
      <c r="V22" s="284">
        <f>IF($T$2="2018年",'Offer Statistics'!AS22,IF($T$2="2019年",'Offer Statistics'!AS79,IF($T$2="2020年",'Offer Statistics'!AS136)))</f>
        <v>163</v>
      </c>
      <c r="W22" s="284">
        <f>IF($T$2="2018年",'Offer Statistics'!AT22,IF($T$2="2019年",'Offer Statistics'!AT79,IF($T$2="2020年",'Offer Statistics'!AT136)))</f>
        <v>1</v>
      </c>
      <c r="X22" s="284">
        <f>IF($T$2="2018年",'Offer Statistics'!AU22,IF($T$2="2019年",'Offer Statistics'!AU79,IF($T$2="2020年",'Offer Statistics'!AU136)))</f>
        <v>1</v>
      </c>
      <c r="Y22" s="284">
        <f>IF($T$2="2018年",'Offer Statistics'!AV22,IF($T$2="2019年",'Offer Statistics'!AV79,IF($T$2="2020年",'Offer Statistics'!AV136)))</f>
        <v>0</v>
      </c>
      <c r="Z22" s="284">
        <f>IF($T$2="2018年",'Offer Statistics'!AW22,IF($T$2="2019年",'Offer Statistics'!AW79,IF($T$2="2020年",'Offer Statistics'!AW136)))</f>
        <v>0</v>
      </c>
      <c r="AA22" s="501"/>
      <c r="AB22" s="283">
        <f>IF($AA$2="2018年",'Offer Statistics'!AP22,IF($AA$2="2019年",'Offer Statistics'!AP79,IF($AA$2="2020年",'Offer Statistics'!AP136)))</f>
        <v>4864</v>
      </c>
      <c r="AC22" s="284">
        <f>IF($AA$2="2018年",'Offer Statistics'!AK22,IF($AA$2="2019年",'Offer Statistics'!AK79,IF($AA$2="2020年",'Offer Statistics'!AK136)))</f>
        <v>1154</v>
      </c>
      <c r="AD22" s="284">
        <f>IF($AA$2="2018年",'Offer Statistics'!AL22,IF($AA$2="2019年",'Offer Statistics'!AL79,IF($AA$2="2020年",'Offer Statistics'!AL136)))</f>
        <v>862</v>
      </c>
      <c r="AE22" s="284">
        <f>IF($AA$2="2018年",'Offer Statistics'!AM22,IF($AA$2="2019年",'Offer Statistics'!AM79,IF($AA$2="2020年",'Offer Statistics'!AM136)))</f>
        <v>996</v>
      </c>
      <c r="AF22" s="284">
        <f>IF($AA$2="2018年",'Offer Statistics'!AN22,IF($AA$2="2019年",'Offer Statistics'!AN79,IF($AA$2="2020年",'Offer Statistics'!AN136)))</f>
        <v>1063</v>
      </c>
      <c r="AG22" s="284">
        <f>IF($AA$2="2018年",'Offer Statistics'!AO22,IF($AA$2="2019年",'Offer Statistics'!AO79,IF($AA$2="2020年",'Offer Statistics'!AO136)))</f>
        <v>789</v>
      </c>
      <c r="AH22" s="181"/>
      <c r="AI22" s="338" t="str">
        <f t="shared" si="2"/>
        <v>JS3648</v>
      </c>
    </row>
    <row r="23" spans="1:35" s="183" customFormat="1" ht="18" customHeight="1">
      <c r="A23" s="175" t="s">
        <v>416</v>
      </c>
      <c r="B23" s="175" t="s">
        <v>769</v>
      </c>
      <c r="C23" s="175" t="s">
        <v>506</v>
      </c>
      <c r="D23" s="175" t="s">
        <v>2098</v>
      </c>
      <c r="E23" s="437" t="s">
        <v>548</v>
      </c>
      <c r="F23" s="176">
        <f>'PolyU 參考分數'!AG66</f>
        <v>305.00000000002905</v>
      </c>
      <c r="G23" s="176">
        <f>'PolyU 參考分數'!AG67</f>
        <v>290.00000000002302</v>
      </c>
      <c r="H23" s="193">
        <f>計分版!D129</f>
        <v>2.475E-8</v>
      </c>
      <c r="I23" s="188">
        <f t="shared" si="0"/>
        <v>-289.999999975273</v>
      </c>
      <c r="J23" s="189">
        <f t="shared" si="1"/>
        <v>-11717171716.172646</v>
      </c>
      <c r="K23" s="276">
        <v>45</v>
      </c>
      <c r="L23" s="381">
        <f>入學要求!S109</f>
        <v>0</v>
      </c>
      <c r="M23" s="355" t="s">
        <v>360</v>
      </c>
      <c r="N23" s="181">
        <v>3</v>
      </c>
      <c r="O23" s="181">
        <v>3</v>
      </c>
      <c r="P23" s="181">
        <v>2</v>
      </c>
      <c r="Q23" s="181">
        <v>2</v>
      </c>
      <c r="R23" s="181">
        <v>3</v>
      </c>
      <c r="S23" s="181">
        <v>3</v>
      </c>
      <c r="T23" s="501"/>
      <c r="U23" s="283">
        <f>IF($T$2="2018年",'Offer Statistics'!AX23,IF($T$2="2019年",'Offer Statistics'!AX80,IF($T$2="2020年",'Offer Statistics'!AX137)))</f>
        <v>51</v>
      </c>
      <c r="V23" s="284">
        <f>IF($T$2="2018年",'Offer Statistics'!AS23,IF($T$2="2019年",'Offer Statistics'!AS80,IF($T$2="2020年",'Offer Statistics'!AS137)))</f>
        <v>46</v>
      </c>
      <c r="W23" s="284">
        <f>IF($T$2="2018年",'Offer Statistics'!AT23,IF($T$2="2019年",'Offer Statistics'!AT80,IF($T$2="2020年",'Offer Statistics'!AT137)))</f>
        <v>5</v>
      </c>
      <c r="X23" s="284">
        <f>IF($T$2="2018年",'Offer Statistics'!AU23,IF($T$2="2019年",'Offer Statistics'!AU80,IF($T$2="2020年",'Offer Statistics'!AU137)))</f>
        <v>0</v>
      </c>
      <c r="Y23" s="284">
        <f>IF($T$2="2018年",'Offer Statistics'!AV23,IF($T$2="2019年",'Offer Statistics'!AV80,IF($T$2="2020年",'Offer Statistics'!AV137)))</f>
        <v>0</v>
      </c>
      <c r="Z23" s="284">
        <f>IF($T$2="2018年",'Offer Statistics'!AW23,IF($T$2="2019年",'Offer Statistics'!AW80,IF($T$2="2020年",'Offer Statistics'!AW137)))</f>
        <v>0</v>
      </c>
      <c r="AA23" s="501"/>
      <c r="AB23" s="283">
        <f>IF($AA$2="2018年",'Offer Statistics'!AP23,IF($AA$2="2019年",'Offer Statistics'!AP80,IF($AA$2="2020年",'Offer Statistics'!AP137)))</f>
        <v>1810</v>
      </c>
      <c r="AC23" s="284">
        <f>IF($AA$2="2018年",'Offer Statistics'!AK23,IF($AA$2="2019年",'Offer Statistics'!AK80,IF($AA$2="2020年",'Offer Statistics'!AK137)))</f>
        <v>264</v>
      </c>
      <c r="AD23" s="284">
        <f>IF($AA$2="2018年",'Offer Statistics'!AL23,IF($AA$2="2019年",'Offer Statistics'!AL80,IF($AA$2="2020年",'Offer Statistics'!AL137)))</f>
        <v>231</v>
      </c>
      <c r="AE23" s="284">
        <f>IF($AA$2="2018年",'Offer Statistics'!AM23,IF($AA$2="2019年",'Offer Statistics'!AM80,IF($AA$2="2020年",'Offer Statistics'!AM137)))</f>
        <v>378</v>
      </c>
      <c r="AF23" s="284">
        <f>IF($AA$2="2018年",'Offer Statistics'!AN23,IF($AA$2="2019年",'Offer Statistics'!AN80,IF($AA$2="2020年",'Offer Statistics'!AN137)))</f>
        <v>466</v>
      </c>
      <c r="AG23" s="284">
        <f>IF($AA$2="2018年",'Offer Statistics'!AO23,IF($AA$2="2019年",'Offer Statistics'!AO80,IF($AA$2="2020年",'Offer Statistics'!AO137)))</f>
        <v>471</v>
      </c>
      <c r="AH23" s="181"/>
      <c r="AI23" s="338" t="str">
        <f t="shared" si="2"/>
        <v>JS3650</v>
      </c>
    </row>
    <row r="24" spans="1:35" s="183" customFormat="1" ht="18" customHeight="1">
      <c r="A24" s="175" t="s">
        <v>417</v>
      </c>
      <c r="B24" s="175" t="s">
        <v>767</v>
      </c>
      <c r="C24" s="175" t="s">
        <v>507</v>
      </c>
      <c r="D24" s="175" t="s">
        <v>2099</v>
      </c>
      <c r="E24" s="438" t="s">
        <v>190</v>
      </c>
      <c r="F24" s="176">
        <f>'PolyU 參考分數'!AG69</f>
        <v>164.00000000000949</v>
      </c>
      <c r="G24" s="176">
        <f>'PolyU 參考分數'!AG70</f>
        <v>163.50000000001003</v>
      </c>
      <c r="H24" s="193">
        <f>計分版!D130</f>
        <v>1.625E-8</v>
      </c>
      <c r="I24" s="188">
        <f t="shared" si="0"/>
        <v>-163.49999998376003</v>
      </c>
      <c r="J24" s="189">
        <f t="shared" si="1"/>
        <v>-10061538460.53908</v>
      </c>
      <c r="K24" s="276">
        <v>32</v>
      </c>
      <c r="L24" s="381">
        <f>入學要求!S110</f>
        <v>0</v>
      </c>
      <c r="M24" s="377" t="s">
        <v>2193</v>
      </c>
      <c r="N24" s="181">
        <v>3</v>
      </c>
      <c r="O24" s="181">
        <v>3</v>
      </c>
      <c r="P24" s="181">
        <v>2</v>
      </c>
      <c r="Q24" s="181">
        <v>2</v>
      </c>
      <c r="R24" s="181">
        <v>3</v>
      </c>
      <c r="S24" s="181">
        <v>3</v>
      </c>
      <c r="T24" s="501"/>
      <c r="U24" s="283">
        <f>IF($T$2="2018年",'Offer Statistics'!AX24,IF($T$2="2019年",'Offer Statistics'!AX81,IF($T$2="2020年",'Offer Statistics'!AX138)))</f>
        <v>35</v>
      </c>
      <c r="V24" s="284">
        <f>IF($T$2="2018年",'Offer Statistics'!AS24,IF($T$2="2019年",'Offer Statistics'!AS81,IF($T$2="2020年",'Offer Statistics'!AS138)))</f>
        <v>35</v>
      </c>
      <c r="W24" s="284">
        <f>IF($T$2="2018年",'Offer Statistics'!AT24,IF($T$2="2019年",'Offer Statistics'!AT81,IF($T$2="2020年",'Offer Statistics'!AT138)))</f>
        <v>0</v>
      </c>
      <c r="X24" s="284">
        <f>IF($T$2="2018年",'Offer Statistics'!AU24,IF($T$2="2019年",'Offer Statistics'!AU81,IF($T$2="2020年",'Offer Statistics'!AU138)))</f>
        <v>0</v>
      </c>
      <c r="Y24" s="284">
        <f>IF($T$2="2018年",'Offer Statistics'!AV24,IF($T$2="2019年",'Offer Statistics'!AV81,IF($T$2="2020年",'Offer Statistics'!AV138)))</f>
        <v>0</v>
      </c>
      <c r="Z24" s="284">
        <f>IF($T$2="2018年",'Offer Statistics'!AW24,IF($T$2="2019年",'Offer Statistics'!AW81,IF($T$2="2020年",'Offer Statistics'!AW138)))</f>
        <v>0</v>
      </c>
      <c r="AA24" s="501"/>
      <c r="AB24" s="283">
        <f>IF($AA$2="2018年",'Offer Statistics'!AP24,IF($AA$2="2019年",'Offer Statistics'!AP81,IF($AA$2="2020年",'Offer Statistics'!AP138)))</f>
        <v>4090</v>
      </c>
      <c r="AC24" s="284">
        <f>IF($AA$2="2018年",'Offer Statistics'!AK24,IF($AA$2="2019年",'Offer Statistics'!AK81,IF($AA$2="2020年",'Offer Statistics'!AK138)))</f>
        <v>546</v>
      </c>
      <c r="AD24" s="284">
        <f>IF($AA$2="2018年",'Offer Statistics'!AL24,IF($AA$2="2019年",'Offer Statistics'!AL81,IF($AA$2="2020年",'Offer Statistics'!AL138)))</f>
        <v>493</v>
      </c>
      <c r="AE24" s="284">
        <f>IF($AA$2="2018年",'Offer Statistics'!AM24,IF($AA$2="2019年",'Offer Statistics'!AM81,IF($AA$2="2020年",'Offer Statistics'!AM138)))</f>
        <v>822</v>
      </c>
      <c r="AF24" s="284">
        <f>IF($AA$2="2018年",'Offer Statistics'!AN24,IF($AA$2="2019年",'Offer Statistics'!AN81,IF($AA$2="2020年",'Offer Statistics'!AN138)))</f>
        <v>1202</v>
      </c>
      <c r="AG24" s="284">
        <f>IF($AA$2="2018年",'Offer Statistics'!AO24,IF($AA$2="2019年",'Offer Statistics'!AO81,IF($AA$2="2020年",'Offer Statistics'!AO138)))</f>
        <v>1027</v>
      </c>
      <c r="AH24" s="181"/>
      <c r="AI24" s="338" t="str">
        <f t="shared" si="2"/>
        <v>JS3662</v>
      </c>
    </row>
    <row r="25" spans="1:35" s="183" customFormat="1" ht="18" customHeight="1">
      <c r="A25" s="175" t="s">
        <v>418</v>
      </c>
      <c r="B25" s="175" t="s">
        <v>771</v>
      </c>
      <c r="C25" s="175" t="s">
        <v>508</v>
      </c>
      <c r="D25" s="175" t="s">
        <v>2100</v>
      </c>
      <c r="E25" s="437" t="s">
        <v>189</v>
      </c>
      <c r="F25" s="176">
        <f>'PolyU 參考分數'!AG72</f>
        <v>151.0000000000127</v>
      </c>
      <c r="G25" s="176">
        <f>'PolyU 參考分數'!AG73</f>
        <v>146.000000000011</v>
      </c>
      <c r="H25" s="193">
        <f>計分版!D131</f>
        <v>1.9750000000000001E-8</v>
      </c>
      <c r="I25" s="188">
        <f t="shared" si="0"/>
        <v>-145.99999998026101</v>
      </c>
      <c r="J25" s="189">
        <f t="shared" si="1"/>
        <v>-7392405062.2916965</v>
      </c>
      <c r="K25" s="276">
        <v>31</v>
      </c>
      <c r="L25" s="381">
        <f>入學要求!S111</f>
        <v>0</v>
      </c>
      <c r="M25" s="377" t="s">
        <v>2193</v>
      </c>
      <c r="N25" s="181">
        <v>3</v>
      </c>
      <c r="O25" s="181">
        <v>3</v>
      </c>
      <c r="P25" s="181">
        <v>2</v>
      </c>
      <c r="Q25" s="181">
        <v>2</v>
      </c>
      <c r="R25" s="181">
        <v>3</v>
      </c>
      <c r="S25" s="181">
        <v>3</v>
      </c>
      <c r="T25" s="501"/>
      <c r="U25" s="283">
        <f>IF($T$2="2018年",'Offer Statistics'!AX25,IF($T$2="2019年",'Offer Statistics'!AX82,IF($T$2="2020年",'Offer Statistics'!AX139)))</f>
        <v>34</v>
      </c>
      <c r="V25" s="284">
        <f>IF($T$2="2018年",'Offer Statistics'!AS25,IF($T$2="2019年",'Offer Statistics'!AS82,IF($T$2="2020年",'Offer Statistics'!AS139)))</f>
        <v>19</v>
      </c>
      <c r="W25" s="284">
        <f>IF($T$2="2018年",'Offer Statistics'!AT25,IF($T$2="2019年",'Offer Statistics'!AT82,IF($T$2="2020年",'Offer Statistics'!AT139)))</f>
        <v>5</v>
      </c>
      <c r="X25" s="284">
        <f>IF($T$2="2018年",'Offer Statistics'!AU25,IF($T$2="2019年",'Offer Statistics'!AU82,IF($T$2="2020年",'Offer Statistics'!AU139)))</f>
        <v>6</v>
      </c>
      <c r="Y25" s="284">
        <f>IF($T$2="2018年",'Offer Statistics'!AV25,IF($T$2="2019年",'Offer Statistics'!AV82,IF($T$2="2020年",'Offer Statistics'!AV139)))</f>
        <v>2</v>
      </c>
      <c r="Z25" s="284">
        <f>IF($T$2="2018年",'Offer Statistics'!AW25,IF($T$2="2019年",'Offer Statistics'!AW82,IF($T$2="2020年",'Offer Statistics'!AW139)))</f>
        <v>2</v>
      </c>
      <c r="AA25" s="501"/>
      <c r="AB25" s="283">
        <f>IF($AA$2="2018年",'Offer Statistics'!AP25,IF($AA$2="2019年",'Offer Statistics'!AP82,IF($AA$2="2020年",'Offer Statistics'!AP139)))</f>
        <v>2453</v>
      </c>
      <c r="AC25" s="284">
        <f>IF($AA$2="2018年",'Offer Statistics'!AK25,IF($AA$2="2019年",'Offer Statistics'!AK82,IF($AA$2="2020年",'Offer Statistics'!AK139)))</f>
        <v>199</v>
      </c>
      <c r="AD25" s="284">
        <f>IF($AA$2="2018年",'Offer Statistics'!AL25,IF($AA$2="2019年",'Offer Statistics'!AL82,IF($AA$2="2020年",'Offer Statistics'!AL139)))</f>
        <v>334</v>
      </c>
      <c r="AE25" s="284">
        <f>IF($AA$2="2018年",'Offer Statistics'!AM25,IF($AA$2="2019年",'Offer Statistics'!AM82,IF($AA$2="2020年",'Offer Statistics'!AM139)))</f>
        <v>619</v>
      </c>
      <c r="AF25" s="284">
        <f>IF($AA$2="2018年",'Offer Statistics'!AN25,IF($AA$2="2019年",'Offer Statistics'!AN82,IF($AA$2="2020年",'Offer Statistics'!AN139)))</f>
        <v>714</v>
      </c>
      <c r="AG25" s="284">
        <f>IF($AA$2="2018年",'Offer Statistics'!AO25,IF($AA$2="2019年",'Offer Statistics'!AO82,IF($AA$2="2020年",'Offer Statistics'!AO139)))</f>
        <v>587</v>
      </c>
      <c r="AH25" s="181"/>
      <c r="AI25" s="338" t="str">
        <f t="shared" si="2"/>
        <v>JS3674</v>
      </c>
    </row>
    <row r="26" spans="1:35" s="183" customFormat="1" ht="18" customHeight="1">
      <c r="A26" s="175" t="s">
        <v>419</v>
      </c>
      <c r="B26" s="175" t="s">
        <v>293</v>
      </c>
      <c r="C26" s="175" t="s">
        <v>509</v>
      </c>
      <c r="D26" s="175" t="s">
        <v>2101</v>
      </c>
      <c r="E26" s="437" t="s">
        <v>189</v>
      </c>
      <c r="F26" s="176">
        <f>'PolyU 參考分數'!AG75</f>
        <v>180.00000000002299</v>
      </c>
      <c r="G26" s="176">
        <f>'PolyU 參考分數'!AG76</f>
        <v>170.00000000002402</v>
      </c>
      <c r="H26" s="193">
        <f>計分版!D132</f>
        <v>2.175E-8</v>
      </c>
      <c r="I26" s="188">
        <f t="shared" si="0"/>
        <v>-169.99999997827402</v>
      </c>
      <c r="J26" s="189">
        <f t="shared" si="1"/>
        <v>-7816091953.0240927</v>
      </c>
      <c r="K26" s="276">
        <v>37</v>
      </c>
      <c r="L26" s="381">
        <f>入學要求!S112</f>
        <v>0</v>
      </c>
      <c r="M26" s="355" t="s">
        <v>2194</v>
      </c>
      <c r="N26" s="181">
        <v>3</v>
      </c>
      <c r="O26" s="181">
        <v>3</v>
      </c>
      <c r="P26" s="181">
        <v>2</v>
      </c>
      <c r="Q26" s="181">
        <v>2</v>
      </c>
      <c r="R26" s="181">
        <v>3</v>
      </c>
      <c r="S26" s="181">
        <v>3</v>
      </c>
      <c r="T26" s="501"/>
      <c r="U26" s="283">
        <f>IF($T$2="2018年",'Offer Statistics'!AX26,IF($T$2="2019年",'Offer Statistics'!AX83,IF($T$2="2020年",'Offer Statistics'!AX140)))</f>
        <v>30</v>
      </c>
      <c r="V26" s="284">
        <f>IF($T$2="2018年",'Offer Statistics'!AS26,IF($T$2="2019年",'Offer Statistics'!AS83,IF($T$2="2020年",'Offer Statistics'!AS140)))</f>
        <v>21</v>
      </c>
      <c r="W26" s="284">
        <f>IF($T$2="2018年",'Offer Statistics'!AT26,IF($T$2="2019年",'Offer Statistics'!AT83,IF($T$2="2020年",'Offer Statistics'!AT140)))</f>
        <v>2</v>
      </c>
      <c r="X26" s="284">
        <f>IF($T$2="2018年",'Offer Statistics'!AU26,IF($T$2="2019年",'Offer Statistics'!AU83,IF($T$2="2020年",'Offer Statistics'!AU140)))</f>
        <v>5</v>
      </c>
      <c r="Y26" s="284">
        <f>IF($T$2="2018年",'Offer Statistics'!AV26,IF($T$2="2019年",'Offer Statistics'!AV83,IF($T$2="2020年",'Offer Statistics'!AV140)))</f>
        <v>2</v>
      </c>
      <c r="Z26" s="284">
        <f>IF($T$2="2018年",'Offer Statistics'!AW26,IF($T$2="2019年",'Offer Statistics'!AW83,IF($T$2="2020年",'Offer Statistics'!AW140)))</f>
        <v>0</v>
      </c>
      <c r="AA26" s="501"/>
      <c r="AB26" s="283">
        <f>IF($AA$2="2018年",'Offer Statistics'!AP26,IF($AA$2="2019年",'Offer Statistics'!AP83,IF($AA$2="2020年",'Offer Statistics'!AP140)))</f>
        <v>3250</v>
      </c>
      <c r="AC26" s="284">
        <f>IF($AA$2="2018年",'Offer Statistics'!AK26,IF($AA$2="2019年",'Offer Statistics'!AK83,IF($AA$2="2020年",'Offer Statistics'!AK140)))</f>
        <v>456</v>
      </c>
      <c r="AD26" s="284">
        <f>IF($AA$2="2018年",'Offer Statistics'!AL26,IF($AA$2="2019年",'Offer Statistics'!AL83,IF($AA$2="2020年",'Offer Statistics'!AL140)))</f>
        <v>591</v>
      </c>
      <c r="AE26" s="284">
        <f>IF($AA$2="2018年",'Offer Statistics'!AM26,IF($AA$2="2019年",'Offer Statistics'!AM83,IF($AA$2="2020年",'Offer Statistics'!AM140)))</f>
        <v>835</v>
      </c>
      <c r="AF26" s="284">
        <f>IF($AA$2="2018年",'Offer Statistics'!AN26,IF($AA$2="2019年",'Offer Statistics'!AN83,IF($AA$2="2020年",'Offer Statistics'!AN140)))</f>
        <v>836</v>
      </c>
      <c r="AG26" s="284">
        <f>IF($AA$2="2018年",'Offer Statistics'!AO26,IF($AA$2="2019年",'Offer Statistics'!AO83,IF($AA$2="2020年",'Offer Statistics'!AO140)))</f>
        <v>532</v>
      </c>
      <c r="AH26" s="181"/>
      <c r="AI26" s="338" t="str">
        <f t="shared" si="2"/>
        <v>JS3703</v>
      </c>
    </row>
    <row r="27" spans="1:35" s="183" customFormat="1" ht="18" customHeight="1">
      <c r="A27" s="175" t="s">
        <v>420</v>
      </c>
      <c r="B27" s="175" t="s">
        <v>293</v>
      </c>
      <c r="C27" s="175" t="s">
        <v>510</v>
      </c>
      <c r="D27" s="175" t="s">
        <v>2102</v>
      </c>
      <c r="E27" s="437" t="s">
        <v>189</v>
      </c>
      <c r="F27" s="176">
        <f>'PolyU 參考分數'!AG78</f>
        <v>220.00000000002399</v>
      </c>
      <c r="G27" s="176">
        <f>'PolyU 參考分數'!AG79</f>
        <v>186.00000000001876</v>
      </c>
      <c r="H27" s="193">
        <f>計分版!D133</f>
        <v>2.175E-8</v>
      </c>
      <c r="I27" s="188">
        <f t="shared" si="0"/>
        <v>-185.99999997826876</v>
      </c>
      <c r="J27" s="189">
        <f t="shared" si="1"/>
        <v>-8551724136.9318972</v>
      </c>
      <c r="K27" s="276">
        <v>39</v>
      </c>
      <c r="L27" s="381">
        <f>入學要求!S113</f>
        <v>0</v>
      </c>
      <c r="M27" s="355" t="s">
        <v>2194</v>
      </c>
      <c r="N27" s="181">
        <v>3</v>
      </c>
      <c r="O27" s="181">
        <v>3</v>
      </c>
      <c r="P27" s="181">
        <v>2</v>
      </c>
      <c r="Q27" s="181">
        <v>2</v>
      </c>
      <c r="R27" s="181">
        <v>3</v>
      </c>
      <c r="S27" s="181">
        <v>3</v>
      </c>
      <c r="T27" s="501"/>
      <c r="U27" s="283">
        <f>IF($T$2="2018年",'Offer Statistics'!AX27,IF($T$2="2019年",'Offer Statistics'!AX84,IF($T$2="2020年",'Offer Statistics'!AX141)))</f>
        <v>41</v>
      </c>
      <c r="V27" s="284">
        <f>IF($T$2="2018年",'Offer Statistics'!AS27,IF($T$2="2019年",'Offer Statistics'!AS84,IF($T$2="2020年",'Offer Statistics'!AS141)))</f>
        <v>38</v>
      </c>
      <c r="W27" s="284">
        <f>IF($T$2="2018年",'Offer Statistics'!AT27,IF($T$2="2019年",'Offer Statistics'!AT84,IF($T$2="2020年",'Offer Statistics'!AT141)))</f>
        <v>2</v>
      </c>
      <c r="X27" s="284">
        <f>IF($T$2="2018年",'Offer Statistics'!AU27,IF($T$2="2019年",'Offer Statistics'!AU84,IF($T$2="2020年",'Offer Statistics'!AU141)))</f>
        <v>1</v>
      </c>
      <c r="Y27" s="284">
        <f>IF($T$2="2018年",'Offer Statistics'!AV27,IF($T$2="2019年",'Offer Statistics'!AV84,IF($T$2="2020年",'Offer Statistics'!AV141)))</f>
        <v>0</v>
      </c>
      <c r="Z27" s="284">
        <f>IF($T$2="2018年",'Offer Statistics'!AW27,IF($T$2="2019年",'Offer Statistics'!AW84,IF($T$2="2020年",'Offer Statistics'!AW141)))</f>
        <v>0</v>
      </c>
      <c r="AA27" s="501"/>
      <c r="AB27" s="283">
        <f>IF($AA$2="2018年",'Offer Statistics'!AP27,IF($AA$2="2019年",'Offer Statistics'!AP84,IF($AA$2="2020年",'Offer Statistics'!AP141)))</f>
        <v>2682</v>
      </c>
      <c r="AC27" s="284">
        <f>IF($AA$2="2018年",'Offer Statistics'!AK27,IF($AA$2="2019年",'Offer Statistics'!AK84,IF($AA$2="2020年",'Offer Statistics'!AK141)))</f>
        <v>282</v>
      </c>
      <c r="AD27" s="284">
        <f>IF($AA$2="2018年",'Offer Statistics'!AL27,IF($AA$2="2019年",'Offer Statistics'!AL84,IF($AA$2="2020年",'Offer Statistics'!AL141)))</f>
        <v>431</v>
      </c>
      <c r="AE27" s="284">
        <f>IF($AA$2="2018年",'Offer Statistics'!AM27,IF($AA$2="2019年",'Offer Statistics'!AM84,IF($AA$2="2020年",'Offer Statistics'!AM141)))</f>
        <v>677</v>
      </c>
      <c r="AF27" s="284">
        <f>IF($AA$2="2018年",'Offer Statistics'!AN27,IF($AA$2="2019年",'Offer Statistics'!AN84,IF($AA$2="2020年",'Offer Statistics'!AN141)))</f>
        <v>791</v>
      </c>
      <c r="AG27" s="284">
        <f>IF($AA$2="2018年",'Offer Statistics'!AO27,IF($AA$2="2019年",'Offer Statistics'!AO84,IF($AA$2="2020年",'Offer Statistics'!AO141)))</f>
        <v>501</v>
      </c>
      <c r="AH27" s="181"/>
      <c r="AI27" s="338" t="str">
        <f t="shared" si="2"/>
        <v>JS3715</v>
      </c>
    </row>
    <row r="28" spans="1:35" s="183" customFormat="1" ht="18" customHeight="1">
      <c r="A28" s="175" t="s">
        <v>421</v>
      </c>
      <c r="B28" s="175" t="s">
        <v>770</v>
      </c>
      <c r="C28" s="175" t="s">
        <v>511</v>
      </c>
      <c r="D28" s="175" t="s">
        <v>2103</v>
      </c>
      <c r="E28" s="437" t="s">
        <v>189</v>
      </c>
      <c r="F28" s="176">
        <f>'PolyU 參考分數'!AG81</f>
        <v>191.0000000000135</v>
      </c>
      <c r="G28" s="176">
        <f>'PolyU 參考分數'!AG82</f>
        <v>184.0000000000135</v>
      </c>
      <c r="H28" s="193">
        <f>計分版!D134</f>
        <v>2.175E-8</v>
      </c>
      <c r="I28" s="188">
        <f t="shared" si="0"/>
        <v>-183.9999999782635</v>
      </c>
      <c r="J28" s="189">
        <f t="shared" si="1"/>
        <v>-8459770113.9431496</v>
      </c>
      <c r="K28" s="276">
        <v>62</v>
      </c>
      <c r="L28" s="381">
        <f>入學要求!S114</f>
        <v>0</v>
      </c>
      <c r="M28" s="377" t="s">
        <v>2193</v>
      </c>
      <c r="N28" s="181">
        <v>3</v>
      </c>
      <c r="O28" s="181">
        <v>3</v>
      </c>
      <c r="P28" s="181">
        <v>2</v>
      </c>
      <c r="Q28" s="181">
        <v>2</v>
      </c>
      <c r="R28" s="181">
        <v>3</v>
      </c>
      <c r="S28" s="181">
        <v>3</v>
      </c>
      <c r="T28" s="501"/>
      <c r="U28" s="283">
        <f>IF($T$2="2018年",'Offer Statistics'!AX28,IF($T$2="2019年",'Offer Statistics'!AX85,IF($T$2="2020年",'Offer Statistics'!AX142)))</f>
        <v>58</v>
      </c>
      <c r="V28" s="284">
        <f>IF($T$2="2018年",'Offer Statistics'!AS28,IF($T$2="2019年",'Offer Statistics'!AS85,IF($T$2="2020年",'Offer Statistics'!AS142)))</f>
        <v>56</v>
      </c>
      <c r="W28" s="284">
        <f>IF($T$2="2018年",'Offer Statistics'!AT28,IF($T$2="2019年",'Offer Statistics'!AT85,IF($T$2="2020年",'Offer Statistics'!AT142)))</f>
        <v>2</v>
      </c>
      <c r="X28" s="284">
        <f>IF($T$2="2018年",'Offer Statistics'!AU28,IF($T$2="2019年",'Offer Statistics'!AU85,IF($T$2="2020年",'Offer Statistics'!AU142)))</f>
        <v>0</v>
      </c>
      <c r="Y28" s="284">
        <f>IF($T$2="2018年",'Offer Statistics'!AV28,IF($T$2="2019年",'Offer Statistics'!AV85,IF($T$2="2020年",'Offer Statistics'!AV142)))</f>
        <v>0</v>
      </c>
      <c r="Z28" s="284">
        <f>IF($T$2="2018年",'Offer Statistics'!AW28,IF($T$2="2019年",'Offer Statistics'!AW85,IF($T$2="2020年",'Offer Statistics'!AW142)))</f>
        <v>0</v>
      </c>
      <c r="AA28" s="501"/>
      <c r="AB28" s="283">
        <f>IF($AA$2="2018年",'Offer Statistics'!AP28,IF($AA$2="2019年",'Offer Statistics'!AP85,IF($AA$2="2020年",'Offer Statistics'!AP142)))</f>
        <v>3321</v>
      </c>
      <c r="AC28" s="284">
        <f>IF($AA$2="2018年",'Offer Statistics'!AK28,IF($AA$2="2019年",'Offer Statistics'!AK85,IF($AA$2="2020年",'Offer Statistics'!AK142)))</f>
        <v>616</v>
      </c>
      <c r="AD28" s="284">
        <f>IF($AA$2="2018年",'Offer Statistics'!AL28,IF($AA$2="2019年",'Offer Statistics'!AL85,IF($AA$2="2020年",'Offer Statistics'!AL142)))</f>
        <v>628</v>
      </c>
      <c r="AE28" s="284">
        <f>IF($AA$2="2018年",'Offer Statistics'!AM28,IF($AA$2="2019年",'Offer Statistics'!AM85,IF($AA$2="2020年",'Offer Statistics'!AM142)))</f>
        <v>733</v>
      </c>
      <c r="AF28" s="284">
        <f>IF($AA$2="2018年",'Offer Statistics'!AN28,IF($AA$2="2019年",'Offer Statistics'!AN85,IF($AA$2="2020年",'Offer Statistics'!AN142)))</f>
        <v>821</v>
      </c>
      <c r="AG28" s="284">
        <f>IF($AA$2="2018年",'Offer Statistics'!AO28,IF($AA$2="2019年",'Offer Statistics'!AO85,IF($AA$2="2020年",'Offer Statistics'!AO142)))</f>
        <v>523</v>
      </c>
      <c r="AH28" s="181"/>
      <c r="AI28" s="338" t="str">
        <f t="shared" si="2"/>
        <v>JS3739</v>
      </c>
    </row>
    <row r="29" spans="1:35" s="183" customFormat="1" ht="18" customHeight="1">
      <c r="A29" s="175" t="s">
        <v>422</v>
      </c>
      <c r="B29" s="175" t="s">
        <v>293</v>
      </c>
      <c r="C29" s="175" t="s">
        <v>512</v>
      </c>
      <c r="D29" s="175" t="s">
        <v>2104</v>
      </c>
      <c r="E29" s="437" t="s">
        <v>189</v>
      </c>
      <c r="F29" s="176">
        <f>'PolyU 參考分數'!AG84</f>
        <v>180.00000000002399</v>
      </c>
      <c r="G29" s="176">
        <f>'PolyU 參考分數'!AG85</f>
        <v>176.00000000001882</v>
      </c>
      <c r="H29" s="193">
        <f>計分版!D135</f>
        <v>2.175E-8</v>
      </c>
      <c r="I29" s="188">
        <f t="shared" si="0"/>
        <v>-175.99999997826882</v>
      </c>
      <c r="J29" s="189">
        <f t="shared" si="1"/>
        <v>-8091954021.9893713</v>
      </c>
      <c r="K29" s="276">
        <v>62</v>
      </c>
      <c r="L29" s="381">
        <f>入學要求!S115</f>
        <v>0</v>
      </c>
      <c r="M29" s="355" t="s">
        <v>360</v>
      </c>
      <c r="N29" s="181">
        <v>3</v>
      </c>
      <c r="O29" s="181">
        <v>3</v>
      </c>
      <c r="P29" s="181">
        <v>2</v>
      </c>
      <c r="Q29" s="181">
        <v>2</v>
      </c>
      <c r="R29" s="181">
        <v>3</v>
      </c>
      <c r="S29" s="181">
        <v>3</v>
      </c>
      <c r="T29" s="501"/>
      <c r="U29" s="283">
        <f>IF($T$2="2018年",'Offer Statistics'!AX29,IF($T$2="2019年",'Offer Statistics'!AX86,IF($T$2="2020年",'Offer Statistics'!AX143)))</f>
        <v>51</v>
      </c>
      <c r="V29" s="284">
        <f>IF($T$2="2018年",'Offer Statistics'!AS29,IF($T$2="2019年",'Offer Statistics'!AS86,IF($T$2="2020年",'Offer Statistics'!AS143)))</f>
        <v>45</v>
      </c>
      <c r="W29" s="284">
        <f>IF($T$2="2018年",'Offer Statistics'!AT29,IF($T$2="2019年",'Offer Statistics'!AT86,IF($T$2="2020年",'Offer Statistics'!AT143)))</f>
        <v>4</v>
      </c>
      <c r="X29" s="284">
        <f>IF($T$2="2018年",'Offer Statistics'!AU29,IF($T$2="2019年",'Offer Statistics'!AU86,IF($T$2="2020年",'Offer Statistics'!AU143)))</f>
        <v>0</v>
      </c>
      <c r="Y29" s="284">
        <f>IF($T$2="2018年",'Offer Statistics'!AV29,IF($T$2="2019年",'Offer Statistics'!AV86,IF($T$2="2020年",'Offer Statistics'!AV143)))</f>
        <v>1</v>
      </c>
      <c r="Z29" s="284">
        <f>IF($T$2="2018年",'Offer Statistics'!AW29,IF($T$2="2019年",'Offer Statistics'!AW86,IF($T$2="2020年",'Offer Statistics'!AW143)))</f>
        <v>1</v>
      </c>
      <c r="AA29" s="501"/>
      <c r="AB29" s="283">
        <f>IF($AA$2="2018年",'Offer Statistics'!AP29,IF($AA$2="2019年",'Offer Statistics'!AP86,IF($AA$2="2020年",'Offer Statistics'!AP143)))</f>
        <v>2859</v>
      </c>
      <c r="AC29" s="284">
        <f>IF($AA$2="2018年",'Offer Statistics'!AK29,IF($AA$2="2019年",'Offer Statistics'!AK86,IF($AA$2="2020年",'Offer Statistics'!AK143)))</f>
        <v>407</v>
      </c>
      <c r="AD29" s="284">
        <f>IF($AA$2="2018年",'Offer Statistics'!AL29,IF($AA$2="2019年",'Offer Statistics'!AL86,IF($AA$2="2020年",'Offer Statistics'!AL143)))</f>
        <v>483</v>
      </c>
      <c r="AE29" s="284">
        <f>IF($AA$2="2018年",'Offer Statistics'!AM29,IF($AA$2="2019年",'Offer Statistics'!AM86,IF($AA$2="2020年",'Offer Statistics'!AM143)))</f>
        <v>642</v>
      </c>
      <c r="AF29" s="284">
        <f>IF($AA$2="2018年",'Offer Statistics'!AN29,IF($AA$2="2019年",'Offer Statistics'!AN86,IF($AA$2="2020年",'Offer Statistics'!AN143)))</f>
        <v>831</v>
      </c>
      <c r="AG29" s="284">
        <f>IF($AA$2="2018年",'Offer Statistics'!AO29,IF($AA$2="2019年",'Offer Statistics'!AO86,IF($AA$2="2020年",'Offer Statistics'!AO143)))</f>
        <v>496</v>
      </c>
      <c r="AH29" s="181"/>
      <c r="AI29" s="338" t="str">
        <f t="shared" si="2"/>
        <v>JS3741</v>
      </c>
    </row>
    <row r="30" spans="1:35" s="183" customFormat="1" ht="18" customHeight="1">
      <c r="A30" s="175" t="s">
        <v>423</v>
      </c>
      <c r="B30" s="175" t="s">
        <v>770</v>
      </c>
      <c r="C30" s="175" t="s">
        <v>513</v>
      </c>
      <c r="D30" s="175" t="s">
        <v>2105</v>
      </c>
      <c r="E30" s="437" t="s">
        <v>189</v>
      </c>
      <c r="F30" s="176">
        <f>'PolyU 參考分數'!AG87</f>
        <v>176.0000000000135</v>
      </c>
      <c r="G30" s="176">
        <f>'PolyU 參考分數'!AG88</f>
        <v>159.00000000001353</v>
      </c>
      <c r="H30" s="193">
        <f>計分版!D136</f>
        <v>1.9750000000000001E-8</v>
      </c>
      <c r="I30" s="188">
        <f t="shared" si="0"/>
        <v>-158.99999998026354</v>
      </c>
      <c r="J30" s="189">
        <f t="shared" si="1"/>
        <v>-8050632910.3930902</v>
      </c>
      <c r="K30" s="276">
        <v>29</v>
      </c>
      <c r="L30" s="381">
        <f>入學要求!S116</f>
        <v>0</v>
      </c>
      <c r="M30" s="377" t="s">
        <v>2193</v>
      </c>
      <c r="N30" s="181">
        <v>3</v>
      </c>
      <c r="O30" s="181">
        <v>3</v>
      </c>
      <c r="P30" s="181">
        <v>2</v>
      </c>
      <c r="Q30" s="181">
        <v>2</v>
      </c>
      <c r="R30" s="181">
        <v>3</v>
      </c>
      <c r="S30" s="181">
        <v>3</v>
      </c>
      <c r="T30" s="501"/>
      <c r="U30" s="283">
        <f>IF($T$2="2018年",'Offer Statistics'!AX30,IF($T$2="2019年",'Offer Statistics'!AX87,IF($T$2="2020年",'Offer Statistics'!AX144)))</f>
        <v>24</v>
      </c>
      <c r="V30" s="284">
        <f>IF($T$2="2018年",'Offer Statistics'!AS30,IF($T$2="2019年",'Offer Statistics'!AS87,IF($T$2="2020年",'Offer Statistics'!AS144)))</f>
        <v>22</v>
      </c>
      <c r="W30" s="284">
        <f>IF($T$2="2018年",'Offer Statistics'!AT30,IF($T$2="2019年",'Offer Statistics'!AT87,IF($T$2="2020年",'Offer Statistics'!AT144)))</f>
        <v>2</v>
      </c>
      <c r="X30" s="284">
        <f>IF($T$2="2018年",'Offer Statistics'!AU30,IF($T$2="2019年",'Offer Statistics'!AU87,IF($T$2="2020年",'Offer Statistics'!AU144)))</f>
        <v>0</v>
      </c>
      <c r="Y30" s="284">
        <f>IF($T$2="2018年",'Offer Statistics'!AV30,IF($T$2="2019年",'Offer Statistics'!AV87,IF($T$2="2020年",'Offer Statistics'!AV144)))</f>
        <v>0</v>
      </c>
      <c r="Z30" s="284">
        <f>IF($T$2="2018年",'Offer Statistics'!AW30,IF($T$2="2019年",'Offer Statistics'!AW87,IF($T$2="2020年",'Offer Statistics'!AW144)))</f>
        <v>0</v>
      </c>
      <c r="AA30" s="501"/>
      <c r="AB30" s="283">
        <f>IF($AA$2="2018年",'Offer Statistics'!AP30,IF($AA$2="2019年",'Offer Statistics'!AP87,IF($AA$2="2020年",'Offer Statistics'!AP144)))</f>
        <v>1371</v>
      </c>
      <c r="AC30" s="284">
        <f>IF($AA$2="2018年",'Offer Statistics'!AK30,IF($AA$2="2019年",'Offer Statistics'!AK87,IF($AA$2="2020年",'Offer Statistics'!AK144)))</f>
        <v>135</v>
      </c>
      <c r="AD30" s="284">
        <f>IF($AA$2="2018年",'Offer Statistics'!AL30,IF($AA$2="2019年",'Offer Statistics'!AL87,IF($AA$2="2020年",'Offer Statistics'!AL144)))</f>
        <v>190</v>
      </c>
      <c r="AE30" s="284">
        <f>IF($AA$2="2018年",'Offer Statistics'!AM30,IF($AA$2="2019年",'Offer Statistics'!AM87,IF($AA$2="2020年",'Offer Statistics'!AM144)))</f>
        <v>318</v>
      </c>
      <c r="AF30" s="284">
        <f>IF($AA$2="2018年",'Offer Statistics'!AN30,IF($AA$2="2019年",'Offer Statistics'!AN87,IF($AA$2="2020年",'Offer Statistics'!AN144)))</f>
        <v>420</v>
      </c>
      <c r="AG30" s="284">
        <f>IF($AA$2="2018年",'Offer Statistics'!AO30,IF($AA$2="2019年",'Offer Statistics'!AO87,IF($AA$2="2020年",'Offer Statistics'!AO144)))</f>
        <v>308</v>
      </c>
      <c r="AH30" s="181"/>
      <c r="AI30" s="338" t="str">
        <f t="shared" si="2"/>
        <v>JS3753</v>
      </c>
    </row>
    <row r="31" spans="1:35" s="183" customFormat="1" ht="18" customHeight="1">
      <c r="A31" s="175" t="s">
        <v>424</v>
      </c>
      <c r="B31" s="175" t="s">
        <v>767</v>
      </c>
      <c r="C31" s="175" t="s">
        <v>514</v>
      </c>
      <c r="D31" s="175" t="s">
        <v>2106</v>
      </c>
      <c r="E31" s="438" t="s">
        <v>190</v>
      </c>
      <c r="F31" s="176">
        <f>'PolyU 參考分數'!AG90</f>
        <v>133.00000000000952</v>
      </c>
      <c r="G31" s="176">
        <f>'PolyU 參考分數'!AG91</f>
        <v>139.00000000000949</v>
      </c>
      <c r="H31" s="193">
        <f>計分版!D137</f>
        <v>1.625E-8</v>
      </c>
      <c r="I31" s="188">
        <f t="shared" si="0"/>
        <v>-138.99999998375949</v>
      </c>
      <c r="J31" s="189">
        <f t="shared" si="1"/>
        <v>-8553846152.8467379</v>
      </c>
      <c r="K31" s="276">
        <v>18</v>
      </c>
      <c r="L31" s="381">
        <f>入學要求!S117</f>
        <v>0</v>
      </c>
      <c r="M31" s="377" t="s">
        <v>2193</v>
      </c>
      <c r="N31" s="181">
        <v>3</v>
      </c>
      <c r="O31" s="181">
        <v>3</v>
      </c>
      <c r="P31" s="181">
        <v>2</v>
      </c>
      <c r="Q31" s="181">
        <v>2</v>
      </c>
      <c r="R31" s="181">
        <v>3</v>
      </c>
      <c r="S31" s="181">
        <v>3</v>
      </c>
      <c r="T31" s="501"/>
      <c r="U31" s="283">
        <f>IF($T$2="2018年",'Offer Statistics'!AX31,IF($T$2="2019年",'Offer Statistics'!AX88,IF($T$2="2020年",'Offer Statistics'!AX145)))</f>
        <v>18</v>
      </c>
      <c r="V31" s="284">
        <f>IF($T$2="2018年",'Offer Statistics'!AS31,IF($T$2="2019年",'Offer Statistics'!AS88,IF($T$2="2020年",'Offer Statistics'!AS145)))</f>
        <v>18</v>
      </c>
      <c r="W31" s="284">
        <f>IF($T$2="2018年",'Offer Statistics'!AT31,IF($T$2="2019年",'Offer Statistics'!AT88,IF($T$2="2020年",'Offer Statistics'!AT145)))</f>
        <v>0</v>
      </c>
      <c r="X31" s="284">
        <f>IF($T$2="2018年",'Offer Statistics'!AU31,IF($T$2="2019年",'Offer Statistics'!AU88,IF($T$2="2020年",'Offer Statistics'!AU145)))</f>
        <v>0</v>
      </c>
      <c r="Y31" s="284">
        <f>IF($T$2="2018年",'Offer Statistics'!AV31,IF($T$2="2019年",'Offer Statistics'!AV88,IF($T$2="2020年",'Offer Statistics'!AV145)))</f>
        <v>0</v>
      </c>
      <c r="Z31" s="284">
        <f>IF($T$2="2018年",'Offer Statistics'!AW31,IF($T$2="2019年",'Offer Statistics'!AW88,IF($T$2="2020年",'Offer Statistics'!AW145)))</f>
        <v>0</v>
      </c>
      <c r="AA31" s="501"/>
      <c r="AB31" s="283">
        <f>IF($AA$2="2018年",'Offer Statistics'!AP31,IF($AA$2="2019年",'Offer Statistics'!AP88,IF($AA$2="2020年",'Offer Statistics'!AP145)))</f>
        <v>1810</v>
      </c>
      <c r="AC31" s="284">
        <f>IF($AA$2="2018年",'Offer Statistics'!AK31,IF($AA$2="2019年",'Offer Statistics'!AK88,IF($AA$2="2020年",'Offer Statistics'!AK145)))</f>
        <v>246</v>
      </c>
      <c r="AD31" s="284">
        <f>IF($AA$2="2018年",'Offer Statistics'!AL31,IF($AA$2="2019年",'Offer Statistics'!AL88,IF($AA$2="2020年",'Offer Statistics'!AL145)))</f>
        <v>331</v>
      </c>
      <c r="AE31" s="284">
        <f>IF($AA$2="2018年",'Offer Statistics'!AM31,IF($AA$2="2019年",'Offer Statistics'!AM88,IF($AA$2="2020年",'Offer Statistics'!AM145)))</f>
        <v>392</v>
      </c>
      <c r="AF31" s="284">
        <f>IF($AA$2="2018年",'Offer Statistics'!AN31,IF($AA$2="2019年",'Offer Statistics'!AN88,IF($AA$2="2020年",'Offer Statistics'!AN145)))</f>
        <v>467</v>
      </c>
      <c r="AG31" s="284">
        <f>IF($AA$2="2018年",'Offer Statistics'!AO31,IF($AA$2="2019年",'Offer Statistics'!AO88,IF($AA$2="2020年",'Offer Statistics'!AO145)))</f>
        <v>374</v>
      </c>
      <c r="AH31" s="181"/>
      <c r="AI31" s="338" t="str">
        <f t="shared" si="2"/>
        <v>JS3765</v>
      </c>
    </row>
    <row r="32" spans="1:35" s="183" customFormat="1" ht="18" customHeight="1">
      <c r="A32" s="175" t="s">
        <v>425</v>
      </c>
      <c r="B32" s="175" t="s">
        <v>770</v>
      </c>
      <c r="C32" s="175" t="s">
        <v>515</v>
      </c>
      <c r="D32" s="175" t="s">
        <v>1666</v>
      </c>
      <c r="E32" s="437" t="s">
        <v>189</v>
      </c>
      <c r="F32" s="176">
        <f>'PolyU 參考分數'!AG93</f>
        <v>162.0000000000135</v>
      </c>
      <c r="G32" s="176">
        <f>'PolyU 參考分數'!AG94</f>
        <v>159.0000000000135</v>
      </c>
      <c r="H32" s="193">
        <f>計分版!D138</f>
        <v>2.175E-8</v>
      </c>
      <c r="I32" s="188">
        <f t="shared" si="0"/>
        <v>-158.9999999782635</v>
      </c>
      <c r="J32" s="189">
        <f t="shared" si="1"/>
        <v>-7310344826.5868282</v>
      </c>
      <c r="K32" s="276">
        <v>30</v>
      </c>
      <c r="L32" s="381">
        <f>入學要求!S118</f>
        <v>0</v>
      </c>
      <c r="M32" s="377" t="s">
        <v>2193</v>
      </c>
      <c r="N32" s="181">
        <v>3</v>
      </c>
      <c r="O32" s="181">
        <v>3</v>
      </c>
      <c r="P32" s="181">
        <v>2</v>
      </c>
      <c r="Q32" s="181">
        <v>2</v>
      </c>
      <c r="R32" s="181">
        <v>3</v>
      </c>
      <c r="S32" s="181">
        <v>3</v>
      </c>
      <c r="T32" s="501"/>
      <c r="U32" s="283">
        <f>IF($T$2="2018年",'Offer Statistics'!AX32,IF($T$2="2019年",'Offer Statistics'!AX89,IF($T$2="2020年",'Offer Statistics'!AX146)))</f>
        <v>28</v>
      </c>
      <c r="V32" s="284">
        <f>IF($T$2="2018年",'Offer Statistics'!AS32,IF($T$2="2019年",'Offer Statistics'!AS89,IF($T$2="2020年",'Offer Statistics'!AS146)))</f>
        <v>27</v>
      </c>
      <c r="W32" s="284">
        <f>IF($T$2="2018年",'Offer Statistics'!AT32,IF($T$2="2019年",'Offer Statistics'!AT89,IF($T$2="2020年",'Offer Statistics'!AT146)))</f>
        <v>1</v>
      </c>
      <c r="X32" s="284">
        <f>IF($T$2="2018年",'Offer Statistics'!AU32,IF($T$2="2019年",'Offer Statistics'!AU89,IF($T$2="2020年",'Offer Statistics'!AU146)))</f>
        <v>0</v>
      </c>
      <c r="Y32" s="284">
        <f>IF($T$2="2018年",'Offer Statistics'!AV32,IF($T$2="2019年",'Offer Statistics'!AV89,IF($T$2="2020年",'Offer Statistics'!AV146)))</f>
        <v>0</v>
      </c>
      <c r="Z32" s="284">
        <f>IF($T$2="2018年",'Offer Statistics'!AW32,IF($T$2="2019年",'Offer Statistics'!AW89,IF($T$2="2020年",'Offer Statistics'!AW146)))</f>
        <v>0</v>
      </c>
      <c r="AA32" s="501"/>
      <c r="AB32" s="283">
        <f>IF($AA$2="2018年",'Offer Statistics'!AP32,IF($AA$2="2019年",'Offer Statistics'!AP89,IF($AA$2="2020年",'Offer Statistics'!AP146)))</f>
        <v>1591</v>
      </c>
      <c r="AC32" s="284">
        <f>IF($AA$2="2018年",'Offer Statistics'!AK32,IF($AA$2="2019年",'Offer Statistics'!AK89,IF($AA$2="2020年",'Offer Statistics'!AK146)))</f>
        <v>265</v>
      </c>
      <c r="AD32" s="284">
        <f>IF($AA$2="2018年",'Offer Statistics'!AL32,IF($AA$2="2019年",'Offer Statistics'!AL89,IF($AA$2="2020年",'Offer Statistics'!AL146)))</f>
        <v>309</v>
      </c>
      <c r="AE32" s="284">
        <f>IF($AA$2="2018年",'Offer Statistics'!AM32,IF($AA$2="2019年",'Offer Statistics'!AM89,IF($AA$2="2020年",'Offer Statistics'!AM146)))</f>
        <v>348</v>
      </c>
      <c r="AF32" s="284">
        <f>IF($AA$2="2018年",'Offer Statistics'!AN32,IF($AA$2="2019年",'Offer Statistics'!AN89,IF($AA$2="2020年",'Offer Statistics'!AN146)))</f>
        <v>344</v>
      </c>
      <c r="AG32" s="284">
        <f>IF($AA$2="2018年",'Offer Statistics'!AO32,IF($AA$2="2019年",'Offer Statistics'!AO89,IF($AA$2="2020年",'Offer Statistics'!AO146)))</f>
        <v>325</v>
      </c>
      <c r="AH32" s="181"/>
      <c r="AI32" s="338" t="str">
        <f t="shared" si="2"/>
        <v>JS3777</v>
      </c>
    </row>
    <row r="33" spans="1:35" s="183" customFormat="1" ht="18" customHeight="1">
      <c r="A33" s="175" t="s">
        <v>426</v>
      </c>
      <c r="B33" s="175" t="s">
        <v>770</v>
      </c>
      <c r="C33" s="175" t="s">
        <v>516</v>
      </c>
      <c r="D33" s="175" t="s">
        <v>2107</v>
      </c>
      <c r="E33" s="437" t="s">
        <v>189</v>
      </c>
      <c r="F33" s="176">
        <f>'PolyU 參考分數'!AG96</f>
        <v>173.00000000001063</v>
      </c>
      <c r="G33" s="176">
        <f>'PolyU 參考分數'!AG97</f>
        <v>172.5000000000116</v>
      </c>
      <c r="H33" s="193">
        <f>計分版!D139</f>
        <v>1.9750000000000001E-8</v>
      </c>
      <c r="I33" s="188">
        <f t="shared" si="0"/>
        <v>-172.49999998026161</v>
      </c>
      <c r="J33" s="189">
        <f t="shared" si="1"/>
        <v>-8734177214.1904602</v>
      </c>
      <c r="K33" s="276">
        <v>47</v>
      </c>
      <c r="L33" s="381">
        <f>入學要求!S119</f>
        <v>0</v>
      </c>
      <c r="M33" s="377" t="s">
        <v>2193</v>
      </c>
      <c r="N33" s="181">
        <v>3</v>
      </c>
      <c r="O33" s="181">
        <v>3</v>
      </c>
      <c r="P33" s="181">
        <v>2</v>
      </c>
      <c r="Q33" s="181">
        <v>2</v>
      </c>
      <c r="R33" s="181">
        <v>3</v>
      </c>
      <c r="S33" s="181">
        <v>3</v>
      </c>
      <c r="T33" s="501"/>
      <c r="U33" s="283">
        <f>IF($T$2="2018年",'Offer Statistics'!AX33,IF($T$2="2019年",'Offer Statistics'!AX90,IF($T$2="2020年",'Offer Statistics'!AX147)))</f>
        <v>53</v>
      </c>
      <c r="V33" s="284">
        <f>IF($T$2="2018年",'Offer Statistics'!AS33,IF($T$2="2019年",'Offer Statistics'!AS90,IF($T$2="2020年",'Offer Statistics'!AS147)))</f>
        <v>52</v>
      </c>
      <c r="W33" s="284">
        <f>IF($T$2="2018年",'Offer Statistics'!AT33,IF($T$2="2019年",'Offer Statistics'!AT90,IF($T$2="2020年",'Offer Statistics'!AT147)))</f>
        <v>1</v>
      </c>
      <c r="X33" s="284">
        <f>IF($T$2="2018年",'Offer Statistics'!AU33,IF($T$2="2019年",'Offer Statistics'!AU90,IF($T$2="2020年",'Offer Statistics'!AU147)))</f>
        <v>0</v>
      </c>
      <c r="Y33" s="284">
        <f>IF($T$2="2018年",'Offer Statistics'!AV33,IF($T$2="2019年",'Offer Statistics'!AV90,IF($T$2="2020年",'Offer Statistics'!AV147)))</f>
        <v>0</v>
      </c>
      <c r="Z33" s="284">
        <f>IF($T$2="2018年",'Offer Statistics'!AW33,IF($T$2="2019年",'Offer Statistics'!AW90,IF($T$2="2020年",'Offer Statistics'!AW147)))</f>
        <v>0</v>
      </c>
      <c r="AA33" s="501"/>
      <c r="AB33" s="283">
        <f>IF($AA$2="2018年",'Offer Statistics'!AP33,IF($AA$2="2019年",'Offer Statistics'!AP90,IF($AA$2="2020年",'Offer Statistics'!AP147)))</f>
        <v>1036</v>
      </c>
      <c r="AC33" s="284">
        <f>IF($AA$2="2018年",'Offer Statistics'!AK33,IF($AA$2="2019年",'Offer Statistics'!AK90,IF($AA$2="2020年",'Offer Statistics'!AK147)))</f>
        <v>167</v>
      </c>
      <c r="AD33" s="284">
        <f>IF($AA$2="2018年",'Offer Statistics'!AL33,IF($AA$2="2019年",'Offer Statistics'!AL90,IF($AA$2="2020年",'Offer Statistics'!AL147)))</f>
        <v>139</v>
      </c>
      <c r="AE33" s="284">
        <f>IF($AA$2="2018年",'Offer Statistics'!AM33,IF($AA$2="2019年",'Offer Statistics'!AM90,IF($AA$2="2020年",'Offer Statistics'!AM147)))</f>
        <v>208</v>
      </c>
      <c r="AF33" s="284">
        <f>IF($AA$2="2018年",'Offer Statistics'!AN33,IF($AA$2="2019年",'Offer Statistics'!AN90,IF($AA$2="2020年",'Offer Statistics'!AN147)))</f>
        <v>255</v>
      </c>
      <c r="AG33" s="284">
        <f>IF($AA$2="2018年",'Offer Statistics'!AO33,IF($AA$2="2019年",'Offer Statistics'!AO90,IF($AA$2="2020年",'Offer Statistics'!AO147)))</f>
        <v>267</v>
      </c>
      <c r="AH33" s="181"/>
      <c r="AI33" s="338" t="str">
        <f t="shared" si="2"/>
        <v>JS3789</v>
      </c>
    </row>
    <row r="34" spans="1:35" s="183" customFormat="1" ht="18" customHeight="1">
      <c r="A34" s="175" t="s">
        <v>427</v>
      </c>
      <c r="B34" s="175" t="s">
        <v>770</v>
      </c>
      <c r="C34" s="175" t="s">
        <v>517</v>
      </c>
      <c r="D34" s="175" t="s">
        <v>1669</v>
      </c>
      <c r="E34" s="437" t="s">
        <v>189</v>
      </c>
      <c r="F34" s="176">
        <f>'PolyU 參考分數'!AG99</f>
        <v>174.00000000001353</v>
      </c>
      <c r="G34" s="176">
        <f>'PolyU 參考分數'!AG100</f>
        <v>152.0000000000135</v>
      </c>
      <c r="H34" s="193">
        <f>計分版!D140</f>
        <v>2.175E-8</v>
      </c>
      <c r="I34" s="188">
        <f t="shared" si="0"/>
        <v>-151.9999999782635</v>
      </c>
      <c r="J34" s="189">
        <f t="shared" si="1"/>
        <v>-6988505746.127058</v>
      </c>
      <c r="K34" s="276">
        <v>22</v>
      </c>
      <c r="L34" s="381">
        <f>入學要求!S120</f>
        <v>0</v>
      </c>
      <c r="M34" s="377" t="s">
        <v>2193</v>
      </c>
      <c r="N34" s="181">
        <v>3</v>
      </c>
      <c r="O34" s="181">
        <v>3</v>
      </c>
      <c r="P34" s="181">
        <v>2</v>
      </c>
      <c r="Q34" s="181">
        <v>2</v>
      </c>
      <c r="R34" s="181">
        <v>3</v>
      </c>
      <c r="S34" s="181">
        <v>3</v>
      </c>
      <c r="T34" s="501"/>
      <c r="U34" s="283">
        <f>IF($T$2="2018年",'Offer Statistics'!AX34,IF($T$2="2019年",'Offer Statistics'!AX91,IF($T$2="2020年",'Offer Statistics'!AX148)))</f>
        <v>20</v>
      </c>
      <c r="V34" s="284">
        <f>IF($T$2="2018年",'Offer Statistics'!AS34,IF($T$2="2019年",'Offer Statistics'!AS91,IF($T$2="2020年",'Offer Statistics'!AS148)))</f>
        <v>15</v>
      </c>
      <c r="W34" s="284">
        <f>IF($T$2="2018年",'Offer Statistics'!AT34,IF($T$2="2019年",'Offer Statistics'!AT91,IF($T$2="2020年",'Offer Statistics'!AT148)))</f>
        <v>4</v>
      </c>
      <c r="X34" s="284">
        <f>IF($T$2="2018年",'Offer Statistics'!AU34,IF($T$2="2019年",'Offer Statistics'!AU91,IF($T$2="2020年",'Offer Statistics'!AU148)))</f>
        <v>0</v>
      </c>
      <c r="Y34" s="284">
        <f>IF($T$2="2018年",'Offer Statistics'!AV34,IF($T$2="2019年",'Offer Statistics'!AV91,IF($T$2="2020年",'Offer Statistics'!AV148)))</f>
        <v>1</v>
      </c>
      <c r="Z34" s="284">
        <f>IF($T$2="2018年",'Offer Statistics'!AW34,IF($T$2="2019年",'Offer Statistics'!AW91,IF($T$2="2020年",'Offer Statistics'!AW148)))</f>
        <v>0</v>
      </c>
      <c r="AA34" s="501"/>
      <c r="AB34" s="283">
        <f>IF($AA$2="2018年",'Offer Statistics'!AP34,IF($AA$2="2019年",'Offer Statistics'!AP91,IF($AA$2="2020年",'Offer Statistics'!AP148)))</f>
        <v>1781</v>
      </c>
      <c r="AC34" s="284">
        <f>IF($AA$2="2018年",'Offer Statistics'!AK34,IF($AA$2="2019年",'Offer Statistics'!AK91,IF($AA$2="2020年",'Offer Statistics'!AK148)))</f>
        <v>135</v>
      </c>
      <c r="AD34" s="284">
        <f>IF($AA$2="2018年",'Offer Statistics'!AL34,IF($AA$2="2019年",'Offer Statistics'!AL91,IF($AA$2="2020年",'Offer Statistics'!AL148)))</f>
        <v>239</v>
      </c>
      <c r="AE34" s="284">
        <f>IF($AA$2="2018年",'Offer Statistics'!AM34,IF($AA$2="2019年",'Offer Statistics'!AM91,IF($AA$2="2020年",'Offer Statistics'!AM148)))</f>
        <v>397</v>
      </c>
      <c r="AF34" s="284">
        <f>IF($AA$2="2018年",'Offer Statistics'!AN34,IF($AA$2="2019年",'Offer Statistics'!AN91,IF($AA$2="2020年",'Offer Statistics'!AN148)))</f>
        <v>564</v>
      </c>
      <c r="AG34" s="284">
        <f>IF($AA$2="2018年",'Offer Statistics'!AO34,IF($AA$2="2019年",'Offer Statistics'!AO91,IF($AA$2="2020年",'Offer Statistics'!AO148)))</f>
        <v>446</v>
      </c>
      <c r="AH34" s="181"/>
      <c r="AI34" s="338" t="str">
        <f t="shared" si="2"/>
        <v>JS3791</v>
      </c>
    </row>
    <row r="35" spans="1:35" s="183" customFormat="1" ht="18" customHeight="1">
      <c r="A35" s="175" t="s">
        <v>428</v>
      </c>
      <c r="B35" s="175" t="s">
        <v>772</v>
      </c>
      <c r="C35" s="175" t="s">
        <v>518</v>
      </c>
      <c r="D35" s="175" t="s">
        <v>1670</v>
      </c>
      <c r="E35" s="437" t="s">
        <v>189</v>
      </c>
      <c r="F35" s="176">
        <f>'PolyU 參考分數'!AG102</f>
        <v>166.50000000001154</v>
      </c>
      <c r="G35" s="176">
        <f>'PolyU 參考分數'!AG103</f>
        <v>156.50000000001097</v>
      </c>
      <c r="H35" s="193">
        <f>計分版!D141</f>
        <v>1.9750000000000001E-8</v>
      </c>
      <c r="I35" s="188">
        <f t="shared" si="0"/>
        <v>-156.49999998026098</v>
      </c>
      <c r="J35" s="189">
        <f t="shared" si="1"/>
        <v>-7924050631.9119482</v>
      </c>
      <c r="K35" s="276">
        <v>19</v>
      </c>
      <c r="L35" s="381">
        <f>入學要求!S121</f>
        <v>0</v>
      </c>
      <c r="M35" s="355" t="s">
        <v>2188</v>
      </c>
      <c r="N35" s="181">
        <v>3</v>
      </c>
      <c r="O35" s="181">
        <v>3</v>
      </c>
      <c r="P35" s="181">
        <v>2</v>
      </c>
      <c r="Q35" s="181">
        <v>2</v>
      </c>
      <c r="R35" s="181">
        <v>3</v>
      </c>
      <c r="S35" s="181">
        <v>3</v>
      </c>
      <c r="T35" s="501"/>
      <c r="U35" s="283">
        <f>IF($T$2="2018年",'Offer Statistics'!AX35,IF($T$2="2019年",'Offer Statistics'!AX92,IF($T$2="2020年",'Offer Statistics'!AX149)))</f>
        <v>25</v>
      </c>
      <c r="V35" s="284">
        <f>IF($T$2="2018年",'Offer Statistics'!AS35,IF($T$2="2019年",'Offer Statistics'!AS92,IF($T$2="2020年",'Offer Statistics'!AS149)))</f>
        <v>23</v>
      </c>
      <c r="W35" s="284">
        <f>IF($T$2="2018年",'Offer Statistics'!AT35,IF($T$2="2019年",'Offer Statistics'!AT92,IF($T$2="2020年",'Offer Statistics'!AT149)))</f>
        <v>2</v>
      </c>
      <c r="X35" s="284">
        <f>IF($T$2="2018年",'Offer Statistics'!AU35,IF($T$2="2019年",'Offer Statistics'!AU92,IF($T$2="2020年",'Offer Statistics'!AU149)))</f>
        <v>0</v>
      </c>
      <c r="Y35" s="284">
        <f>IF($T$2="2018年",'Offer Statistics'!AV35,IF($T$2="2019年",'Offer Statistics'!AV92,IF($T$2="2020年",'Offer Statistics'!AV149)))</f>
        <v>0</v>
      </c>
      <c r="Z35" s="284">
        <f>IF($T$2="2018年",'Offer Statistics'!AW35,IF($T$2="2019年",'Offer Statistics'!AW92,IF($T$2="2020年",'Offer Statistics'!AW149)))</f>
        <v>0</v>
      </c>
      <c r="AA35" s="501"/>
      <c r="AB35" s="283">
        <f>IF($AA$2="2018年",'Offer Statistics'!AP35,IF($AA$2="2019年",'Offer Statistics'!AP92,IF($AA$2="2020年",'Offer Statistics'!AP149)))</f>
        <v>1110</v>
      </c>
      <c r="AC35" s="284">
        <f>IF($AA$2="2018年",'Offer Statistics'!AK35,IF($AA$2="2019年",'Offer Statistics'!AK92,IF($AA$2="2020年",'Offer Statistics'!AK149)))</f>
        <v>122</v>
      </c>
      <c r="AD35" s="284">
        <f>IF($AA$2="2018年",'Offer Statistics'!AL35,IF($AA$2="2019年",'Offer Statistics'!AL92,IF($AA$2="2020年",'Offer Statistics'!AL149)))</f>
        <v>152</v>
      </c>
      <c r="AE35" s="284">
        <f>IF($AA$2="2018年",'Offer Statistics'!AM35,IF($AA$2="2019年",'Offer Statistics'!AM92,IF($AA$2="2020年",'Offer Statistics'!AM149)))</f>
        <v>224</v>
      </c>
      <c r="AF35" s="284">
        <f>IF($AA$2="2018年",'Offer Statistics'!AN35,IF($AA$2="2019年",'Offer Statistics'!AN92,IF($AA$2="2020年",'Offer Statistics'!AN149)))</f>
        <v>362</v>
      </c>
      <c r="AG35" s="284">
        <f>IF($AA$2="2018年",'Offer Statistics'!AO35,IF($AA$2="2019年",'Offer Statistics'!AO92,IF($AA$2="2020年",'Offer Statistics'!AO149)))</f>
        <v>250</v>
      </c>
      <c r="AH35" s="181"/>
      <c r="AI35" s="338" t="str">
        <f t="shared" si="2"/>
        <v>JS3806</v>
      </c>
    </row>
    <row r="36" spans="1:35" s="183" customFormat="1" ht="18" customHeight="1">
      <c r="A36" s="175" t="s">
        <v>429</v>
      </c>
      <c r="B36" s="175" t="s">
        <v>768</v>
      </c>
      <c r="C36" s="175" t="s">
        <v>519</v>
      </c>
      <c r="D36" s="175" t="s">
        <v>2108</v>
      </c>
      <c r="E36" s="437" t="s">
        <v>549</v>
      </c>
      <c r="F36" s="176">
        <f>'PolyU 參考分數'!AG105</f>
        <v>171.00000000001091</v>
      </c>
      <c r="G36" s="176">
        <f>'PolyU 參考分數'!AG106</f>
        <v>163.5000000000104</v>
      </c>
      <c r="H36" s="193">
        <f>計分版!D142</f>
        <v>1.625E-8</v>
      </c>
      <c r="I36" s="188">
        <f t="shared" si="0"/>
        <v>-163.4999999837604</v>
      </c>
      <c r="J36" s="189">
        <f t="shared" si="1"/>
        <v>-10061538460.539103</v>
      </c>
      <c r="K36" s="276">
        <v>37</v>
      </c>
      <c r="L36" s="381">
        <f>入學要求!S122</f>
        <v>0</v>
      </c>
      <c r="M36" s="377" t="s">
        <v>2193</v>
      </c>
      <c r="N36" s="181">
        <v>3</v>
      </c>
      <c r="O36" s="181">
        <v>3</v>
      </c>
      <c r="P36" s="181">
        <v>2</v>
      </c>
      <c r="Q36" s="181">
        <v>2</v>
      </c>
      <c r="R36" s="181">
        <v>3</v>
      </c>
      <c r="S36" s="181">
        <v>3</v>
      </c>
      <c r="T36" s="501"/>
      <c r="U36" s="283">
        <f>IF($T$2="2018年",'Offer Statistics'!AX36,IF($T$2="2019年",'Offer Statistics'!AX93,IF($T$2="2020年",'Offer Statistics'!AX150)))</f>
        <v>37</v>
      </c>
      <c r="V36" s="284">
        <f>IF($T$2="2018年",'Offer Statistics'!AS36,IF($T$2="2019年",'Offer Statistics'!AS93,IF($T$2="2020年",'Offer Statistics'!AS150)))</f>
        <v>34</v>
      </c>
      <c r="W36" s="284">
        <f>IF($T$2="2018年",'Offer Statistics'!AT36,IF($T$2="2019年",'Offer Statistics'!AT93,IF($T$2="2020年",'Offer Statistics'!AT150)))</f>
        <v>2</v>
      </c>
      <c r="X36" s="284">
        <f>IF($T$2="2018年",'Offer Statistics'!AU36,IF($T$2="2019年",'Offer Statistics'!AU93,IF($T$2="2020年",'Offer Statistics'!AU150)))</f>
        <v>1</v>
      </c>
      <c r="Y36" s="284">
        <f>IF($T$2="2018年",'Offer Statistics'!AV36,IF($T$2="2019年",'Offer Statistics'!AV93,IF($T$2="2020年",'Offer Statistics'!AV150)))</f>
        <v>0</v>
      </c>
      <c r="Z36" s="284">
        <f>IF($T$2="2018年",'Offer Statistics'!AW36,IF($T$2="2019年",'Offer Statistics'!AW93,IF($T$2="2020年",'Offer Statistics'!AW150)))</f>
        <v>0</v>
      </c>
      <c r="AA36" s="501"/>
      <c r="AB36" s="283">
        <f>IF($AA$2="2018年",'Offer Statistics'!AP36,IF($AA$2="2019年",'Offer Statistics'!AP93,IF($AA$2="2020年",'Offer Statistics'!AP150)))</f>
        <v>2287</v>
      </c>
      <c r="AC36" s="284">
        <f>IF($AA$2="2018年",'Offer Statistics'!AK36,IF($AA$2="2019年",'Offer Statistics'!AK93,IF($AA$2="2020年",'Offer Statistics'!AK150)))</f>
        <v>314</v>
      </c>
      <c r="AD36" s="284">
        <f>IF($AA$2="2018年",'Offer Statistics'!AL36,IF($AA$2="2019年",'Offer Statistics'!AL93,IF($AA$2="2020年",'Offer Statistics'!AL150)))</f>
        <v>319</v>
      </c>
      <c r="AE36" s="284">
        <f>IF($AA$2="2018年",'Offer Statistics'!AM36,IF($AA$2="2019年",'Offer Statistics'!AM93,IF($AA$2="2020年",'Offer Statistics'!AM150)))</f>
        <v>536</v>
      </c>
      <c r="AF36" s="284">
        <f>IF($AA$2="2018年",'Offer Statistics'!AN36,IF($AA$2="2019年",'Offer Statistics'!AN93,IF($AA$2="2020年",'Offer Statistics'!AN150)))</f>
        <v>633</v>
      </c>
      <c r="AG36" s="284">
        <f>IF($AA$2="2018年",'Offer Statistics'!AO36,IF($AA$2="2019年",'Offer Statistics'!AO93,IF($AA$2="2020年",'Offer Statistics'!AO150)))</f>
        <v>485</v>
      </c>
      <c r="AH36" s="181"/>
      <c r="AI36" s="338" t="str">
        <f t="shared" si="2"/>
        <v>JS3818</v>
      </c>
    </row>
    <row r="37" spans="1:35" s="183" customFormat="1" ht="18" customHeight="1">
      <c r="A37" s="175" t="s">
        <v>430</v>
      </c>
      <c r="B37" s="175" t="s">
        <v>774</v>
      </c>
      <c r="C37" s="175" t="s">
        <v>520</v>
      </c>
      <c r="D37" s="175" t="s">
        <v>2109</v>
      </c>
      <c r="E37" s="437" t="s">
        <v>189</v>
      </c>
      <c r="F37" s="176">
        <f>'PolyU 參考分數'!AG108</f>
        <v>154.5000000000106</v>
      </c>
      <c r="G37" s="176">
        <f>'PolyU 參考分數'!AG109</f>
        <v>137.000000000011</v>
      </c>
      <c r="H37" s="193">
        <f>計分版!D143</f>
        <v>1.9750000000000001E-8</v>
      </c>
      <c r="I37" s="188">
        <f t="shared" si="0"/>
        <v>-136.99999998026101</v>
      </c>
      <c r="J37" s="189">
        <f t="shared" si="1"/>
        <v>-6936708859.7600508</v>
      </c>
      <c r="K37" s="276">
        <v>32</v>
      </c>
      <c r="L37" s="381">
        <f>入學要求!S123</f>
        <v>0</v>
      </c>
      <c r="M37" s="377" t="s">
        <v>2193</v>
      </c>
      <c r="N37" s="181">
        <v>3</v>
      </c>
      <c r="O37" s="181">
        <v>3</v>
      </c>
      <c r="P37" s="181">
        <v>2</v>
      </c>
      <c r="Q37" s="181">
        <v>2</v>
      </c>
      <c r="R37" s="181">
        <v>3</v>
      </c>
      <c r="S37" s="181">
        <v>3</v>
      </c>
      <c r="T37" s="501"/>
      <c r="U37" s="283">
        <f>IF($T$2="2018年",'Offer Statistics'!AX37,IF($T$2="2019年",'Offer Statistics'!AX94,IF($T$2="2020年",'Offer Statistics'!AX151)))</f>
        <v>35</v>
      </c>
      <c r="V37" s="284">
        <f>IF($T$2="2018年",'Offer Statistics'!AS37,IF($T$2="2019年",'Offer Statistics'!AS94,IF($T$2="2020年",'Offer Statistics'!AS151)))</f>
        <v>35</v>
      </c>
      <c r="W37" s="284">
        <f>IF($T$2="2018年",'Offer Statistics'!AT37,IF($T$2="2019年",'Offer Statistics'!AT94,IF($T$2="2020年",'Offer Statistics'!AT151)))</f>
        <v>0</v>
      </c>
      <c r="X37" s="284">
        <f>IF($T$2="2018年",'Offer Statistics'!AU37,IF($T$2="2019年",'Offer Statistics'!AU94,IF($T$2="2020年",'Offer Statistics'!AU151)))</f>
        <v>0</v>
      </c>
      <c r="Y37" s="284">
        <f>IF($T$2="2018年",'Offer Statistics'!AV37,IF($T$2="2019年",'Offer Statistics'!AV94,IF($T$2="2020年",'Offer Statistics'!AV151)))</f>
        <v>0</v>
      </c>
      <c r="Z37" s="284">
        <f>IF($T$2="2018年",'Offer Statistics'!AW37,IF($T$2="2019年",'Offer Statistics'!AW94,IF($T$2="2020年",'Offer Statistics'!AW151)))</f>
        <v>0</v>
      </c>
      <c r="AA37" s="501"/>
      <c r="AB37" s="283">
        <f>IF($AA$2="2018年",'Offer Statistics'!AP37,IF($AA$2="2019年",'Offer Statistics'!AP94,IF($AA$2="2020年",'Offer Statistics'!AP151)))</f>
        <v>4346</v>
      </c>
      <c r="AC37" s="284">
        <f>IF($AA$2="2018年",'Offer Statistics'!AK37,IF($AA$2="2019年",'Offer Statistics'!AK94,IF($AA$2="2020年",'Offer Statistics'!AK151)))</f>
        <v>689</v>
      </c>
      <c r="AD37" s="284">
        <f>IF($AA$2="2018年",'Offer Statistics'!AL37,IF($AA$2="2019年",'Offer Statistics'!AL94,IF($AA$2="2020年",'Offer Statistics'!AL151)))</f>
        <v>590</v>
      </c>
      <c r="AE37" s="284">
        <f>IF($AA$2="2018年",'Offer Statistics'!AM37,IF($AA$2="2019年",'Offer Statistics'!AM94,IF($AA$2="2020年",'Offer Statistics'!AM151)))</f>
        <v>966</v>
      </c>
      <c r="AF37" s="284">
        <f>IF($AA$2="2018年",'Offer Statistics'!AN37,IF($AA$2="2019年",'Offer Statistics'!AN94,IF($AA$2="2020年",'Offer Statistics'!AN151)))</f>
        <v>1238</v>
      </c>
      <c r="AG37" s="284">
        <f>IF($AA$2="2018年",'Offer Statistics'!AO37,IF($AA$2="2019年",'Offer Statistics'!AO94,IF($AA$2="2020年",'Offer Statistics'!AO151)))</f>
        <v>863</v>
      </c>
      <c r="AH37" s="181"/>
      <c r="AI37" s="338" t="str">
        <f t="shared" si="2"/>
        <v>JS3820</v>
      </c>
    </row>
    <row r="38" spans="1:35" s="183" customFormat="1" ht="18" customHeight="1">
      <c r="A38" s="175" t="s">
        <v>431</v>
      </c>
      <c r="B38" s="175" t="s">
        <v>768</v>
      </c>
      <c r="C38" s="175" t="s">
        <v>1364</v>
      </c>
      <c r="D38" s="175" t="s">
        <v>2110</v>
      </c>
      <c r="E38" s="437" t="s">
        <v>549</v>
      </c>
      <c r="F38" s="176">
        <f>'PolyU 參考分數'!AG111</f>
        <v>164.00000000001191</v>
      </c>
      <c r="G38" s="176">
        <f>'PolyU 參考分數'!AG112</f>
        <v>159.00000000001091</v>
      </c>
      <c r="H38" s="193">
        <f>計分版!D144</f>
        <v>1.625E-8</v>
      </c>
      <c r="I38" s="188">
        <f t="shared" si="0"/>
        <v>-158.99999998376092</v>
      </c>
      <c r="J38" s="189">
        <f t="shared" si="1"/>
        <v>-9784615383.6160564</v>
      </c>
      <c r="K38" s="276">
        <v>41</v>
      </c>
      <c r="L38" s="381">
        <f>入學要求!S124</f>
        <v>0</v>
      </c>
      <c r="M38" s="377" t="s">
        <v>2193</v>
      </c>
      <c r="N38" s="181">
        <v>3</v>
      </c>
      <c r="O38" s="181">
        <v>3</v>
      </c>
      <c r="P38" s="181">
        <v>2</v>
      </c>
      <c r="Q38" s="181">
        <v>2</v>
      </c>
      <c r="R38" s="181">
        <v>3</v>
      </c>
      <c r="S38" s="181">
        <v>3</v>
      </c>
      <c r="T38" s="501"/>
      <c r="U38" s="283">
        <f>IF($T$2="2018年",'Offer Statistics'!AX38,IF($T$2="2019年",'Offer Statistics'!AX95,IF($T$2="2020年",'Offer Statistics'!AX152)))</f>
        <v>22</v>
      </c>
      <c r="V38" s="284">
        <f>IF($T$2="2018年",'Offer Statistics'!AS38,IF($T$2="2019年",'Offer Statistics'!AS95,IF($T$2="2020年",'Offer Statistics'!AS152)))</f>
        <v>17</v>
      </c>
      <c r="W38" s="284">
        <f>IF($T$2="2018年",'Offer Statistics'!AT38,IF($T$2="2019年",'Offer Statistics'!AT95,IF($T$2="2020年",'Offer Statistics'!AT152)))</f>
        <v>3</v>
      </c>
      <c r="X38" s="284">
        <f>IF($T$2="2018年",'Offer Statistics'!AU38,IF($T$2="2019年",'Offer Statistics'!AU95,IF($T$2="2020年",'Offer Statistics'!AU152)))</f>
        <v>1</v>
      </c>
      <c r="Y38" s="284">
        <f>IF($T$2="2018年",'Offer Statistics'!AV38,IF($T$2="2019年",'Offer Statistics'!AV95,IF($T$2="2020年",'Offer Statistics'!AV152)))</f>
        <v>1</v>
      </c>
      <c r="Z38" s="284">
        <f>IF($T$2="2018年",'Offer Statistics'!AW38,IF($T$2="2019年",'Offer Statistics'!AW95,IF($T$2="2020年",'Offer Statistics'!AW152)))</f>
        <v>0</v>
      </c>
      <c r="AA38" s="501"/>
      <c r="AB38" s="283">
        <f>IF($AA$2="2018年",'Offer Statistics'!AP38,IF($AA$2="2019年",'Offer Statistics'!AP95,IF($AA$2="2020年",'Offer Statistics'!AP152)))</f>
        <v>876</v>
      </c>
      <c r="AC38" s="284">
        <f>IF($AA$2="2018年",'Offer Statistics'!AK38,IF($AA$2="2019年",'Offer Statistics'!AK95,IF($AA$2="2020年",'Offer Statistics'!AK152)))</f>
        <v>108</v>
      </c>
      <c r="AD38" s="284">
        <f>IF($AA$2="2018年",'Offer Statistics'!AL38,IF($AA$2="2019年",'Offer Statistics'!AL95,IF($AA$2="2020年",'Offer Statistics'!AL152)))</f>
        <v>145</v>
      </c>
      <c r="AE38" s="284">
        <f>IF($AA$2="2018年",'Offer Statistics'!AM38,IF($AA$2="2019年",'Offer Statistics'!AM95,IF($AA$2="2020年",'Offer Statistics'!AM152)))</f>
        <v>196</v>
      </c>
      <c r="AF38" s="284">
        <f>IF($AA$2="2018年",'Offer Statistics'!AN38,IF($AA$2="2019年",'Offer Statistics'!AN95,IF($AA$2="2020年",'Offer Statistics'!AN152)))</f>
        <v>243</v>
      </c>
      <c r="AG38" s="284">
        <f>IF($AA$2="2018年",'Offer Statistics'!AO38,IF($AA$2="2019年",'Offer Statistics'!AO95,IF($AA$2="2020年",'Offer Statistics'!AO152)))</f>
        <v>184</v>
      </c>
      <c r="AH38" s="181"/>
      <c r="AI38" s="338" t="str">
        <f t="shared" si="2"/>
        <v>JS3832</v>
      </c>
    </row>
    <row r="39" spans="1:35" s="183" customFormat="1" ht="18" customHeight="1">
      <c r="A39" s="175" t="s">
        <v>1360</v>
      </c>
      <c r="B39" s="175" t="s">
        <v>1363</v>
      </c>
      <c r="C39" s="175" t="s">
        <v>1362</v>
      </c>
      <c r="D39" s="175" t="s">
        <v>1677</v>
      </c>
      <c r="E39" s="437" t="s">
        <v>189</v>
      </c>
      <c r="F39" s="176">
        <f>'PolyU 參考分數'!AG114</f>
        <v>156.50000000001103</v>
      </c>
      <c r="G39" s="176">
        <f>'PolyU 參考分數'!AG115</f>
        <v>146.500000000011</v>
      </c>
      <c r="H39" s="193">
        <f>計分版!D145</f>
        <v>1.9750000000000001E-8</v>
      </c>
      <c r="I39" s="188">
        <f t="shared" ref="I39" si="3">IF(I$1="差距(Median)",H39-F39,IF(I$1="差距(LQ)",H39-G39))</f>
        <v>-146.49999998026101</v>
      </c>
      <c r="J39" s="189">
        <f t="shared" ref="J39" si="4">IF(I$1="差距(Median)",(H39-F39)/H39,IF(I$1="差距(LQ)",(H39-G39)/H39))</f>
        <v>-7417721517.9878988</v>
      </c>
      <c r="K39" s="276">
        <v>29</v>
      </c>
      <c r="L39" s="381">
        <f>入學要求!S125</f>
        <v>0</v>
      </c>
      <c r="M39" s="377" t="s">
        <v>2193</v>
      </c>
      <c r="N39" s="181">
        <v>3</v>
      </c>
      <c r="O39" s="181">
        <v>3</v>
      </c>
      <c r="P39" s="181">
        <v>2</v>
      </c>
      <c r="Q39" s="181">
        <v>2</v>
      </c>
      <c r="R39" s="181">
        <v>3</v>
      </c>
      <c r="S39" s="181">
        <v>3</v>
      </c>
      <c r="T39" s="501"/>
      <c r="U39" s="283" t="str">
        <f>IF($T$2="2018年",'Offer Statistics'!AX39,IF($T$2="2019年",'Offer Statistics'!AX96,IF($T$2="2020年",'Offer Statistics'!AX153)))</f>
        <v>/</v>
      </c>
      <c r="V39" s="284" t="str">
        <f>IF($T$2="2018年",'Offer Statistics'!AS39,IF($T$2="2019年",'Offer Statistics'!AS96,IF($T$2="2020年",'Offer Statistics'!AS153)))</f>
        <v>/</v>
      </c>
      <c r="W39" s="284" t="str">
        <f>IF($T$2="2018年",'Offer Statistics'!AT39,IF($T$2="2019年",'Offer Statistics'!AT96,IF($T$2="2020年",'Offer Statistics'!AT153)))</f>
        <v>/</v>
      </c>
      <c r="X39" s="284" t="str">
        <f>IF($T$2="2018年",'Offer Statistics'!AU39,IF($T$2="2019年",'Offer Statistics'!AU96,IF($T$2="2020年",'Offer Statistics'!AU153)))</f>
        <v>/</v>
      </c>
      <c r="Y39" s="284" t="str">
        <f>IF($T$2="2018年",'Offer Statistics'!AV39,IF($T$2="2019年",'Offer Statistics'!AV96,IF($T$2="2020年",'Offer Statistics'!AV153)))</f>
        <v>/</v>
      </c>
      <c r="Z39" s="284" t="str">
        <f>IF($T$2="2018年",'Offer Statistics'!AW39,IF($T$2="2019年",'Offer Statistics'!AW96,IF($T$2="2020年",'Offer Statistics'!AW153)))</f>
        <v>/</v>
      </c>
      <c r="AA39" s="501"/>
      <c r="AB39" s="283" t="str">
        <f>IF($AA$2="2018年",'Offer Statistics'!AP39,IF($AA$2="2019年",'Offer Statistics'!AP96,IF($AA$2="2020年",'Offer Statistics'!AP153)))</f>
        <v>/</v>
      </c>
      <c r="AC39" s="284" t="str">
        <f>IF($AA$2="2018年",'Offer Statistics'!AK39,IF($AA$2="2019年",'Offer Statistics'!AK96,IF($AA$2="2020年",'Offer Statistics'!AK153)))</f>
        <v>/</v>
      </c>
      <c r="AD39" s="284" t="str">
        <f>IF($AA$2="2018年",'Offer Statistics'!AL39,IF($AA$2="2019年",'Offer Statistics'!AL96,IF($AA$2="2020年",'Offer Statistics'!AL153)))</f>
        <v>/</v>
      </c>
      <c r="AE39" s="284" t="str">
        <f>IF($AA$2="2018年",'Offer Statistics'!AM39,IF($AA$2="2019年",'Offer Statistics'!AM96,IF($AA$2="2020年",'Offer Statistics'!AM153)))</f>
        <v>/</v>
      </c>
      <c r="AF39" s="284" t="str">
        <f>IF($AA$2="2018年",'Offer Statistics'!AN39,IF($AA$2="2019年",'Offer Statistics'!AN96,IF($AA$2="2020年",'Offer Statistics'!AN153)))</f>
        <v>/</v>
      </c>
      <c r="AG39" s="284" t="str">
        <f>IF($AA$2="2018年",'Offer Statistics'!AO39,IF($AA$2="2019年",'Offer Statistics'!AO96,IF($AA$2="2020年",'Offer Statistics'!AO153)))</f>
        <v>/</v>
      </c>
      <c r="AH39" s="181"/>
      <c r="AI39" s="338" t="str">
        <f t="shared" si="2"/>
        <v>JS3844</v>
      </c>
    </row>
    <row r="40" spans="1:35" s="183" customFormat="1" ht="18" customHeight="1">
      <c r="A40" s="175" t="s">
        <v>432</v>
      </c>
      <c r="B40" s="175" t="s">
        <v>293</v>
      </c>
      <c r="C40" s="175" t="s">
        <v>1053</v>
      </c>
      <c r="D40" s="175" t="s">
        <v>2111</v>
      </c>
      <c r="E40" s="437" t="s">
        <v>189</v>
      </c>
      <c r="F40" s="176">
        <f>'PolyU 參考分數'!AG117</f>
        <v>188.00000000001882</v>
      </c>
      <c r="G40" s="176">
        <f>'PolyU 參考分數'!AG118</f>
        <v>181.00000000001882</v>
      </c>
      <c r="H40" s="193">
        <f>計分版!D146</f>
        <v>2.175E-8</v>
      </c>
      <c r="I40" s="188">
        <f t="shared" si="0"/>
        <v>-180.99999997826882</v>
      </c>
      <c r="J40" s="189">
        <f t="shared" si="1"/>
        <v>-8321839079.4606352</v>
      </c>
      <c r="K40" s="276">
        <v>110</v>
      </c>
      <c r="L40" s="381">
        <f>入學要求!S126</f>
        <v>0</v>
      </c>
      <c r="M40" s="355" t="s">
        <v>2188</v>
      </c>
      <c r="N40" s="181">
        <v>3</v>
      </c>
      <c r="O40" s="181">
        <v>3</v>
      </c>
      <c r="P40" s="181">
        <v>2</v>
      </c>
      <c r="Q40" s="181">
        <v>2</v>
      </c>
      <c r="R40" s="181">
        <v>3</v>
      </c>
      <c r="S40" s="181">
        <v>3</v>
      </c>
      <c r="T40" s="501"/>
      <c r="U40" s="283">
        <f>IF($T$2="2018年",'Offer Statistics'!AX40,IF($T$2="2019年",'Offer Statistics'!AX97,IF($T$2="2020年",'Offer Statistics'!AX154)))</f>
        <v>95</v>
      </c>
      <c r="V40" s="284">
        <f>IF($T$2="2018年",'Offer Statistics'!AS40,IF($T$2="2019年",'Offer Statistics'!AS97,IF($T$2="2020年",'Offer Statistics'!AS154)))</f>
        <v>87</v>
      </c>
      <c r="W40" s="284">
        <f>IF($T$2="2018年",'Offer Statistics'!AT40,IF($T$2="2019年",'Offer Statistics'!AT97,IF($T$2="2020年",'Offer Statistics'!AT154)))</f>
        <v>6</v>
      </c>
      <c r="X40" s="284">
        <f>IF($T$2="2018年",'Offer Statistics'!AU40,IF($T$2="2019年",'Offer Statistics'!AU97,IF($T$2="2020年",'Offer Statistics'!AU154)))</f>
        <v>1</v>
      </c>
      <c r="Y40" s="284">
        <f>IF($T$2="2018年",'Offer Statistics'!AV40,IF($T$2="2019年",'Offer Statistics'!AV97,IF($T$2="2020年",'Offer Statistics'!AV154)))</f>
        <v>1</v>
      </c>
      <c r="Z40" s="284">
        <f>IF($T$2="2018年",'Offer Statistics'!AW40,IF($T$2="2019年",'Offer Statistics'!AW97,IF($T$2="2020年",'Offer Statistics'!AW154)))</f>
        <v>0</v>
      </c>
      <c r="AA40" s="501"/>
      <c r="AB40" s="283">
        <f>IF($AA$2="2018年",'Offer Statistics'!AP40,IF($AA$2="2019年",'Offer Statistics'!AP97,IF($AA$2="2020年",'Offer Statistics'!AP154)))</f>
        <v>2155</v>
      </c>
      <c r="AC40" s="284">
        <f>IF($AA$2="2018年",'Offer Statistics'!AK40,IF($AA$2="2019年",'Offer Statistics'!AK97,IF($AA$2="2020年",'Offer Statistics'!AK154)))</f>
        <v>520</v>
      </c>
      <c r="AD40" s="284">
        <f>IF($AA$2="2018年",'Offer Statistics'!AL40,IF($AA$2="2019年",'Offer Statistics'!AL97,IF($AA$2="2020年",'Offer Statistics'!AL154)))</f>
        <v>422</v>
      </c>
      <c r="AE40" s="284">
        <f>IF($AA$2="2018年",'Offer Statistics'!AM40,IF($AA$2="2019年",'Offer Statistics'!AM97,IF($AA$2="2020年",'Offer Statistics'!AM154)))</f>
        <v>467</v>
      </c>
      <c r="AF40" s="284">
        <f>IF($AA$2="2018年",'Offer Statistics'!AN40,IF($AA$2="2019年",'Offer Statistics'!AN97,IF($AA$2="2020年",'Offer Statistics'!AN154)))</f>
        <v>454</v>
      </c>
      <c r="AG40" s="284">
        <f>IF($AA$2="2018年",'Offer Statistics'!AO40,IF($AA$2="2019年",'Offer Statistics'!AO97,IF($AA$2="2020年",'Offer Statistics'!AO154)))</f>
        <v>292</v>
      </c>
      <c r="AH40" s="181"/>
      <c r="AI40" s="338" t="str">
        <f t="shared" si="2"/>
        <v>JS3868</v>
      </c>
    </row>
    <row r="41" spans="1:35" s="183" customFormat="1" ht="18" customHeight="1">
      <c r="A41" s="175" t="s">
        <v>433</v>
      </c>
      <c r="B41" s="175" t="s">
        <v>774</v>
      </c>
      <c r="C41" s="175" t="s">
        <v>523</v>
      </c>
      <c r="D41" s="175" t="s">
        <v>2112</v>
      </c>
      <c r="E41" s="437" t="s">
        <v>59</v>
      </c>
      <c r="F41" s="176">
        <f>'PolyU 參考分數'!AG120</f>
        <v>154.50000000001063</v>
      </c>
      <c r="G41" s="176">
        <f>'PolyU 參考分數'!AG121</f>
        <v>134.50000000001012</v>
      </c>
      <c r="H41" s="193">
        <f>計分版!D147</f>
        <v>1.9750000000000001E-8</v>
      </c>
      <c r="I41" s="188">
        <f t="shared" si="0"/>
        <v>-134.49999998026013</v>
      </c>
      <c r="J41" s="189">
        <f t="shared" si="1"/>
        <v>-6810126581.2789936</v>
      </c>
      <c r="K41" s="276">
        <v>45</v>
      </c>
      <c r="L41" s="381">
        <f>入學要求!S127</f>
        <v>0</v>
      </c>
      <c r="M41" s="355" t="s">
        <v>360</v>
      </c>
      <c r="N41" s="181">
        <v>3</v>
      </c>
      <c r="O41" s="181">
        <v>3</v>
      </c>
      <c r="P41" s="181">
        <v>2</v>
      </c>
      <c r="Q41" s="181">
        <v>2</v>
      </c>
      <c r="R41" s="181">
        <v>3</v>
      </c>
      <c r="S41" s="181">
        <v>3</v>
      </c>
      <c r="T41" s="501"/>
      <c r="U41" s="283">
        <f>IF($T$2="2018年",'Offer Statistics'!AX41,IF($T$2="2019年",'Offer Statistics'!AX98,IF($T$2="2020年",'Offer Statistics'!AX155)))</f>
        <v>49</v>
      </c>
      <c r="V41" s="284">
        <f>IF($T$2="2018年",'Offer Statistics'!AS41,IF($T$2="2019年",'Offer Statistics'!AS98,IF($T$2="2020年",'Offer Statistics'!AS155)))</f>
        <v>49</v>
      </c>
      <c r="W41" s="284">
        <f>IF($T$2="2018年",'Offer Statistics'!AT41,IF($T$2="2019年",'Offer Statistics'!AT98,IF($T$2="2020年",'Offer Statistics'!AT155)))</f>
        <v>0</v>
      </c>
      <c r="X41" s="284">
        <f>IF($T$2="2018年",'Offer Statistics'!AU41,IF($T$2="2019年",'Offer Statistics'!AU98,IF($T$2="2020年",'Offer Statistics'!AU155)))</f>
        <v>0</v>
      </c>
      <c r="Y41" s="284">
        <f>IF($T$2="2018年",'Offer Statistics'!AV41,IF($T$2="2019年",'Offer Statistics'!AV98,IF($T$2="2020年",'Offer Statistics'!AV155)))</f>
        <v>0</v>
      </c>
      <c r="Z41" s="284">
        <f>IF($T$2="2018年",'Offer Statistics'!AW41,IF($T$2="2019年",'Offer Statistics'!AW98,IF($T$2="2020年",'Offer Statistics'!AW155)))</f>
        <v>0</v>
      </c>
      <c r="AA41" s="501"/>
      <c r="AB41" s="283">
        <f>IF($AA$2="2018年",'Offer Statistics'!AP41,IF($AA$2="2019年",'Offer Statistics'!AP98,IF($AA$2="2020年",'Offer Statistics'!AP155)))</f>
        <v>6159</v>
      </c>
      <c r="AC41" s="284">
        <f>IF($AA$2="2018年",'Offer Statistics'!AK41,IF($AA$2="2019年",'Offer Statistics'!AK98,IF($AA$2="2020年",'Offer Statistics'!AK155)))</f>
        <v>888</v>
      </c>
      <c r="AD41" s="284">
        <f>IF($AA$2="2018年",'Offer Statistics'!AL41,IF($AA$2="2019年",'Offer Statistics'!AL98,IF($AA$2="2020年",'Offer Statistics'!AL155)))</f>
        <v>831</v>
      </c>
      <c r="AE41" s="284">
        <f>IF($AA$2="2018年",'Offer Statistics'!AM41,IF($AA$2="2019年",'Offer Statistics'!AM98,IF($AA$2="2020年",'Offer Statistics'!AM155)))</f>
        <v>1314</v>
      </c>
      <c r="AF41" s="284">
        <f>IF($AA$2="2018年",'Offer Statistics'!AN41,IF($AA$2="2019年",'Offer Statistics'!AN98,IF($AA$2="2020年",'Offer Statistics'!AN155)))</f>
        <v>1774</v>
      </c>
      <c r="AG41" s="284">
        <f>IF($AA$2="2018年",'Offer Statistics'!AO41,IF($AA$2="2019年",'Offer Statistics'!AO98,IF($AA$2="2020年",'Offer Statistics'!AO155)))</f>
        <v>1352</v>
      </c>
      <c r="AH41" s="181"/>
      <c r="AI41" s="338" t="str">
        <f t="shared" si="2"/>
        <v>JS3882</v>
      </c>
    </row>
    <row r="42" spans="1:35" s="183" customFormat="1" ht="18" customHeight="1">
      <c r="A42" s="175" t="s">
        <v>434</v>
      </c>
      <c r="B42" s="175" t="s">
        <v>771</v>
      </c>
      <c r="C42" s="175" t="s">
        <v>524</v>
      </c>
      <c r="D42" s="175" t="s">
        <v>2113</v>
      </c>
      <c r="E42" s="437" t="s">
        <v>189</v>
      </c>
      <c r="F42" s="176">
        <f>'PolyU 參考分數'!AG123</f>
        <v>163.500000000011</v>
      </c>
      <c r="G42" s="176">
        <f>'PolyU 參考分數'!AG124</f>
        <v>146.0000000000133</v>
      </c>
      <c r="H42" s="193">
        <f>計分版!D148</f>
        <v>1.9750000000000001E-8</v>
      </c>
      <c r="I42" s="188">
        <f t="shared" si="0"/>
        <v>-145.99999998026331</v>
      </c>
      <c r="J42" s="189">
        <f t="shared" si="1"/>
        <v>-7392405062.2918129</v>
      </c>
      <c r="K42" s="276">
        <v>58</v>
      </c>
      <c r="L42" s="381">
        <f>入學要求!S128</f>
        <v>0</v>
      </c>
      <c r="M42" s="355" t="s">
        <v>2188</v>
      </c>
      <c r="N42" s="181">
        <v>3</v>
      </c>
      <c r="O42" s="181">
        <v>3</v>
      </c>
      <c r="P42" s="181">
        <v>2</v>
      </c>
      <c r="Q42" s="181">
        <v>2</v>
      </c>
      <c r="R42" s="181">
        <v>3</v>
      </c>
      <c r="S42" s="181">
        <v>3</v>
      </c>
      <c r="T42" s="501"/>
      <c r="U42" s="283">
        <f>IF($T$2="2018年",'Offer Statistics'!AX42,IF($T$2="2019年",'Offer Statistics'!AX99,IF($T$2="2020年",'Offer Statistics'!AX156)))</f>
        <v>57</v>
      </c>
      <c r="V42" s="284">
        <f>IF($T$2="2018年",'Offer Statistics'!AS42,IF($T$2="2019年",'Offer Statistics'!AS99,IF($T$2="2020年",'Offer Statistics'!AS156)))</f>
        <v>52</v>
      </c>
      <c r="W42" s="284">
        <f>IF($T$2="2018年",'Offer Statistics'!AT42,IF($T$2="2019年",'Offer Statistics'!AT99,IF($T$2="2020年",'Offer Statistics'!AT156)))</f>
        <v>3</v>
      </c>
      <c r="X42" s="284">
        <f>IF($T$2="2018年",'Offer Statistics'!AU42,IF($T$2="2019年",'Offer Statistics'!AU99,IF($T$2="2020年",'Offer Statistics'!AU156)))</f>
        <v>0</v>
      </c>
      <c r="Y42" s="284">
        <f>IF($T$2="2018年",'Offer Statistics'!AV42,IF($T$2="2019年",'Offer Statistics'!AV99,IF($T$2="2020年",'Offer Statistics'!AV156)))</f>
        <v>0</v>
      </c>
      <c r="Z42" s="284">
        <f>IF($T$2="2018年",'Offer Statistics'!AW42,IF($T$2="2019年",'Offer Statistics'!AW99,IF($T$2="2020年",'Offer Statistics'!AW156)))</f>
        <v>2</v>
      </c>
      <c r="AA42" s="501"/>
      <c r="AB42" s="283">
        <f>IF($AA$2="2018年",'Offer Statistics'!AP42,IF($AA$2="2019年",'Offer Statistics'!AP99,IF($AA$2="2020年",'Offer Statistics'!AP156)))</f>
        <v>5998</v>
      </c>
      <c r="AC42" s="284">
        <f>IF($AA$2="2018年",'Offer Statistics'!AK42,IF($AA$2="2019年",'Offer Statistics'!AK99,IF($AA$2="2020年",'Offer Statistics'!AK156)))</f>
        <v>825</v>
      </c>
      <c r="AD42" s="284">
        <f>IF($AA$2="2018年",'Offer Statistics'!AL42,IF($AA$2="2019年",'Offer Statistics'!AL99,IF($AA$2="2020年",'Offer Statistics'!AL156)))</f>
        <v>1025</v>
      </c>
      <c r="AE42" s="284">
        <f>IF($AA$2="2018年",'Offer Statistics'!AM42,IF($AA$2="2019年",'Offer Statistics'!AM99,IF($AA$2="2020年",'Offer Statistics'!AM156)))</f>
        <v>1450</v>
      </c>
      <c r="AF42" s="284">
        <f>IF($AA$2="2018年",'Offer Statistics'!AN42,IF($AA$2="2019年",'Offer Statistics'!AN99,IF($AA$2="2020年",'Offer Statistics'!AN156)))</f>
        <v>1625</v>
      </c>
      <c r="AG42" s="284">
        <f>IF($AA$2="2018年",'Offer Statistics'!AO42,IF($AA$2="2019年",'Offer Statistics'!AO99,IF($AA$2="2020年",'Offer Statistics'!AO156)))</f>
        <v>1073</v>
      </c>
      <c r="AH42" s="181"/>
      <c r="AI42" s="338" t="str">
        <f t="shared" si="2"/>
        <v>JS3894</v>
      </c>
    </row>
    <row r="43" spans="1:35" s="183" customFormat="1" ht="18" customHeight="1">
      <c r="A43" s="175" t="s">
        <v>435</v>
      </c>
      <c r="B43" s="175" t="s">
        <v>771</v>
      </c>
      <c r="C43" s="175" t="s">
        <v>525</v>
      </c>
      <c r="D43" s="175" t="s">
        <v>2114</v>
      </c>
      <c r="E43" s="437" t="s">
        <v>189</v>
      </c>
      <c r="F43" s="176">
        <f>'PolyU 參考分數'!AG126</f>
        <v>171.00000000001151</v>
      </c>
      <c r="G43" s="176">
        <f>'PolyU 參考分數'!AG127</f>
        <v>166.50000000001154</v>
      </c>
      <c r="H43" s="193">
        <f>計分版!D149</f>
        <v>2.0249999999999999E-8</v>
      </c>
      <c r="I43" s="188">
        <f t="shared" si="0"/>
        <v>-166.49999997976153</v>
      </c>
      <c r="J43" s="189">
        <f t="shared" si="1"/>
        <v>-8222222221.2227917</v>
      </c>
      <c r="K43" s="276">
        <v>108</v>
      </c>
      <c r="L43" s="381">
        <f>入學要求!S129</f>
        <v>0</v>
      </c>
      <c r="M43" s="355" t="s">
        <v>2188</v>
      </c>
      <c r="N43" s="181">
        <v>3</v>
      </c>
      <c r="O43" s="181">
        <v>3</v>
      </c>
      <c r="P43" s="181">
        <v>2</v>
      </c>
      <c r="Q43" s="181">
        <v>2</v>
      </c>
      <c r="R43" s="181">
        <v>3</v>
      </c>
      <c r="S43" s="181">
        <v>3</v>
      </c>
      <c r="T43" s="501"/>
      <c r="U43" s="283">
        <f>IF($T$2="2018年",'Offer Statistics'!AX43,IF($T$2="2019年",'Offer Statistics'!AX100,IF($T$2="2020年",'Offer Statistics'!AX157)))</f>
        <v>81</v>
      </c>
      <c r="V43" s="284">
        <f>IF($T$2="2018年",'Offer Statistics'!AS43,IF($T$2="2019年",'Offer Statistics'!AS100,IF($T$2="2020年",'Offer Statistics'!AS157)))</f>
        <v>79</v>
      </c>
      <c r="W43" s="284">
        <f>IF($T$2="2018年",'Offer Statistics'!AT43,IF($T$2="2019年",'Offer Statistics'!AT100,IF($T$2="2020年",'Offer Statistics'!AT157)))</f>
        <v>0</v>
      </c>
      <c r="X43" s="284">
        <f>IF($T$2="2018年",'Offer Statistics'!AU43,IF($T$2="2019年",'Offer Statistics'!AU100,IF($T$2="2020年",'Offer Statistics'!AU157)))</f>
        <v>0</v>
      </c>
      <c r="Y43" s="284">
        <f>IF($T$2="2018年",'Offer Statistics'!AV43,IF($T$2="2019年",'Offer Statistics'!AV100,IF($T$2="2020年",'Offer Statistics'!AV157)))</f>
        <v>1</v>
      </c>
      <c r="Z43" s="284">
        <f>IF($T$2="2018年",'Offer Statistics'!AW43,IF($T$2="2019年",'Offer Statistics'!AW100,IF($T$2="2020年",'Offer Statistics'!AW157)))</f>
        <v>1</v>
      </c>
      <c r="AA43" s="501"/>
      <c r="AB43" s="283">
        <f>IF($AA$2="2018年",'Offer Statistics'!AP43,IF($AA$2="2019年",'Offer Statistics'!AP100,IF($AA$2="2020年",'Offer Statistics'!AP157)))</f>
        <v>3608</v>
      </c>
      <c r="AC43" s="284">
        <f>IF($AA$2="2018年",'Offer Statistics'!AK43,IF($AA$2="2019年",'Offer Statistics'!AK100,IF($AA$2="2020年",'Offer Statistics'!AK157)))</f>
        <v>708</v>
      </c>
      <c r="AD43" s="284">
        <f>IF($AA$2="2018年",'Offer Statistics'!AL43,IF($AA$2="2019年",'Offer Statistics'!AL100,IF($AA$2="2020年",'Offer Statistics'!AL157)))</f>
        <v>674</v>
      </c>
      <c r="AE43" s="284">
        <f>IF($AA$2="2018年",'Offer Statistics'!AM43,IF($AA$2="2019年",'Offer Statistics'!AM100,IF($AA$2="2020年",'Offer Statistics'!AM157)))</f>
        <v>750</v>
      </c>
      <c r="AF43" s="284">
        <f>IF($AA$2="2018年",'Offer Statistics'!AN43,IF($AA$2="2019年",'Offer Statistics'!AN100,IF($AA$2="2020年",'Offer Statistics'!AN157)))</f>
        <v>869</v>
      </c>
      <c r="AG43" s="284">
        <f>IF($AA$2="2018年",'Offer Statistics'!AO43,IF($AA$2="2019年",'Offer Statistics'!AO100,IF($AA$2="2020年",'Offer Statistics'!AO157)))</f>
        <v>607</v>
      </c>
      <c r="AH43" s="181"/>
      <c r="AI43" s="338" t="str">
        <f t="shared" si="2"/>
        <v>JS3911</v>
      </c>
    </row>
    <row r="44" spans="1:35" s="183" customFormat="1" ht="18" customHeight="1">
      <c r="A44" s="175" t="s">
        <v>436</v>
      </c>
      <c r="B44" s="175" t="s">
        <v>773</v>
      </c>
      <c r="C44" s="175" t="s">
        <v>526</v>
      </c>
      <c r="D44" s="175" t="s">
        <v>2115</v>
      </c>
      <c r="E44" s="437" t="s">
        <v>189</v>
      </c>
      <c r="F44" s="176">
        <f>'PolyU 參考分數'!AG129</f>
        <v>186.50000000001353</v>
      </c>
      <c r="G44" s="176">
        <f>'PolyU 參考分數'!AG130</f>
        <v>184.00000000001353</v>
      </c>
      <c r="H44" s="193">
        <f>計分版!D150</f>
        <v>1.9750000000000001E-8</v>
      </c>
      <c r="I44" s="188">
        <f t="shared" si="0"/>
        <v>-183.99999998026354</v>
      </c>
      <c r="J44" s="189">
        <f t="shared" si="1"/>
        <v>-9316455695.2032166</v>
      </c>
      <c r="K44" s="276">
        <v>26</v>
      </c>
      <c r="L44" s="381">
        <f>入學要求!S130</f>
        <v>0</v>
      </c>
      <c r="M44" s="377" t="s">
        <v>2193</v>
      </c>
      <c r="N44" s="181">
        <v>3</v>
      </c>
      <c r="O44" s="181">
        <v>3</v>
      </c>
      <c r="P44" s="181">
        <v>2</v>
      </c>
      <c r="Q44" s="181">
        <v>2</v>
      </c>
      <c r="R44" s="181">
        <v>3</v>
      </c>
      <c r="S44" s="181">
        <v>3</v>
      </c>
      <c r="T44" s="501"/>
      <c r="U44" s="283">
        <f>IF($T$2="2018年",'Offer Statistics'!AX44,IF($T$2="2019年",'Offer Statistics'!AX101,IF($T$2="2020年",'Offer Statistics'!AX158)))</f>
        <v>25</v>
      </c>
      <c r="V44" s="284">
        <f>IF($T$2="2018年",'Offer Statistics'!AS44,IF($T$2="2019年",'Offer Statistics'!AS101,IF($T$2="2020年",'Offer Statistics'!AS158)))</f>
        <v>22</v>
      </c>
      <c r="W44" s="284">
        <f>IF($T$2="2018年",'Offer Statistics'!AT44,IF($T$2="2019年",'Offer Statistics'!AT101,IF($T$2="2020年",'Offer Statistics'!AT158)))</f>
        <v>2</v>
      </c>
      <c r="X44" s="284">
        <f>IF($T$2="2018年",'Offer Statistics'!AU44,IF($T$2="2019年",'Offer Statistics'!AU101,IF($T$2="2020年",'Offer Statistics'!AU158)))</f>
        <v>0</v>
      </c>
      <c r="Y44" s="284">
        <f>IF($T$2="2018年",'Offer Statistics'!AV44,IF($T$2="2019年",'Offer Statistics'!AV101,IF($T$2="2020年",'Offer Statistics'!AV158)))</f>
        <v>0</v>
      </c>
      <c r="Z44" s="284">
        <f>IF($T$2="2018年",'Offer Statistics'!AW44,IF($T$2="2019年",'Offer Statistics'!AW101,IF($T$2="2020年",'Offer Statistics'!AW158)))</f>
        <v>1</v>
      </c>
      <c r="AA44" s="501"/>
      <c r="AB44" s="283">
        <f>IF($AA$2="2018年",'Offer Statistics'!AP44,IF($AA$2="2019年",'Offer Statistics'!AP101,IF($AA$2="2020年",'Offer Statistics'!AP158)))</f>
        <v>2949</v>
      </c>
      <c r="AC44" s="284">
        <f>IF($AA$2="2018年",'Offer Statistics'!AK44,IF($AA$2="2019年",'Offer Statistics'!AK101,IF($AA$2="2020年",'Offer Statistics'!AK158)))</f>
        <v>358</v>
      </c>
      <c r="AD44" s="284">
        <f>IF($AA$2="2018年",'Offer Statistics'!AL44,IF($AA$2="2019年",'Offer Statistics'!AL101,IF($AA$2="2020年",'Offer Statistics'!AL158)))</f>
        <v>485</v>
      </c>
      <c r="AE44" s="284">
        <f>IF($AA$2="2018年",'Offer Statistics'!AM44,IF($AA$2="2019年",'Offer Statistics'!AM101,IF($AA$2="2020年",'Offer Statistics'!AM158)))</f>
        <v>741</v>
      </c>
      <c r="AF44" s="284">
        <f>IF($AA$2="2018年",'Offer Statistics'!AN44,IF($AA$2="2019年",'Offer Statistics'!AN101,IF($AA$2="2020年",'Offer Statistics'!AN158)))</f>
        <v>819</v>
      </c>
      <c r="AG44" s="284">
        <f>IF($AA$2="2018年",'Offer Statistics'!AO44,IF($AA$2="2019年",'Offer Statistics'!AO101,IF($AA$2="2020年",'Offer Statistics'!AO158)))</f>
        <v>546</v>
      </c>
      <c r="AH44" s="181"/>
      <c r="AI44" s="338" t="str">
        <f t="shared" si="2"/>
        <v>JS3923</v>
      </c>
    </row>
    <row r="45" spans="1:35" s="183" customFormat="1" ht="18" customHeight="1">
      <c r="A45" s="175" t="s">
        <v>437</v>
      </c>
      <c r="B45" s="175" t="s">
        <v>772</v>
      </c>
      <c r="C45" s="175" t="s">
        <v>527</v>
      </c>
      <c r="D45" s="175" t="s">
        <v>2116</v>
      </c>
      <c r="E45" s="437" t="s">
        <v>189</v>
      </c>
      <c r="F45" s="176">
        <f>'PolyU 參考分數'!AG132</f>
        <v>159.00000000001353</v>
      </c>
      <c r="G45" s="176">
        <f>'PolyU 參考分數'!AG133</f>
        <v>158.0000000000208</v>
      </c>
      <c r="H45" s="193">
        <f>計分版!D151</f>
        <v>2.0750000000000004E-8</v>
      </c>
      <c r="I45" s="188">
        <f t="shared" si="0"/>
        <v>-157.9999999792708</v>
      </c>
      <c r="J45" s="189">
        <f t="shared" si="1"/>
        <v>-7614457830.3263025</v>
      </c>
      <c r="K45" s="276">
        <v>25</v>
      </c>
      <c r="L45" s="381">
        <f>入學要求!S131</f>
        <v>0</v>
      </c>
      <c r="M45" s="377" t="s">
        <v>2193</v>
      </c>
      <c r="N45" s="181">
        <v>3</v>
      </c>
      <c r="O45" s="181">
        <v>3</v>
      </c>
      <c r="P45" s="181">
        <v>2</v>
      </c>
      <c r="Q45" s="181">
        <v>2</v>
      </c>
      <c r="R45" s="181">
        <v>3</v>
      </c>
      <c r="S45" s="181">
        <v>3</v>
      </c>
      <c r="T45" s="501"/>
      <c r="U45" s="283">
        <f>IF($T$2="2018年",'Offer Statistics'!AX45,IF($T$2="2019年",'Offer Statistics'!AX102,IF($T$2="2020年",'Offer Statistics'!AX159)))</f>
        <v>27</v>
      </c>
      <c r="V45" s="284">
        <f>IF($T$2="2018年",'Offer Statistics'!AS45,IF($T$2="2019年",'Offer Statistics'!AS102,IF($T$2="2020年",'Offer Statistics'!AS159)))</f>
        <v>22</v>
      </c>
      <c r="W45" s="284">
        <f>IF($T$2="2018年",'Offer Statistics'!AT45,IF($T$2="2019年",'Offer Statistics'!AT102,IF($T$2="2020年",'Offer Statistics'!AT159)))</f>
        <v>3</v>
      </c>
      <c r="X45" s="284">
        <f>IF($T$2="2018年",'Offer Statistics'!AU45,IF($T$2="2019年",'Offer Statistics'!AU102,IF($T$2="2020年",'Offer Statistics'!AU159)))</f>
        <v>1</v>
      </c>
      <c r="Y45" s="284">
        <f>IF($T$2="2018年",'Offer Statistics'!AV45,IF($T$2="2019年",'Offer Statistics'!AV102,IF($T$2="2020年",'Offer Statistics'!AV159)))</f>
        <v>1</v>
      </c>
      <c r="Z45" s="284">
        <f>IF($T$2="2018年",'Offer Statistics'!AW45,IF($T$2="2019年",'Offer Statistics'!AW102,IF($T$2="2020年",'Offer Statistics'!AW159)))</f>
        <v>0</v>
      </c>
      <c r="AA45" s="501"/>
      <c r="AB45" s="283">
        <f>IF($AA$2="2018年",'Offer Statistics'!AP45,IF($AA$2="2019年",'Offer Statistics'!AP102,IF($AA$2="2020年",'Offer Statistics'!AP159)))</f>
        <v>2474</v>
      </c>
      <c r="AC45" s="284">
        <f>IF($AA$2="2018年",'Offer Statistics'!AK45,IF($AA$2="2019年",'Offer Statistics'!AK102,IF($AA$2="2020年",'Offer Statistics'!AK159)))</f>
        <v>228</v>
      </c>
      <c r="AD45" s="284">
        <f>IF($AA$2="2018年",'Offer Statistics'!AL45,IF($AA$2="2019年",'Offer Statistics'!AL102,IF($AA$2="2020年",'Offer Statistics'!AL159)))</f>
        <v>363</v>
      </c>
      <c r="AE45" s="284">
        <f>IF($AA$2="2018年",'Offer Statistics'!AM45,IF($AA$2="2019年",'Offer Statistics'!AM102,IF($AA$2="2020年",'Offer Statistics'!AM159)))</f>
        <v>593</v>
      </c>
      <c r="AF45" s="284">
        <f>IF($AA$2="2018年",'Offer Statistics'!AN45,IF($AA$2="2019年",'Offer Statistics'!AN102,IF($AA$2="2020年",'Offer Statistics'!AN159)))</f>
        <v>745</v>
      </c>
      <c r="AG45" s="284">
        <f>IF($AA$2="2018年",'Offer Statistics'!AO45,IF($AA$2="2019年",'Offer Statistics'!AO102,IF($AA$2="2020年",'Offer Statistics'!AO159)))</f>
        <v>545</v>
      </c>
      <c r="AH45" s="181"/>
      <c r="AI45" s="338" t="str">
        <f t="shared" si="2"/>
        <v>JS3985</v>
      </c>
    </row>
    <row r="46" spans="1:35" s="183" customFormat="1" ht="18" customHeight="1">
      <c r="A46" s="175" t="s">
        <v>438</v>
      </c>
      <c r="B46" s="175" t="s">
        <v>772</v>
      </c>
      <c r="C46" s="175" t="s">
        <v>528</v>
      </c>
      <c r="D46" s="175" t="s">
        <v>2117</v>
      </c>
      <c r="E46" s="437" t="s">
        <v>189</v>
      </c>
      <c r="F46" s="176">
        <f>'PolyU 參考分數'!AG135</f>
        <v>176.0000000000135</v>
      </c>
      <c r="G46" s="176">
        <f>'PolyU 參考分數'!AG136</f>
        <v>171.0000000000135</v>
      </c>
      <c r="H46" s="193">
        <f>計分版!D152</f>
        <v>1.9750000000000001E-8</v>
      </c>
      <c r="I46" s="188">
        <f t="shared" si="0"/>
        <v>-170.99999998026351</v>
      </c>
      <c r="J46" s="189">
        <f t="shared" si="1"/>
        <v>-8658227847.1019497</v>
      </c>
      <c r="K46" s="276">
        <v>26</v>
      </c>
      <c r="L46" s="381">
        <f>入學要求!S132</f>
        <v>0</v>
      </c>
      <c r="M46" s="355" t="s">
        <v>2188</v>
      </c>
      <c r="N46" s="181">
        <v>3</v>
      </c>
      <c r="O46" s="181">
        <v>3</v>
      </c>
      <c r="P46" s="181">
        <v>2</v>
      </c>
      <c r="Q46" s="181">
        <v>2</v>
      </c>
      <c r="R46" s="181">
        <v>3</v>
      </c>
      <c r="S46" s="181">
        <v>3</v>
      </c>
      <c r="T46" s="501"/>
      <c r="U46" s="283">
        <f>IF($T$2="2018年",'Offer Statistics'!AX46,IF($T$2="2019年",'Offer Statistics'!AX103,IF($T$2="2020年",'Offer Statistics'!AX160)))</f>
        <v>23</v>
      </c>
      <c r="V46" s="284">
        <f>IF($T$2="2018年",'Offer Statistics'!AS46,IF($T$2="2019年",'Offer Statistics'!AS103,IF($T$2="2020年",'Offer Statistics'!AS160)))</f>
        <v>23</v>
      </c>
      <c r="W46" s="284">
        <f>IF($T$2="2018年",'Offer Statistics'!AT46,IF($T$2="2019年",'Offer Statistics'!AT103,IF($T$2="2020年",'Offer Statistics'!AT160)))</f>
        <v>0</v>
      </c>
      <c r="X46" s="284">
        <f>IF($T$2="2018年",'Offer Statistics'!AU46,IF($T$2="2019年",'Offer Statistics'!AU103,IF($T$2="2020年",'Offer Statistics'!AU160)))</f>
        <v>0</v>
      </c>
      <c r="Y46" s="284">
        <f>IF($T$2="2018年",'Offer Statistics'!AV46,IF($T$2="2019年",'Offer Statistics'!AV103,IF($T$2="2020年",'Offer Statistics'!AV160)))</f>
        <v>0</v>
      </c>
      <c r="Z46" s="284">
        <f>IF($T$2="2018年",'Offer Statistics'!AW46,IF($T$2="2019年",'Offer Statistics'!AW103,IF($T$2="2020年",'Offer Statistics'!AW160)))</f>
        <v>0</v>
      </c>
      <c r="AA46" s="501"/>
      <c r="AB46" s="283">
        <f>IF($AA$2="2018年",'Offer Statistics'!AP46,IF($AA$2="2019年",'Offer Statistics'!AP103,IF($AA$2="2020年",'Offer Statistics'!AP160)))</f>
        <v>2512</v>
      </c>
      <c r="AC46" s="284">
        <f>IF($AA$2="2018年",'Offer Statistics'!AK46,IF($AA$2="2019年",'Offer Statistics'!AK103,IF($AA$2="2020年",'Offer Statistics'!AK160)))</f>
        <v>332</v>
      </c>
      <c r="AD46" s="284">
        <f>IF($AA$2="2018年",'Offer Statistics'!AL46,IF($AA$2="2019年",'Offer Statistics'!AL103,IF($AA$2="2020年",'Offer Statistics'!AL160)))</f>
        <v>451</v>
      </c>
      <c r="AE46" s="284">
        <f>IF($AA$2="2018年",'Offer Statistics'!AM46,IF($AA$2="2019年",'Offer Statistics'!AM103,IF($AA$2="2020年",'Offer Statistics'!AM160)))</f>
        <v>587</v>
      </c>
      <c r="AF46" s="284">
        <f>IF($AA$2="2018年",'Offer Statistics'!AN46,IF($AA$2="2019年",'Offer Statistics'!AN103,IF($AA$2="2020年",'Offer Statistics'!AN160)))</f>
        <v>655</v>
      </c>
      <c r="AG46" s="284">
        <f>IF($AA$2="2018年",'Offer Statistics'!AO46,IF($AA$2="2019年",'Offer Statistics'!AO103,IF($AA$2="2020年",'Offer Statistics'!AO160)))</f>
        <v>487</v>
      </c>
      <c r="AH46" s="181"/>
      <c r="AI46" s="338" t="str">
        <f t="shared" si="2"/>
        <v>JS3997</v>
      </c>
    </row>
    <row r="47" spans="1:35" s="183" customFormat="1" ht="18" customHeight="1">
      <c r="A47" s="175"/>
      <c r="B47" s="175"/>
      <c r="C47" s="175"/>
      <c r="D47" s="175" t="s">
        <v>1621</v>
      </c>
      <c r="E47" s="181"/>
      <c r="F47" s="276" t="s">
        <v>776</v>
      </c>
      <c r="G47" s="175"/>
      <c r="H47" s="307"/>
      <c r="I47" s="175"/>
      <c r="J47" s="175"/>
      <c r="K47" s="175"/>
      <c r="L47" s="383"/>
      <c r="M47" s="355"/>
      <c r="N47" s="4" t="s">
        <v>369</v>
      </c>
      <c r="O47" s="4" t="s">
        <v>370</v>
      </c>
      <c r="P47" s="4" t="s">
        <v>1051</v>
      </c>
      <c r="Q47" s="4"/>
      <c r="R47" s="4"/>
      <c r="S47" s="175"/>
      <c r="T47" s="501"/>
      <c r="U47" s="283"/>
      <c r="V47" s="284"/>
      <c r="W47" s="284"/>
      <c r="X47" s="284"/>
      <c r="Y47" s="284"/>
      <c r="Z47" s="284"/>
      <c r="AA47" s="501"/>
      <c r="AB47" s="283"/>
      <c r="AC47" s="284"/>
      <c r="AD47" s="284"/>
      <c r="AE47" s="284"/>
      <c r="AF47" s="284"/>
      <c r="AG47" s="284"/>
      <c r="AH47" s="181"/>
      <c r="AI47" s="181"/>
    </row>
    <row r="48" spans="1:35" s="183" customFormat="1" ht="18" customHeight="1">
      <c r="A48" s="175" t="s">
        <v>439</v>
      </c>
      <c r="B48" s="175" t="s">
        <v>773</v>
      </c>
      <c r="C48" s="175" t="s">
        <v>538</v>
      </c>
      <c r="D48" s="175" t="s">
        <v>2118</v>
      </c>
      <c r="E48" s="437" t="s">
        <v>549</v>
      </c>
      <c r="F48" s="276">
        <v>14.1</v>
      </c>
      <c r="G48" s="175"/>
      <c r="H48" s="193">
        <f>計分版!D153</f>
        <v>2.9500000000000004E-9</v>
      </c>
      <c r="I48" s="188">
        <f>H48-F48</f>
        <v>-14.09999999705</v>
      </c>
      <c r="J48" s="189">
        <f t="shared" ref="J48:J50" si="5">(H48-F48)/H48</f>
        <v>-4779661015.949152</v>
      </c>
      <c r="K48" s="276">
        <v>51</v>
      </c>
      <c r="L48" s="381">
        <f>入學要求!S134</f>
        <v>0</v>
      </c>
      <c r="M48" s="377" t="s">
        <v>2193</v>
      </c>
      <c r="N48" s="181">
        <v>2</v>
      </c>
      <c r="O48" s="181">
        <v>2</v>
      </c>
      <c r="P48" s="181">
        <v>2</v>
      </c>
      <c r="Q48" s="181">
        <v>2</v>
      </c>
      <c r="R48" s="181">
        <v>2</v>
      </c>
      <c r="S48" s="175"/>
      <c r="T48" s="501"/>
      <c r="U48" s="283">
        <f>IF($T$2="2018年",'Offer Statistics'!AX48,IF($T$2="2019年",'Offer Statistics'!AX105,IF($T$2="2020年",'Offer Statistics'!AX162)))</f>
        <v>361</v>
      </c>
      <c r="V48" s="284">
        <f>IF($T$2="2018年",'Offer Statistics'!AS48,IF($T$2="2019年",'Offer Statistics'!AS105,IF($T$2="2020年",'Offer Statistics'!AS162)))</f>
        <v>139</v>
      </c>
      <c r="W48" s="284">
        <f>IF($T$2="2018年",'Offer Statistics'!AT48,IF($T$2="2019年",'Offer Statistics'!AT105,IF($T$2="2020年",'Offer Statistics'!AT162)))</f>
        <v>57</v>
      </c>
      <c r="X48" s="284">
        <f>IF($T$2="2018年",'Offer Statistics'!AU48,IF($T$2="2019年",'Offer Statistics'!AU105,IF($T$2="2020年",'Offer Statistics'!AU162)))</f>
        <v>49</v>
      </c>
      <c r="Y48" s="284">
        <f>IF($T$2="2018年",'Offer Statistics'!AV48,IF($T$2="2019年",'Offer Statistics'!AV105,IF($T$2="2020年",'Offer Statistics'!AV162)))</f>
        <v>51</v>
      </c>
      <c r="Z48" s="284">
        <f>IF($T$2="2018年",'Offer Statistics'!AW48,IF($T$2="2019年",'Offer Statistics'!AW105,IF($T$2="2020年",'Offer Statistics'!AW162)))</f>
        <v>65</v>
      </c>
      <c r="AA48" s="501"/>
      <c r="AB48" s="283">
        <f>IF($AA$2="2018年",'Offer Statistics'!AP48,IF($AA$2="2019年",'Offer Statistics'!AP105,IF($AA$2="2020年",'Offer Statistics'!AP162)))</f>
        <v>1854</v>
      </c>
      <c r="AC48" s="284">
        <f>IF($AA$2="2018年",'Offer Statistics'!AK48,IF($AA$2="2019年",'Offer Statistics'!AK105,IF($AA$2="2020年",'Offer Statistics'!AK162)))</f>
        <v>384</v>
      </c>
      <c r="AD48" s="284">
        <f>IF($AA$2="2018年",'Offer Statistics'!AL48,IF($AA$2="2019年",'Offer Statistics'!AL105,IF($AA$2="2020年",'Offer Statistics'!AL162)))</f>
        <v>390</v>
      </c>
      <c r="AE48" s="284">
        <f>IF($AA$2="2018年",'Offer Statistics'!AM48,IF($AA$2="2019年",'Offer Statistics'!AM105,IF($AA$2="2020年",'Offer Statistics'!AM162)))</f>
        <v>328</v>
      </c>
      <c r="AF48" s="284">
        <f>IF($AA$2="2018年",'Offer Statistics'!AN48,IF($AA$2="2019年",'Offer Statistics'!AN105,IF($AA$2="2020年",'Offer Statistics'!AN162)))</f>
        <v>288</v>
      </c>
      <c r="AG48" s="284">
        <f>IF($AA$2="2018年",'Offer Statistics'!AO48,IF($AA$2="2019年",'Offer Statistics'!AO105,IF($AA$2="2020年",'Offer Statistics'!AO162)))</f>
        <v>464</v>
      </c>
      <c r="AH48" s="181"/>
      <c r="AI48" s="181" t="str">
        <f>A48</f>
        <v>JS3014</v>
      </c>
    </row>
    <row r="49" spans="1:36" s="183" customFormat="1" ht="18" customHeight="1">
      <c r="A49" s="175" t="s">
        <v>440</v>
      </c>
      <c r="B49" s="175" t="s">
        <v>770</v>
      </c>
      <c r="C49" s="175" t="s">
        <v>539</v>
      </c>
      <c r="D49" s="175" t="s">
        <v>2119</v>
      </c>
      <c r="E49" s="437" t="s">
        <v>549</v>
      </c>
      <c r="F49" s="276">
        <v>14.4</v>
      </c>
      <c r="G49" s="175"/>
      <c r="H49" s="193">
        <f>計分版!D154</f>
        <v>2.9500000000000004E-9</v>
      </c>
      <c r="I49" s="188">
        <f t="shared" ref="I49:I50" si="6">H49-F49</f>
        <v>-14.399999997050001</v>
      </c>
      <c r="J49" s="189">
        <f>(H49-F49)/H49</f>
        <v>-4881355931.2033892</v>
      </c>
      <c r="K49" s="276">
        <v>75</v>
      </c>
      <c r="L49" s="381">
        <f>入學要求!S135</f>
        <v>0</v>
      </c>
      <c r="M49" s="355" t="s">
        <v>360</v>
      </c>
      <c r="N49" s="181">
        <v>2</v>
      </c>
      <c r="O49" s="181">
        <v>2</v>
      </c>
      <c r="P49" s="181">
        <v>2</v>
      </c>
      <c r="Q49" s="181">
        <v>2</v>
      </c>
      <c r="R49" s="181">
        <v>2</v>
      </c>
      <c r="S49" s="175"/>
      <c r="T49" s="501"/>
      <c r="U49" s="283">
        <f>IF($T$2="2018年",'Offer Statistics'!AX49,IF($T$2="2019年",'Offer Statistics'!AX106,IF($T$2="2020年",'Offer Statistics'!AX163)))</f>
        <v>285</v>
      </c>
      <c r="V49" s="284">
        <f>IF($T$2="2018年",'Offer Statistics'!AS49,IF($T$2="2019年",'Offer Statistics'!AS106,IF($T$2="2020年",'Offer Statistics'!AS163)))</f>
        <v>153</v>
      </c>
      <c r="W49" s="284">
        <f>IF($T$2="2018年",'Offer Statistics'!AT49,IF($T$2="2019年",'Offer Statistics'!AT106,IF($T$2="2020年",'Offer Statistics'!AT163)))</f>
        <v>39</v>
      </c>
      <c r="X49" s="284">
        <f>IF($T$2="2018年",'Offer Statistics'!AU49,IF($T$2="2019年",'Offer Statistics'!AU106,IF($T$2="2020年",'Offer Statistics'!AU163)))</f>
        <v>21</v>
      </c>
      <c r="Y49" s="284">
        <f>IF($T$2="2018年",'Offer Statistics'!AV49,IF($T$2="2019年",'Offer Statistics'!AV106,IF($T$2="2020年",'Offer Statistics'!AV163)))</f>
        <v>26</v>
      </c>
      <c r="Z49" s="284">
        <f>IF($T$2="2018年",'Offer Statistics'!AW49,IF($T$2="2019年",'Offer Statistics'!AW106,IF($T$2="2020年",'Offer Statistics'!AW163)))</f>
        <v>46</v>
      </c>
      <c r="AA49" s="501"/>
      <c r="AB49" s="283">
        <f>IF($AA$2="2018年",'Offer Statistics'!AP49,IF($AA$2="2019年",'Offer Statistics'!AP106,IF($AA$2="2020年",'Offer Statistics'!AP163)))</f>
        <v>2449</v>
      </c>
      <c r="AC49" s="284">
        <f>IF($AA$2="2018年",'Offer Statistics'!AK49,IF($AA$2="2019年",'Offer Statistics'!AK106,IF($AA$2="2020年",'Offer Statistics'!AK163)))</f>
        <v>537</v>
      </c>
      <c r="AD49" s="284">
        <f>IF($AA$2="2018年",'Offer Statistics'!AL49,IF($AA$2="2019年",'Offer Statistics'!AL106,IF($AA$2="2020年",'Offer Statistics'!AL163)))</f>
        <v>622</v>
      </c>
      <c r="AE49" s="284">
        <f>IF($AA$2="2018年",'Offer Statistics'!AM49,IF($AA$2="2019年",'Offer Statistics'!AM106,IF($AA$2="2020年",'Offer Statistics'!AM163)))</f>
        <v>422</v>
      </c>
      <c r="AF49" s="284">
        <f>IF($AA$2="2018年",'Offer Statistics'!AN49,IF($AA$2="2019年",'Offer Statistics'!AN106,IF($AA$2="2020年",'Offer Statistics'!AN163)))</f>
        <v>371</v>
      </c>
      <c r="AG49" s="284">
        <f>IF($AA$2="2018年",'Offer Statistics'!AO49,IF($AA$2="2019年",'Offer Statistics'!AO106,IF($AA$2="2020年",'Offer Statistics'!AO163)))</f>
        <v>497</v>
      </c>
      <c r="AH49" s="181"/>
      <c r="AI49" s="338" t="str">
        <f t="shared" ref="AI49:AI57" si="7">A49</f>
        <v>JS3026</v>
      </c>
    </row>
    <row r="50" spans="1:36" s="183" customFormat="1" ht="18" customHeight="1">
      <c r="A50" s="175" t="s">
        <v>441</v>
      </c>
      <c r="B50" s="175" t="s">
        <v>770</v>
      </c>
      <c r="C50" s="175" t="s">
        <v>540</v>
      </c>
      <c r="D50" s="175" t="s">
        <v>2120</v>
      </c>
      <c r="E50" s="181" t="s">
        <v>549</v>
      </c>
      <c r="F50" s="276">
        <v>14.2</v>
      </c>
      <c r="G50" s="175"/>
      <c r="H50" s="193">
        <f>計分版!D155</f>
        <v>2.9500000000000004E-9</v>
      </c>
      <c r="I50" s="188">
        <f t="shared" si="6"/>
        <v>-14.19999999705</v>
      </c>
      <c r="J50" s="189">
        <f t="shared" si="5"/>
        <v>-4813559321.0338974</v>
      </c>
      <c r="K50" s="276">
        <v>40</v>
      </c>
      <c r="L50" s="381">
        <f>入學要求!S136</f>
        <v>0</v>
      </c>
      <c r="M50" s="355" t="s">
        <v>360</v>
      </c>
      <c r="N50" s="181">
        <v>2</v>
      </c>
      <c r="O50" s="181">
        <v>2</v>
      </c>
      <c r="P50" s="181">
        <v>2</v>
      </c>
      <c r="Q50" s="181">
        <v>2</v>
      </c>
      <c r="R50" s="181">
        <v>2</v>
      </c>
      <c r="S50" s="175"/>
      <c r="T50" s="501"/>
      <c r="U50" s="283">
        <f>IF($T$2="2018年",'Offer Statistics'!AX50,IF($T$2="2019年",'Offer Statistics'!AX107,IF($T$2="2020年",'Offer Statistics'!AX164)))</f>
        <v>307</v>
      </c>
      <c r="V50" s="284">
        <f>IF($T$2="2018年",'Offer Statistics'!AS50,IF($T$2="2019年",'Offer Statistics'!AS107,IF($T$2="2020年",'Offer Statistics'!AS164)))</f>
        <v>135</v>
      </c>
      <c r="W50" s="284">
        <f>IF($T$2="2018年",'Offer Statistics'!AT50,IF($T$2="2019年",'Offer Statistics'!AT107,IF($T$2="2020年",'Offer Statistics'!AT164)))</f>
        <v>40</v>
      </c>
      <c r="X50" s="284">
        <f>IF($T$2="2018年",'Offer Statistics'!AU50,IF($T$2="2019年",'Offer Statistics'!AU107,IF($T$2="2020年",'Offer Statistics'!AU164)))</f>
        <v>40</v>
      </c>
      <c r="Y50" s="284">
        <f>IF($T$2="2018年",'Offer Statistics'!AV50,IF($T$2="2019年",'Offer Statistics'!AV107,IF($T$2="2020年",'Offer Statistics'!AV164)))</f>
        <v>51</v>
      </c>
      <c r="Z50" s="284">
        <f>IF($T$2="2018年",'Offer Statistics'!AW50,IF($T$2="2019年",'Offer Statistics'!AW107,IF($T$2="2020年",'Offer Statistics'!AW164)))</f>
        <v>41</v>
      </c>
      <c r="AA50" s="501"/>
      <c r="AB50" s="283">
        <f>IF($AA$2="2018年",'Offer Statistics'!AP50,IF($AA$2="2019年",'Offer Statistics'!AP107,IF($AA$2="2020年",'Offer Statistics'!AP164)))</f>
        <v>2708</v>
      </c>
      <c r="AC50" s="284">
        <f>IF($AA$2="2018年",'Offer Statistics'!AK50,IF($AA$2="2019年",'Offer Statistics'!AK107,IF($AA$2="2020年",'Offer Statistics'!AK164)))</f>
        <v>520</v>
      </c>
      <c r="AD50" s="284">
        <f>IF($AA$2="2018年",'Offer Statistics'!AL50,IF($AA$2="2019年",'Offer Statistics'!AL107,IF($AA$2="2020年",'Offer Statistics'!AL164)))</f>
        <v>729</v>
      </c>
      <c r="AE50" s="284">
        <f>IF($AA$2="2018年",'Offer Statistics'!AM50,IF($AA$2="2019年",'Offer Statistics'!AM107,IF($AA$2="2020年",'Offer Statistics'!AM164)))</f>
        <v>432</v>
      </c>
      <c r="AF50" s="284">
        <f>IF($AA$2="2018年",'Offer Statistics'!AN50,IF($AA$2="2019年",'Offer Statistics'!AN107,IF($AA$2="2020年",'Offer Statistics'!AN164)))</f>
        <v>493</v>
      </c>
      <c r="AG50" s="284">
        <f>IF($AA$2="2018年",'Offer Statistics'!AO50,IF($AA$2="2019年",'Offer Statistics'!AO107,IF($AA$2="2020年",'Offer Statistics'!AO164)))</f>
        <v>534</v>
      </c>
      <c r="AH50" s="181"/>
      <c r="AI50" s="338" t="str">
        <f t="shared" si="7"/>
        <v>JS3038</v>
      </c>
    </row>
    <row r="51" spans="1:36" s="183" customFormat="1" ht="18" customHeight="1">
      <c r="A51" s="175" t="s">
        <v>442</v>
      </c>
      <c r="B51" s="175" t="s">
        <v>772</v>
      </c>
      <c r="C51" s="175" t="s">
        <v>541</v>
      </c>
      <c r="D51" s="175" t="s">
        <v>2121</v>
      </c>
      <c r="E51" s="437" t="s">
        <v>549</v>
      </c>
      <c r="F51" s="276">
        <v>16.5</v>
      </c>
      <c r="G51" s="175"/>
      <c r="H51" s="193">
        <f>計分版!D156</f>
        <v>2.9500000000000004E-9</v>
      </c>
      <c r="I51" s="188">
        <f>H51-F57</f>
        <v>-15.499999997050001</v>
      </c>
      <c r="J51" s="189">
        <f>(H51-F57)/H51</f>
        <v>-5254237287.1355925</v>
      </c>
      <c r="K51" s="276">
        <v>48</v>
      </c>
      <c r="L51" s="381">
        <f>入學要求!S137</f>
        <v>0</v>
      </c>
      <c r="M51" s="377" t="s">
        <v>2193</v>
      </c>
      <c r="N51" s="181">
        <v>2</v>
      </c>
      <c r="O51" s="181">
        <v>2</v>
      </c>
      <c r="P51" s="181">
        <v>2</v>
      </c>
      <c r="Q51" s="181">
        <v>2</v>
      </c>
      <c r="R51" s="181">
        <v>2</v>
      </c>
      <c r="S51" s="175"/>
      <c r="T51" s="501"/>
      <c r="U51" s="283">
        <f>IF($T$2="2018年",'Offer Statistics'!AX51,IF($T$2="2019年",'Offer Statistics'!AX108,IF($T$2="2020年",'Offer Statistics'!AX165)))</f>
        <v>332</v>
      </c>
      <c r="V51" s="284">
        <f>IF($T$2="2018年",'Offer Statistics'!AS51,IF($T$2="2019年",'Offer Statistics'!AS108,IF($T$2="2020年",'Offer Statistics'!AS165)))</f>
        <v>190</v>
      </c>
      <c r="W51" s="284">
        <f>IF($T$2="2018年",'Offer Statistics'!AT51,IF($T$2="2019年",'Offer Statistics'!AT108,IF($T$2="2020年",'Offer Statistics'!AT165)))</f>
        <v>35</v>
      </c>
      <c r="X51" s="284">
        <f>IF($T$2="2018年",'Offer Statistics'!AU51,IF($T$2="2019年",'Offer Statistics'!AU108,IF($T$2="2020年",'Offer Statistics'!AU165)))</f>
        <v>33</v>
      </c>
      <c r="Y51" s="284">
        <f>IF($T$2="2018年",'Offer Statistics'!AV51,IF($T$2="2019年",'Offer Statistics'!AV108,IF($T$2="2020年",'Offer Statistics'!AV165)))</f>
        <v>22</v>
      </c>
      <c r="Z51" s="284">
        <f>IF($T$2="2018年",'Offer Statistics'!AW51,IF($T$2="2019年",'Offer Statistics'!AW108,IF($T$2="2020年",'Offer Statistics'!AW165)))</f>
        <v>52</v>
      </c>
      <c r="AA51" s="501"/>
      <c r="AB51" s="283">
        <f>IF($AA$2="2018年",'Offer Statistics'!AP51,IF($AA$2="2019年",'Offer Statistics'!AP108,IF($AA$2="2020年",'Offer Statistics'!AP165)))</f>
        <v>2069</v>
      </c>
      <c r="AC51" s="284">
        <f>IF($AA$2="2018年",'Offer Statistics'!AK51,IF($AA$2="2019年",'Offer Statistics'!AK108,IF($AA$2="2020年",'Offer Statistics'!AK165)))</f>
        <v>484</v>
      </c>
      <c r="AD51" s="284">
        <f>IF($AA$2="2018年",'Offer Statistics'!AL51,IF($AA$2="2019年",'Offer Statistics'!AL108,IF($AA$2="2020年",'Offer Statistics'!AL165)))</f>
        <v>361</v>
      </c>
      <c r="AE51" s="284">
        <f>IF($AA$2="2018年",'Offer Statistics'!AM51,IF($AA$2="2019年",'Offer Statistics'!AM108,IF($AA$2="2020年",'Offer Statistics'!AM165)))</f>
        <v>368</v>
      </c>
      <c r="AF51" s="284">
        <f>IF($AA$2="2018年",'Offer Statistics'!AN51,IF($AA$2="2019年",'Offer Statistics'!AN108,IF($AA$2="2020年",'Offer Statistics'!AN165)))</f>
        <v>370</v>
      </c>
      <c r="AG51" s="284">
        <f>IF($AA$2="2018年",'Offer Statistics'!AO51,IF($AA$2="2019年",'Offer Statistics'!AO108,IF($AA$2="2020年",'Offer Statistics'!AO165)))</f>
        <v>486</v>
      </c>
      <c r="AH51" s="181"/>
      <c r="AI51" s="338" t="str">
        <f t="shared" si="7"/>
        <v>JS3040</v>
      </c>
    </row>
    <row r="52" spans="1:36" s="183" customFormat="1" ht="18" customHeight="1">
      <c r="A52" s="175" t="s">
        <v>443</v>
      </c>
      <c r="B52" s="175" t="s">
        <v>770</v>
      </c>
      <c r="C52" s="175" t="s">
        <v>542</v>
      </c>
      <c r="D52" s="175" t="s">
        <v>2122</v>
      </c>
      <c r="E52" s="437" t="s">
        <v>549</v>
      </c>
      <c r="F52" s="276">
        <v>18.3</v>
      </c>
      <c r="G52" s="175"/>
      <c r="H52" s="193">
        <f>計分版!D157</f>
        <v>2.9500000000000004E-9</v>
      </c>
      <c r="I52" s="188">
        <f>H52-F51</f>
        <v>-16.499999997050001</v>
      </c>
      <c r="J52" s="189">
        <f>(H52-F51)/H52</f>
        <v>-5593220337.9830503</v>
      </c>
      <c r="K52" s="276">
        <v>73</v>
      </c>
      <c r="L52" s="381">
        <f>入學要求!S138</f>
        <v>0</v>
      </c>
      <c r="M52" s="377" t="s">
        <v>2193</v>
      </c>
      <c r="N52" s="181">
        <v>2</v>
      </c>
      <c r="O52" s="181">
        <v>2</v>
      </c>
      <c r="P52" s="181">
        <v>2</v>
      </c>
      <c r="Q52" s="181">
        <v>2</v>
      </c>
      <c r="R52" s="181">
        <v>2</v>
      </c>
      <c r="S52" s="175"/>
      <c r="T52" s="501"/>
      <c r="U52" s="283">
        <f>IF($T$2="2018年",'Offer Statistics'!AX52,IF($T$2="2019年",'Offer Statistics'!AX109,IF($T$2="2020年",'Offer Statistics'!AX166)))</f>
        <v>204</v>
      </c>
      <c r="V52" s="284">
        <f>IF($T$2="2018年",'Offer Statistics'!AS52,IF($T$2="2019年",'Offer Statistics'!AS109,IF($T$2="2020年",'Offer Statistics'!AS166)))</f>
        <v>144</v>
      </c>
      <c r="W52" s="284">
        <f>IF($T$2="2018年",'Offer Statistics'!AT52,IF($T$2="2019年",'Offer Statistics'!AT109,IF($T$2="2020年",'Offer Statistics'!AT166)))</f>
        <v>15</v>
      </c>
      <c r="X52" s="284">
        <f>IF($T$2="2018年",'Offer Statistics'!AU52,IF($T$2="2019年",'Offer Statistics'!AU109,IF($T$2="2020年",'Offer Statistics'!AU166)))</f>
        <v>12</v>
      </c>
      <c r="Y52" s="284">
        <f>IF($T$2="2018年",'Offer Statistics'!AV52,IF($T$2="2019年",'Offer Statistics'!AV109,IF($T$2="2020年",'Offer Statistics'!AV166)))</f>
        <v>10</v>
      </c>
      <c r="Z52" s="284">
        <f>IF($T$2="2018年",'Offer Statistics'!AW52,IF($T$2="2019年",'Offer Statistics'!AW109,IF($T$2="2020年",'Offer Statistics'!AW166)))</f>
        <v>23</v>
      </c>
      <c r="AA52" s="501"/>
      <c r="AB52" s="283">
        <f>IF($AA$2="2018年",'Offer Statistics'!AP52,IF($AA$2="2019年",'Offer Statistics'!AP109,IF($AA$2="2020年",'Offer Statistics'!AP166)))</f>
        <v>3339</v>
      </c>
      <c r="AC52" s="284">
        <f>IF($AA$2="2018年",'Offer Statistics'!AK52,IF($AA$2="2019年",'Offer Statistics'!AK109,IF($AA$2="2020年",'Offer Statistics'!AK166)))</f>
        <v>774</v>
      </c>
      <c r="AD52" s="284">
        <f>IF($AA$2="2018年",'Offer Statistics'!AL52,IF($AA$2="2019年",'Offer Statistics'!AL109,IF($AA$2="2020年",'Offer Statistics'!AL166)))</f>
        <v>679</v>
      </c>
      <c r="AE52" s="284">
        <f>IF($AA$2="2018年",'Offer Statistics'!AM52,IF($AA$2="2019年",'Offer Statistics'!AM109,IF($AA$2="2020年",'Offer Statistics'!AM166)))</f>
        <v>549</v>
      </c>
      <c r="AF52" s="284">
        <f>IF($AA$2="2018年",'Offer Statistics'!AN52,IF($AA$2="2019年",'Offer Statistics'!AN109,IF($AA$2="2020年",'Offer Statistics'!AN166)))</f>
        <v>565</v>
      </c>
      <c r="AG52" s="284">
        <f>IF($AA$2="2018年",'Offer Statistics'!AO52,IF($AA$2="2019年",'Offer Statistics'!AO109,IF($AA$2="2020年",'Offer Statistics'!AO166)))</f>
        <v>772</v>
      </c>
      <c r="AH52" s="181"/>
      <c r="AI52" s="338" t="str">
        <f t="shared" si="7"/>
        <v>JS3052</v>
      </c>
    </row>
    <row r="53" spans="1:36" s="183" customFormat="1" ht="18" customHeight="1">
      <c r="A53" s="175" t="s">
        <v>444</v>
      </c>
      <c r="B53" s="175" t="s">
        <v>293</v>
      </c>
      <c r="C53" s="175" t="s">
        <v>543</v>
      </c>
      <c r="D53" s="175" t="s">
        <v>2123</v>
      </c>
      <c r="E53" s="437" t="s">
        <v>549</v>
      </c>
      <c r="F53" s="276">
        <v>16.899999999999999</v>
      </c>
      <c r="G53" s="175"/>
      <c r="H53" s="193">
        <f>計分版!D158</f>
        <v>2.9500000000000004E-9</v>
      </c>
      <c r="I53" s="188">
        <f>H53-F52</f>
        <v>-18.299999997050001</v>
      </c>
      <c r="J53" s="189">
        <f>(H53-F52)/H53</f>
        <v>-6203389829.5084743</v>
      </c>
      <c r="K53" s="276">
        <v>53</v>
      </c>
      <c r="L53" s="381">
        <f>入學要求!S139</f>
        <v>0</v>
      </c>
      <c r="M53" s="355" t="s">
        <v>360</v>
      </c>
      <c r="N53" s="181">
        <v>2</v>
      </c>
      <c r="O53" s="181">
        <v>2</v>
      </c>
      <c r="P53" s="181">
        <v>2</v>
      </c>
      <c r="Q53" s="181">
        <v>2</v>
      </c>
      <c r="R53" s="181">
        <v>2</v>
      </c>
      <c r="S53" s="175"/>
      <c r="T53" s="501"/>
      <c r="U53" s="283">
        <f>IF($T$2="2018年",'Offer Statistics'!AX53,IF($T$2="2019年",'Offer Statistics'!AX110,IF($T$2="2020年",'Offer Statistics'!AX167)))</f>
        <v>222</v>
      </c>
      <c r="V53" s="284">
        <f>IF($T$2="2018年",'Offer Statistics'!AS53,IF($T$2="2019年",'Offer Statistics'!AS110,IF($T$2="2020年",'Offer Statistics'!AS167)))</f>
        <v>133</v>
      </c>
      <c r="W53" s="284">
        <f>IF($T$2="2018年",'Offer Statistics'!AT53,IF($T$2="2019年",'Offer Statistics'!AT110,IF($T$2="2020年",'Offer Statistics'!AT167)))</f>
        <v>23</v>
      </c>
      <c r="X53" s="284">
        <f>IF($T$2="2018年",'Offer Statistics'!AU53,IF($T$2="2019年",'Offer Statistics'!AU110,IF($T$2="2020年",'Offer Statistics'!AU167)))</f>
        <v>19</v>
      </c>
      <c r="Y53" s="284">
        <f>IF($T$2="2018年",'Offer Statistics'!AV53,IF($T$2="2019年",'Offer Statistics'!AV110,IF($T$2="2020年",'Offer Statistics'!AV167)))</f>
        <v>20</v>
      </c>
      <c r="Z53" s="284">
        <f>IF($T$2="2018年",'Offer Statistics'!AW53,IF($T$2="2019年",'Offer Statistics'!AW110,IF($T$2="2020年",'Offer Statistics'!AW167)))</f>
        <v>27</v>
      </c>
      <c r="AA53" s="501"/>
      <c r="AB53" s="283">
        <f>IF($AA$2="2018年",'Offer Statistics'!AP53,IF($AA$2="2019年",'Offer Statistics'!AP110,IF($AA$2="2020年",'Offer Statistics'!AP167)))</f>
        <v>2929</v>
      </c>
      <c r="AC53" s="284">
        <f>IF($AA$2="2018年",'Offer Statistics'!AK53,IF($AA$2="2019年",'Offer Statistics'!AK110,IF($AA$2="2020年",'Offer Statistics'!AK167)))</f>
        <v>678</v>
      </c>
      <c r="AD53" s="284">
        <f>IF($AA$2="2018年",'Offer Statistics'!AL53,IF($AA$2="2019年",'Offer Statistics'!AL110,IF($AA$2="2020年",'Offer Statistics'!AL167)))</f>
        <v>545</v>
      </c>
      <c r="AE53" s="284">
        <f>IF($AA$2="2018年",'Offer Statistics'!AM53,IF($AA$2="2019年",'Offer Statistics'!AM110,IF($AA$2="2020年",'Offer Statistics'!AM167)))</f>
        <v>530</v>
      </c>
      <c r="AF53" s="284">
        <f>IF($AA$2="2018年",'Offer Statistics'!AN53,IF($AA$2="2019年",'Offer Statistics'!AN110,IF($AA$2="2020年",'Offer Statistics'!AN167)))</f>
        <v>489</v>
      </c>
      <c r="AG53" s="284">
        <f>IF($AA$2="2018年",'Offer Statistics'!AO53,IF($AA$2="2019年",'Offer Statistics'!AO110,IF($AA$2="2020年",'Offer Statistics'!AO167)))</f>
        <v>687</v>
      </c>
      <c r="AH53" s="181"/>
      <c r="AI53" s="338" t="str">
        <f t="shared" si="7"/>
        <v>JS3064</v>
      </c>
    </row>
    <row r="54" spans="1:36" s="183" customFormat="1" ht="18" customHeight="1">
      <c r="A54" s="175" t="s">
        <v>445</v>
      </c>
      <c r="B54" s="175" t="s">
        <v>293</v>
      </c>
      <c r="C54" s="175" t="s">
        <v>544</v>
      </c>
      <c r="D54" s="175" t="s">
        <v>2124</v>
      </c>
      <c r="E54" s="437" t="s">
        <v>1052</v>
      </c>
      <c r="F54" s="276">
        <v>16.399999999999999</v>
      </c>
      <c r="G54" s="175"/>
      <c r="H54" s="193">
        <f>計分版!D159</f>
        <v>2.9500000000000004E-9</v>
      </c>
      <c r="I54" s="188">
        <f>H54-F53</f>
        <v>-16.899999997049999</v>
      </c>
      <c r="J54" s="189">
        <f>(H54-F53)/H54</f>
        <v>-5728813558.3220329</v>
      </c>
      <c r="K54" s="276">
        <v>88</v>
      </c>
      <c r="L54" s="381">
        <f>入學要求!S140</f>
        <v>0</v>
      </c>
      <c r="M54" s="377" t="s">
        <v>2193</v>
      </c>
      <c r="N54" s="181">
        <v>2</v>
      </c>
      <c r="O54" s="181">
        <v>2</v>
      </c>
      <c r="P54" s="181">
        <v>2</v>
      </c>
      <c r="Q54" s="181">
        <v>2</v>
      </c>
      <c r="R54" s="181">
        <v>2</v>
      </c>
      <c r="S54" s="175"/>
      <c r="T54" s="501"/>
      <c r="U54" s="283">
        <f>IF($T$2="2018年",'Offer Statistics'!AX54,IF($T$2="2019年",'Offer Statistics'!AX111,IF($T$2="2020年",'Offer Statistics'!AX168)))</f>
        <v>423</v>
      </c>
      <c r="V54" s="284">
        <f>IF($T$2="2018年",'Offer Statistics'!AS54,IF($T$2="2019年",'Offer Statistics'!AS111,IF($T$2="2020年",'Offer Statistics'!AS168)))</f>
        <v>227</v>
      </c>
      <c r="W54" s="284">
        <f>IF($T$2="2018年",'Offer Statistics'!AT54,IF($T$2="2019年",'Offer Statistics'!AT111,IF($T$2="2020年",'Offer Statistics'!AT168)))</f>
        <v>57</v>
      </c>
      <c r="X54" s="284">
        <f>IF($T$2="2018年",'Offer Statistics'!AU54,IF($T$2="2019年",'Offer Statistics'!AU111,IF($T$2="2020年",'Offer Statistics'!AU168)))</f>
        <v>51</v>
      </c>
      <c r="Y54" s="284">
        <f>IF($T$2="2018年",'Offer Statistics'!AV54,IF($T$2="2019年",'Offer Statistics'!AV111,IF($T$2="2020年",'Offer Statistics'!AV168)))</f>
        <v>35</v>
      </c>
      <c r="Z54" s="284">
        <f>IF($T$2="2018年",'Offer Statistics'!AW54,IF($T$2="2019年",'Offer Statistics'!AW111,IF($T$2="2020年",'Offer Statistics'!AW168)))</f>
        <v>53</v>
      </c>
      <c r="AA54" s="501"/>
      <c r="AB54" s="283">
        <f>IF($AA$2="2018年",'Offer Statistics'!AP54,IF($AA$2="2019年",'Offer Statistics'!AP111,IF($AA$2="2020年",'Offer Statistics'!AP168)))</f>
        <v>3138</v>
      </c>
      <c r="AC54" s="284">
        <f>IF($AA$2="2018年",'Offer Statistics'!AK54,IF($AA$2="2019年",'Offer Statistics'!AK111,IF($AA$2="2020年",'Offer Statistics'!AK168)))</f>
        <v>777</v>
      </c>
      <c r="AD54" s="284">
        <f>IF($AA$2="2018年",'Offer Statistics'!AL54,IF($AA$2="2019年",'Offer Statistics'!AL111,IF($AA$2="2020年",'Offer Statistics'!AL168)))</f>
        <v>602</v>
      </c>
      <c r="AE54" s="284">
        <f>IF($AA$2="2018年",'Offer Statistics'!AM54,IF($AA$2="2019年",'Offer Statistics'!AM111,IF($AA$2="2020年",'Offer Statistics'!AM168)))</f>
        <v>545</v>
      </c>
      <c r="AF54" s="284">
        <f>IF($AA$2="2018年",'Offer Statistics'!AN54,IF($AA$2="2019年",'Offer Statistics'!AN111,IF($AA$2="2020年",'Offer Statistics'!AN168)))</f>
        <v>517</v>
      </c>
      <c r="AG54" s="284">
        <f>IF($AA$2="2018年",'Offer Statistics'!AO54,IF($AA$2="2019年",'Offer Statistics'!AO111,IF($AA$2="2020年",'Offer Statistics'!AO168)))</f>
        <v>697</v>
      </c>
      <c r="AH54" s="181"/>
      <c r="AI54" s="338" t="str">
        <f t="shared" si="7"/>
        <v>JS3076</v>
      </c>
    </row>
    <row r="55" spans="1:36" s="183" customFormat="1" ht="18" customHeight="1">
      <c r="A55" s="175" t="s">
        <v>446</v>
      </c>
      <c r="B55" s="175" t="s">
        <v>770</v>
      </c>
      <c r="C55" s="175" t="s">
        <v>545</v>
      </c>
      <c r="D55" s="175" t="s">
        <v>2125</v>
      </c>
      <c r="E55" s="181" t="s">
        <v>549</v>
      </c>
      <c r="F55" s="276">
        <v>16.399999999999999</v>
      </c>
      <c r="G55" s="175"/>
      <c r="H55" s="193">
        <f>計分版!D160</f>
        <v>2.9500000000000004E-9</v>
      </c>
      <c r="I55" s="188">
        <f>H55-F54</f>
        <v>-16.399999997049999</v>
      </c>
      <c r="J55" s="189">
        <f>(H55-F54)/H55</f>
        <v>-5559322032.898304</v>
      </c>
      <c r="K55" s="276">
        <v>71</v>
      </c>
      <c r="L55" s="381">
        <f>入學要求!S141</f>
        <v>0</v>
      </c>
      <c r="M55" s="355" t="s">
        <v>360</v>
      </c>
      <c r="N55" s="181">
        <v>2</v>
      </c>
      <c r="O55" s="181">
        <v>2</v>
      </c>
      <c r="P55" s="181">
        <v>2</v>
      </c>
      <c r="Q55" s="181">
        <v>2</v>
      </c>
      <c r="R55" s="181">
        <v>2</v>
      </c>
      <c r="S55" s="175"/>
      <c r="T55" s="501"/>
      <c r="U55" s="283">
        <f>IF($T$2="2018年",'Offer Statistics'!AX55,IF($T$2="2019年",'Offer Statistics'!AX112,IF($T$2="2020年",'Offer Statistics'!AX169)))</f>
        <v>354</v>
      </c>
      <c r="V55" s="284">
        <f>IF($T$2="2018年",'Offer Statistics'!AS55,IF($T$2="2019年",'Offer Statistics'!AS112,IF($T$2="2020年",'Offer Statistics'!AS169)))</f>
        <v>205</v>
      </c>
      <c r="W55" s="284">
        <f>IF($T$2="2018年",'Offer Statistics'!AT55,IF($T$2="2019年",'Offer Statistics'!AT112,IF($T$2="2020年",'Offer Statistics'!AT169)))</f>
        <v>47</v>
      </c>
      <c r="X55" s="284">
        <f>IF($T$2="2018年",'Offer Statistics'!AU55,IF($T$2="2019年",'Offer Statistics'!AU112,IF($T$2="2020年",'Offer Statistics'!AU169)))</f>
        <v>30</v>
      </c>
      <c r="Y55" s="284">
        <f>IF($T$2="2018年",'Offer Statistics'!AV55,IF($T$2="2019年",'Offer Statistics'!AV112,IF($T$2="2020年",'Offer Statistics'!AV169)))</f>
        <v>24</v>
      </c>
      <c r="Z55" s="284">
        <f>IF($T$2="2018年",'Offer Statistics'!AW55,IF($T$2="2019年",'Offer Statistics'!AW112,IF($T$2="2020年",'Offer Statistics'!AW169)))</f>
        <v>48</v>
      </c>
      <c r="AA55" s="501"/>
      <c r="AB55" s="283">
        <f>IF($AA$2="2018年",'Offer Statistics'!AP55,IF($AA$2="2019年",'Offer Statistics'!AP112,IF($AA$2="2020年",'Offer Statistics'!AP169)))</f>
        <v>2691</v>
      </c>
      <c r="AC55" s="284">
        <f>IF($AA$2="2018年",'Offer Statistics'!AK55,IF($AA$2="2019年",'Offer Statistics'!AK112,IF($AA$2="2020年",'Offer Statistics'!AK169)))</f>
        <v>592</v>
      </c>
      <c r="AD55" s="284">
        <f>IF($AA$2="2018年",'Offer Statistics'!AL55,IF($AA$2="2019年",'Offer Statistics'!AL112,IF($AA$2="2020年",'Offer Statistics'!AL169)))</f>
        <v>557</v>
      </c>
      <c r="AE55" s="284">
        <f>IF($AA$2="2018年",'Offer Statistics'!AM55,IF($AA$2="2019年",'Offer Statistics'!AM112,IF($AA$2="2020年",'Offer Statistics'!AM169)))</f>
        <v>445</v>
      </c>
      <c r="AF55" s="284">
        <f>IF($AA$2="2018年",'Offer Statistics'!AN55,IF($AA$2="2019年",'Offer Statistics'!AN112,IF($AA$2="2020年",'Offer Statistics'!AN169)))</f>
        <v>470</v>
      </c>
      <c r="AG55" s="284">
        <f>IF($AA$2="2018年",'Offer Statistics'!AO55,IF($AA$2="2019年",'Offer Statistics'!AO112,IF($AA$2="2020年",'Offer Statistics'!AO169)))</f>
        <v>627</v>
      </c>
      <c r="AH55" s="181"/>
      <c r="AI55" s="338" t="str">
        <f t="shared" si="7"/>
        <v>JS3105</v>
      </c>
    </row>
    <row r="56" spans="1:36" s="183" customFormat="1" ht="18" customHeight="1">
      <c r="A56" s="175" t="s">
        <v>447</v>
      </c>
      <c r="B56" s="175" t="s">
        <v>293</v>
      </c>
      <c r="C56" s="175" t="s">
        <v>546</v>
      </c>
      <c r="D56" s="175" t="s">
        <v>1631</v>
      </c>
      <c r="E56" s="437" t="s">
        <v>1052</v>
      </c>
      <c r="F56" s="276">
        <v>12.6</v>
      </c>
      <c r="G56" s="175"/>
      <c r="H56" s="193">
        <f>計分版!D161</f>
        <v>2.9500000000000004E-9</v>
      </c>
      <c r="I56" s="188">
        <f>H56-F56</f>
        <v>-12.59999999705</v>
      </c>
      <c r="J56" s="189">
        <f>(H56-F56)/H56</f>
        <v>-4271186439.6779656</v>
      </c>
      <c r="K56" s="276">
        <v>43</v>
      </c>
      <c r="L56" s="381">
        <f>入學要求!S142</f>
        <v>0</v>
      </c>
      <c r="M56" s="355" t="s">
        <v>360</v>
      </c>
      <c r="N56" s="181">
        <v>2</v>
      </c>
      <c r="O56" s="181">
        <v>2</v>
      </c>
      <c r="P56" s="181">
        <v>2</v>
      </c>
      <c r="Q56" s="181">
        <v>2</v>
      </c>
      <c r="R56" s="181">
        <v>2</v>
      </c>
      <c r="S56" s="175"/>
      <c r="T56" s="501"/>
      <c r="U56" s="283">
        <f>IF($T$2="2018年",'Offer Statistics'!AX56,IF($T$2="2019年",'Offer Statistics'!AX113,IF($T$2="2020年",'Offer Statistics'!AX170)))</f>
        <v>315</v>
      </c>
      <c r="V56" s="284">
        <f>IF($T$2="2018年",'Offer Statistics'!AS56,IF($T$2="2019年",'Offer Statistics'!AS113,IF($T$2="2020年",'Offer Statistics'!AS170)))</f>
        <v>124</v>
      </c>
      <c r="W56" s="284">
        <f>IF($T$2="2018年",'Offer Statistics'!AT56,IF($T$2="2019年",'Offer Statistics'!AT113,IF($T$2="2020年",'Offer Statistics'!AT170)))</f>
        <v>54</v>
      </c>
      <c r="X56" s="284">
        <f>IF($T$2="2018年",'Offer Statistics'!AU56,IF($T$2="2019年",'Offer Statistics'!AU113,IF($T$2="2020年",'Offer Statistics'!AU170)))</f>
        <v>41</v>
      </c>
      <c r="Y56" s="284">
        <f>IF($T$2="2018年",'Offer Statistics'!AV56,IF($T$2="2019年",'Offer Statistics'!AV113,IF($T$2="2020年",'Offer Statistics'!AV170)))</f>
        <v>46</v>
      </c>
      <c r="Z56" s="284">
        <f>IF($T$2="2018年",'Offer Statistics'!AW56,IF($T$2="2019年",'Offer Statistics'!AW113,IF($T$2="2020年",'Offer Statistics'!AW170)))</f>
        <v>50</v>
      </c>
      <c r="AA56" s="501"/>
      <c r="AB56" s="283">
        <f>IF($AA$2="2018年",'Offer Statistics'!AP56,IF($AA$2="2019年",'Offer Statistics'!AP113,IF($AA$2="2020年",'Offer Statistics'!AP170)))</f>
        <v>2020</v>
      </c>
      <c r="AC56" s="284">
        <f>IF($AA$2="2018年",'Offer Statistics'!AK56,IF($AA$2="2019年",'Offer Statistics'!AK113,IF($AA$2="2020年",'Offer Statistics'!AK170)))</f>
        <v>363</v>
      </c>
      <c r="AD56" s="284">
        <f>IF($AA$2="2018年",'Offer Statistics'!AL56,IF($AA$2="2019年",'Offer Statistics'!AL113,IF($AA$2="2020年",'Offer Statistics'!AL170)))</f>
        <v>462</v>
      </c>
      <c r="AE56" s="284">
        <f>IF($AA$2="2018年",'Offer Statistics'!AM56,IF($AA$2="2019年",'Offer Statistics'!AM113,IF($AA$2="2020年",'Offer Statistics'!AM170)))</f>
        <v>369</v>
      </c>
      <c r="AF56" s="284">
        <f>IF($AA$2="2018年",'Offer Statistics'!AN56,IF($AA$2="2019年",'Offer Statistics'!AN113,IF($AA$2="2020年",'Offer Statistics'!AN170)))</f>
        <v>374</v>
      </c>
      <c r="AG56" s="284">
        <f>IF($AA$2="2018年",'Offer Statistics'!AO56,IF($AA$2="2019年",'Offer Statistics'!AO113,IF($AA$2="2020年",'Offer Statistics'!AO170)))</f>
        <v>452</v>
      </c>
      <c r="AH56" s="181"/>
      <c r="AI56" s="338" t="str">
        <f t="shared" si="7"/>
        <v>JS3117</v>
      </c>
    </row>
    <row r="57" spans="1:36" s="183" customFormat="1" ht="18" customHeight="1">
      <c r="A57" s="175" t="s">
        <v>448</v>
      </c>
      <c r="B57" s="175" t="s">
        <v>770</v>
      </c>
      <c r="C57" s="175" t="s">
        <v>547</v>
      </c>
      <c r="D57" s="175" t="s">
        <v>537</v>
      </c>
      <c r="E57" s="181" t="s">
        <v>549</v>
      </c>
      <c r="F57" s="276">
        <v>15.5</v>
      </c>
      <c r="G57" s="175"/>
      <c r="H57" s="193">
        <f>計分版!D162</f>
        <v>2.9500000000000004E-9</v>
      </c>
      <c r="I57" s="188">
        <f>H57-F55</f>
        <v>-16.399999997049999</v>
      </c>
      <c r="J57" s="189">
        <f>(H57-F55)/H57</f>
        <v>-5559322032.898304</v>
      </c>
      <c r="K57" s="276">
        <v>55</v>
      </c>
      <c r="L57" s="382">
        <f>入學要求!S143</f>
        <v>0</v>
      </c>
      <c r="M57" s="355" t="s">
        <v>360</v>
      </c>
      <c r="N57" s="181">
        <v>2</v>
      </c>
      <c r="O57" s="181">
        <v>2</v>
      </c>
      <c r="P57" s="181">
        <v>2</v>
      </c>
      <c r="Q57" s="181">
        <v>2</v>
      </c>
      <c r="R57" s="181">
        <v>2</v>
      </c>
      <c r="S57" s="175"/>
      <c r="T57" s="501"/>
      <c r="U57" s="283">
        <f>IF($T$2="2018年",'Offer Statistics'!AX57,IF($T$2="2019年",'Offer Statistics'!AX114,IF($T$2="2020年",'Offer Statistics'!AX171)))</f>
        <v>248</v>
      </c>
      <c r="V57" s="284">
        <f>IF($T$2="2018年",'Offer Statistics'!AS57,IF($T$2="2019年",'Offer Statistics'!AS114,IF($T$2="2020年",'Offer Statistics'!AS171)))</f>
        <v>142</v>
      </c>
      <c r="W57" s="284">
        <f>IF($T$2="2018年",'Offer Statistics'!AT57,IF($T$2="2019年",'Offer Statistics'!AT114,IF($T$2="2020年",'Offer Statistics'!AT171)))</f>
        <v>33</v>
      </c>
      <c r="X57" s="284">
        <f>IF($T$2="2018年",'Offer Statistics'!AU57,IF($T$2="2019年",'Offer Statistics'!AU114,IF($T$2="2020年",'Offer Statistics'!AU171)))</f>
        <v>21</v>
      </c>
      <c r="Y57" s="284">
        <f>IF($T$2="2018年",'Offer Statistics'!AV57,IF($T$2="2019年",'Offer Statistics'!AV114,IF($T$2="2020年",'Offer Statistics'!AV171)))</f>
        <v>19</v>
      </c>
      <c r="Z57" s="284">
        <f>IF($T$2="2018年",'Offer Statistics'!AW57,IF($T$2="2019年",'Offer Statistics'!AW114,IF($T$2="2020年",'Offer Statistics'!AW171)))</f>
        <v>33</v>
      </c>
      <c r="AA57" s="501"/>
      <c r="AB57" s="283">
        <f>IF($AA$2="2018年",'Offer Statistics'!AP57,IF($AA$2="2019年",'Offer Statistics'!AP114,IF($AA$2="2020年",'Offer Statistics'!AP171)))</f>
        <v>2555</v>
      </c>
      <c r="AC57" s="284">
        <f>IF($AA$2="2018年",'Offer Statistics'!AK57,IF($AA$2="2019年",'Offer Statistics'!AK114,IF($AA$2="2020年",'Offer Statistics'!AK171)))</f>
        <v>511</v>
      </c>
      <c r="AD57" s="284">
        <f>IF($AA$2="2018年",'Offer Statistics'!AL57,IF($AA$2="2019年",'Offer Statistics'!AL114,IF($AA$2="2020年",'Offer Statistics'!AL171)))</f>
        <v>618</v>
      </c>
      <c r="AE57" s="284">
        <f>IF($AA$2="2018年",'Offer Statistics'!AM57,IF($AA$2="2019年",'Offer Statistics'!AM114,IF($AA$2="2020年",'Offer Statistics'!AM171)))</f>
        <v>434</v>
      </c>
      <c r="AF57" s="284">
        <f>IF($AA$2="2018年",'Offer Statistics'!AN57,IF($AA$2="2019年",'Offer Statistics'!AN114,IF($AA$2="2020年",'Offer Statistics'!AN171)))</f>
        <v>431</v>
      </c>
      <c r="AG57" s="284">
        <f>IF($AA$2="2018年",'Offer Statistics'!AO57,IF($AA$2="2019年",'Offer Statistics'!AO114,IF($AA$2="2020年",'Offer Statistics'!AO171)))</f>
        <v>561</v>
      </c>
      <c r="AH57" s="175"/>
      <c r="AI57" s="338" t="str">
        <f t="shared" si="7"/>
        <v>JS3284</v>
      </c>
    </row>
    <row r="58" spans="1:36" s="183" customFormat="1" ht="18" customHeight="1">
      <c r="A58" s="190"/>
      <c r="B58" s="190"/>
      <c r="C58" s="190"/>
      <c r="D58" s="190"/>
      <c r="E58" s="50"/>
      <c r="F58" s="190"/>
      <c r="G58" s="190"/>
      <c r="H58" s="50"/>
      <c r="I58" s="190"/>
      <c r="J58" s="190"/>
      <c r="K58" s="190"/>
      <c r="L58" s="50"/>
      <c r="M58" s="50"/>
      <c r="N58" s="190"/>
      <c r="O58" s="190"/>
      <c r="P58" s="190"/>
      <c r="Q58" s="190"/>
      <c r="R58" s="190"/>
      <c r="S58" s="190"/>
      <c r="T58" s="190"/>
      <c r="U58" s="190"/>
      <c r="V58" s="190"/>
      <c r="W58" s="190"/>
      <c r="X58" s="190"/>
      <c r="Y58" s="190"/>
      <c r="Z58" s="190"/>
      <c r="AA58" s="190"/>
      <c r="AB58" s="190"/>
      <c r="AC58" s="190"/>
      <c r="AD58" s="190"/>
      <c r="AE58" s="190"/>
      <c r="AF58" s="190"/>
      <c r="AG58" s="190"/>
      <c r="AH58" s="190"/>
      <c r="AI58" s="292"/>
    </row>
    <row r="59" spans="1:36" s="183" customFormat="1" ht="18" customHeight="1">
      <c r="A59" s="4" t="s">
        <v>2200</v>
      </c>
      <c r="B59" s="175"/>
      <c r="C59" s="175"/>
      <c r="D59" s="175"/>
      <c r="E59" s="267"/>
      <c r="F59" s="181"/>
      <c r="G59" s="181"/>
      <c r="H59" s="307"/>
      <c r="I59" s="27"/>
      <c r="J59" s="186"/>
      <c r="K59" s="181"/>
      <c r="L59" s="371"/>
      <c r="M59" s="355"/>
      <c r="N59" s="181"/>
      <c r="O59" s="181"/>
      <c r="P59" s="181"/>
      <c r="Q59" s="181"/>
      <c r="R59" s="181"/>
      <c r="S59" s="181"/>
      <c r="T59" s="190"/>
      <c r="U59" s="190"/>
      <c r="V59" s="190"/>
      <c r="W59" s="190"/>
      <c r="X59" s="190"/>
      <c r="Y59" s="190"/>
      <c r="Z59" s="190"/>
      <c r="AA59" s="190"/>
      <c r="AB59" s="190"/>
      <c r="AC59" s="190"/>
      <c r="AD59" s="190"/>
      <c r="AE59" s="190"/>
      <c r="AF59" s="190"/>
      <c r="AG59" s="190"/>
      <c r="AH59" s="190"/>
      <c r="AI59" s="292"/>
    </row>
    <row r="60" spans="1:36" s="183" customFormat="1" ht="18" customHeight="1">
      <c r="A60" s="187" t="s">
        <v>2197</v>
      </c>
      <c r="B60" s="175"/>
      <c r="C60" s="175"/>
      <c r="D60" s="175"/>
      <c r="E60" s="369"/>
      <c r="F60" s="371"/>
      <c r="G60" s="371"/>
      <c r="H60" s="371"/>
      <c r="I60" s="27"/>
      <c r="J60" s="186"/>
      <c r="K60" s="371"/>
      <c r="L60" s="371"/>
      <c r="M60" s="371"/>
      <c r="N60" s="371"/>
      <c r="O60" s="371"/>
      <c r="P60" s="371"/>
      <c r="Q60" s="371"/>
      <c r="R60" s="371"/>
      <c r="S60" s="371"/>
      <c r="T60" s="190"/>
      <c r="U60" s="190"/>
      <c r="V60" s="190"/>
      <c r="W60" s="190"/>
      <c r="X60" s="190"/>
      <c r="Y60" s="190"/>
      <c r="Z60" s="190"/>
      <c r="AA60" s="190"/>
      <c r="AB60" s="190"/>
      <c r="AC60" s="190"/>
      <c r="AD60" s="190"/>
      <c r="AE60" s="190"/>
      <c r="AF60" s="190"/>
      <c r="AG60" s="190"/>
      <c r="AH60" s="190"/>
      <c r="AI60" s="292"/>
    </row>
    <row r="61" spans="1:36" s="183" customFormat="1" ht="18" customHeight="1">
      <c r="A61" s="175" t="s">
        <v>1274</v>
      </c>
      <c r="B61" s="175"/>
      <c r="C61" s="175"/>
      <c r="D61" s="175"/>
      <c r="E61" s="267"/>
      <c r="F61" s="181"/>
      <c r="G61" s="181"/>
      <c r="H61" s="307"/>
      <c r="I61" s="27"/>
      <c r="J61" s="186"/>
      <c r="K61" s="181"/>
      <c r="L61" s="371"/>
      <c r="M61" s="355"/>
      <c r="N61" s="181"/>
      <c r="O61" s="181"/>
      <c r="P61" s="181"/>
      <c r="Q61" s="181"/>
      <c r="R61" s="181"/>
      <c r="S61" s="181"/>
      <c r="T61" s="190"/>
      <c r="U61" s="190"/>
      <c r="V61" s="190"/>
      <c r="W61" s="190"/>
      <c r="X61" s="190"/>
      <c r="Y61" s="190"/>
      <c r="Z61" s="190"/>
      <c r="AA61" s="190"/>
      <c r="AB61" s="190"/>
      <c r="AC61" s="190"/>
      <c r="AD61" s="190"/>
      <c r="AE61" s="190"/>
      <c r="AF61" s="190"/>
      <c r="AG61" s="190"/>
      <c r="AH61" s="190"/>
      <c r="AI61" s="292"/>
    </row>
    <row r="62" spans="1:36" s="175" customFormat="1" ht="18" customHeight="1">
      <c r="C62" s="186"/>
      <c r="E62" s="438"/>
      <c r="H62" s="438"/>
      <c r="K62" s="437"/>
      <c r="L62" s="438"/>
    </row>
    <row r="63" spans="1:36" s="187" customFormat="1" ht="18" customHeight="1">
      <c r="A63" s="187" t="s">
        <v>2352</v>
      </c>
      <c r="E63" s="272"/>
      <c r="F63" s="35"/>
      <c r="G63" s="35"/>
      <c r="H63" s="35"/>
      <c r="I63" s="35"/>
      <c r="J63" s="36"/>
      <c r="K63" s="37"/>
      <c r="L63" s="35"/>
      <c r="N63" s="35"/>
      <c r="O63" s="35"/>
      <c r="P63" s="35"/>
      <c r="Q63" s="35"/>
      <c r="R63" s="35"/>
      <c r="S63" s="35"/>
      <c r="T63" s="35"/>
      <c r="U63" s="35"/>
      <c r="V63" s="35"/>
      <c r="W63" s="35"/>
      <c r="X63" s="35"/>
      <c r="Y63" s="35"/>
      <c r="Z63" s="35"/>
      <c r="AA63" s="35"/>
      <c r="AB63" s="35"/>
      <c r="AC63" s="35"/>
      <c r="AD63" s="35"/>
      <c r="AE63" s="35"/>
      <c r="AF63" s="35"/>
      <c r="AG63" s="35"/>
      <c r="AH63" s="35"/>
      <c r="AJ63" s="35"/>
    </row>
    <row r="64" spans="1:36" s="183" customFormat="1" ht="18" customHeight="1">
      <c r="A64" s="175"/>
      <c r="B64" s="175"/>
      <c r="C64" s="175"/>
      <c r="D64" s="175"/>
      <c r="E64" s="385"/>
      <c r="F64" s="386"/>
      <c r="G64" s="386"/>
      <c r="H64" s="386"/>
      <c r="I64" s="27"/>
      <c r="J64" s="186"/>
      <c r="K64" s="386"/>
      <c r="L64" s="386"/>
      <c r="M64" s="386"/>
      <c r="N64" s="386"/>
      <c r="O64" s="386"/>
      <c r="P64" s="386"/>
      <c r="Q64" s="386"/>
      <c r="R64" s="386"/>
      <c r="S64" s="386"/>
      <c r="T64" s="190"/>
      <c r="U64" s="190"/>
      <c r="V64" s="190"/>
      <c r="W64" s="190"/>
      <c r="X64" s="190"/>
      <c r="Y64" s="190"/>
      <c r="Z64" s="190"/>
      <c r="AA64" s="190"/>
      <c r="AB64" s="190"/>
      <c r="AC64" s="190"/>
      <c r="AD64" s="190"/>
      <c r="AE64" s="190"/>
      <c r="AF64" s="190"/>
      <c r="AG64" s="190"/>
      <c r="AH64" s="190"/>
      <c r="AI64" s="292"/>
    </row>
    <row r="65" spans="1:35" s="183" customFormat="1" ht="18" customHeight="1">
      <c r="A65" s="4" t="s">
        <v>2243</v>
      </c>
      <c r="B65" s="175"/>
      <c r="C65" s="175"/>
      <c r="D65" s="175"/>
      <c r="E65" s="385"/>
      <c r="F65" s="386"/>
      <c r="G65" s="386"/>
      <c r="H65" s="386"/>
      <c r="I65" s="27"/>
      <c r="J65" s="186"/>
      <c r="K65" s="386"/>
      <c r="L65" s="386"/>
      <c r="M65" s="386"/>
      <c r="N65" s="386"/>
      <c r="O65" s="386"/>
      <c r="P65" s="386"/>
      <c r="Q65" s="386"/>
      <c r="R65" s="386"/>
      <c r="S65" s="386"/>
      <c r="T65" s="190"/>
      <c r="U65" s="190"/>
      <c r="V65" s="190"/>
      <c r="W65" s="190"/>
      <c r="X65" s="190"/>
      <c r="Y65" s="190"/>
      <c r="Z65" s="190"/>
      <c r="AA65" s="190"/>
      <c r="AB65" s="190"/>
      <c r="AC65" s="190"/>
      <c r="AD65" s="190"/>
      <c r="AE65" s="190"/>
      <c r="AF65" s="190"/>
      <c r="AG65" s="190"/>
      <c r="AH65" s="190"/>
      <c r="AI65" s="292"/>
    </row>
    <row r="66" spans="1:35" s="183" customFormat="1" ht="18" customHeight="1">
      <c r="A66" s="175" t="s">
        <v>2333</v>
      </c>
      <c r="B66" s="175"/>
      <c r="C66" s="175"/>
      <c r="D66" s="175"/>
      <c r="E66" s="385"/>
      <c r="F66" s="386"/>
      <c r="G66" s="386"/>
      <c r="H66" s="386"/>
      <c r="I66" s="27"/>
      <c r="J66" s="186"/>
      <c r="K66" s="386"/>
      <c r="L66" s="386"/>
      <c r="M66" s="386"/>
      <c r="N66" s="386"/>
      <c r="O66" s="386"/>
      <c r="P66" s="386"/>
      <c r="Q66" s="386"/>
      <c r="R66" s="386"/>
      <c r="S66" s="386"/>
      <c r="T66" s="190"/>
      <c r="U66" s="190"/>
      <c r="V66" s="190"/>
      <c r="W66" s="190"/>
      <c r="X66" s="190"/>
      <c r="Y66" s="190"/>
      <c r="Z66" s="190"/>
      <c r="AA66" s="190"/>
      <c r="AB66" s="190"/>
      <c r="AC66" s="190"/>
      <c r="AD66" s="190"/>
      <c r="AE66" s="190"/>
      <c r="AF66" s="190"/>
      <c r="AG66" s="190"/>
      <c r="AH66" s="190"/>
      <c r="AI66" s="292"/>
    </row>
    <row r="67" spans="1:35" s="183" customFormat="1" ht="18" customHeight="1">
      <c r="A67" s="179" t="s">
        <v>2246</v>
      </c>
      <c r="B67" s="175"/>
      <c r="C67" s="175"/>
      <c r="D67" s="175"/>
      <c r="E67" s="385"/>
      <c r="F67" s="386"/>
      <c r="G67" s="386"/>
      <c r="H67" s="386"/>
      <c r="I67" s="27"/>
      <c r="J67" s="186"/>
      <c r="K67" s="386"/>
      <c r="L67" s="386"/>
      <c r="M67" s="386"/>
      <c r="N67" s="386"/>
      <c r="O67" s="386"/>
      <c r="P67" s="386"/>
      <c r="Q67" s="386"/>
      <c r="R67" s="386"/>
      <c r="S67" s="386"/>
      <c r="T67" s="190"/>
      <c r="U67" s="190"/>
      <c r="V67" s="190"/>
      <c r="W67" s="190"/>
      <c r="X67" s="190"/>
      <c r="Y67" s="190"/>
      <c r="Z67" s="190"/>
      <c r="AA67" s="190"/>
      <c r="AB67" s="190"/>
      <c r="AC67" s="190"/>
      <c r="AD67" s="190"/>
      <c r="AE67" s="190"/>
      <c r="AF67" s="190"/>
      <c r="AG67" s="190"/>
      <c r="AH67" s="190"/>
      <c r="AI67" s="292"/>
    </row>
    <row r="68" spans="1:35" s="183" customFormat="1" ht="18" customHeight="1">
      <c r="A68" s="175" t="s">
        <v>2248</v>
      </c>
      <c r="B68" s="175"/>
      <c r="C68" s="175"/>
      <c r="D68" s="175"/>
      <c r="E68" s="385"/>
      <c r="F68" s="386"/>
      <c r="G68" s="386"/>
      <c r="H68" s="386"/>
      <c r="I68" s="27"/>
      <c r="J68" s="186"/>
      <c r="K68" s="386"/>
      <c r="L68" s="386"/>
      <c r="M68" s="386"/>
      <c r="N68" s="386"/>
      <c r="O68" s="386"/>
      <c r="P68" s="386"/>
      <c r="Q68" s="386"/>
      <c r="R68" s="386"/>
      <c r="S68" s="386"/>
      <c r="T68" s="190"/>
      <c r="U68" s="190"/>
      <c r="V68" s="190"/>
      <c r="W68" s="190"/>
      <c r="X68" s="190"/>
      <c r="Y68" s="190"/>
      <c r="Z68" s="190"/>
      <c r="AA68" s="190"/>
      <c r="AB68" s="190"/>
      <c r="AC68" s="190"/>
      <c r="AD68" s="190"/>
      <c r="AE68" s="190"/>
      <c r="AF68" s="190"/>
      <c r="AG68" s="190"/>
      <c r="AH68" s="190"/>
      <c r="AI68" s="292"/>
    </row>
    <row r="69" spans="1:35" s="183" customFormat="1" ht="18" customHeight="1">
      <c r="A69" s="175"/>
      <c r="B69" s="175" t="s">
        <v>2249</v>
      </c>
      <c r="C69" s="175"/>
      <c r="D69" s="175"/>
      <c r="E69" s="385"/>
      <c r="F69" s="386"/>
      <c r="G69" s="386"/>
      <c r="H69" s="386"/>
      <c r="I69" s="27"/>
      <c r="J69" s="186"/>
      <c r="K69" s="386"/>
      <c r="L69" s="386"/>
      <c r="M69" s="386"/>
      <c r="N69" s="386"/>
      <c r="O69" s="386"/>
      <c r="P69" s="386"/>
      <c r="Q69" s="386"/>
      <c r="R69" s="386"/>
      <c r="S69" s="386"/>
      <c r="T69" s="190"/>
      <c r="U69" s="190"/>
      <c r="V69" s="190"/>
      <c r="W69" s="190"/>
      <c r="X69" s="190"/>
      <c r="Y69" s="190"/>
      <c r="Z69" s="190"/>
      <c r="AA69" s="190"/>
      <c r="AB69" s="190"/>
      <c r="AC69" s="190"/>
      <c r="AD69" s="190"/>
      <c r="AE69" s="190"/>
      <c r="AF69" s="190"/>
      <c r="AG69" s="190"/>
      <c r="AH69" s="190"/>
      <c r="AI69" s="292"/>
    </row>
    <row r="70" spans="1:35" s="183" customFormat="1" ht="18" customHeight="1">
      <c r="A70" s="175"/>
      <c r="B70" s="175"/>
      <c r="C70" s="175"/>
      <c r="D70" s="175"/>
      <c r="E70" s="385"/>
      <c r="F70" s="386"/>
      <c r="G70" s="386"/>
      <c r="H70" s="386"/>
      <c r="I70" s="27"/>
      <c r="J70" s="186"/>
      <c r="K70" s="386"/>
      <c r="L70" s="386"/>
      <c r="M70" s="386"/>
      <c r="N70" s="386"/>
      <c r="O70" s="386"/>
      <c r="P70" s="386"/>
      <c r="Q70" s="386"/>
      <c r="R70" s="386"/>
      <c r="S70" s="386"/>
      <c r="T70" s="190"/>
      <c r="U70" s="190"/>
      <c r="V70" s="190"/>
      <c r="W70" s="190"/>
      <c r="X70" s="190"/>
      <c r="Y70" s="190"/>
      <c r="Z70" s="190"/>
      <c r="AA70" s="190"/>
      <c r="AB70" s="190"/>
      <c r="AC70" s="190"/>
      <c r="AD70" s="190"/>
      <c r="AE70" s="190"/>
      <c r="AF70" s="190"/>
      <c r="AG70" s="190"/>
      <c r="AH70" s="190"/>
      <c r="AI70" s="292"/>
    </row>
    <row r="71" spans="1:35" s="183" customFormat="1" ht="18" customHeight="1">
      <c r="A71" s="175" t="s">
        <v>2259</v>
      </c>
      <c r="B71" s="175"/>
      <c r="C71" s="175"/>
      <c r="D71" s="175"/>
      <c r="E71" s="385"/>
      <c r="F71" s="386"/>
      <c r="G71" s="386"/>
      <c r="H71" s="386"/>
      <c r="I71" s="27"/>
      <c r="J71" s="186"/>
      <c r="K71" s="386"/>
      <c r="L71" s="386"/>
      <c r="M71" s="386"/>
      <c r="N71" s="386"/>
      <c r="O71" s="386"/>
      <c r="P71" s="386"/>
      <c r="Q71" s="386"/>
      <c r="R71" s="386"/>
      <c r="S71" s="386"/>
      <c r="T71" s="190"/>
      <c r="U71" s="190"/>
      <c r="V71" s="190"/>
      <c r="W71" s="190"/>
      <c r="X71" s="190"/>
      <c r="Y71" s="190"/>
      <c r="Z71" s="190"/>
      <c r="AA71" s="190"/>
      <c r="AB71" s="190"/>
      <c r="AC71" s="190"/>
      <c r="AD71" s="190"/>
      <c r="AE71" s="190"/>
      <c r="AF71" s="190"/>
      <c r="AG71" s="190"/>
      <c r="AH71" s="190"/>
      <c r="AI71" s="292"/>
    </row>
    <row r="72" spans="1:35" s="183" customFormat="1" ht="18" customHeight="1">
      <c r="A72" s="175"/>
      <c r="B72" s="175"/>
      <c r="C72" s="175"/>
      <c r="D72" s="175"/>
      <c r="E72" s="385"/>
      <c r="F72" s="386"/>
      <c r="G72" s="386"/>
      <c r="H72" s="386"/>
      <c r="I72" s="27"/>
      <c r="J72" s="186"/>
      <c r="K72" s="386"/>
      <c r="L72" s="386"/>
      <c r="M72" s="386"/>
      <c r="N72" s="386"/>
      <c r="O72" s="386"/>
      <c r="P72" s="386"/>
      <c r="Q72" s="386"/>
      <c r="R72" s="386"/>
      <c r="S72" s="386"/>
      <c r="T72" s="190"/>
      <c r="U72" s="190"/>
      <c r="V72" s="190"/>
      <c r="W72" s="190"/>
      <c r="X72" s="190"/>
      <c r="Y72" s="190"/>
      <c r="Z72" s="190"/>
      <c r="AA72" s="190"/>
      <c r="AB72" s="190"/>
      <c r="AC72" s="190"/>
      <c r="AD72" s="190"/>
      <c r="AE72" s="190"/>
      <c r="AF72" s="190"/>
      <c r="AG72" s="190"/>
      <c r="AH72" s="190"/>
      <c r="AI72" s="292"/>
    </row>
    <row r="73" spans="1:35" s="183" customFormat="1" ht="18" customHeight="1">
      <c r="A73" s="175" t="s">
        <v>2264</v>
      </c>
      <c r="B73" s="175"/>
      <c r="C73" s="175"/>
      <c r="D73" s="175"/>
      <c r="E73" s="385"/>
      <c r="F73" s="386"/>
      <c r="G73" s="386"/>
      <c r="H73" s="386"/>
      <c r="I73" s="27"/>
      <c r="J73" s="186"/>
      <c r="K73" s="386"/>
      <c r="L73" s="386"/>
      <c r="M73" s="386"/>
      <c r="N73" s="386"/>
      <c r="O73" s="386"/>
      <c r="P73" s="386"/>
      <c r="Q73" s="386"/>
      <c r="R73" s="386"/>
      <c r="S73" s="386"/>
      <c r="T73" s="190"/>
      <c r="U73" s="190"/>
      <c r="V73" s="190"/>
      <c r="W73" s="190"/>
      <c r="X73" s="190"/>
      <c r="Y73" s="190"/>
      <c r="Z73" s="190"/>
      <c r="AA73" s="190"/>
      <c r="AB73" s="190"/>
      <c r="AC73" s="190"/>
      <c r="AD73" s="190"/>
      <c r="AE73" s="190"/>
      <c r="AF73" s="190"/>
      <c r="AG73" s="190"/>
      <c r="AH73" s="190"/>
      <c r="AI73" s="292"/>
    </row>
    <row r="74" spans="1:35" s="183" customFormat="1" ht="18" customHeight="1">
      <c r="A74" s="175"/>
      <c r="B74" s="175"/>
      <c r="C74" s="175"/>
      <c r="D74" s="175"/>
      <c r="E74" s="393"/>
      <c r="F74" s="394"/>
      <c r="G74" s="394"/>
      <c r="H74" s="394"/>
      <c r="I74" s="27"/>
      <c r="J74" s="186"/>
      <c r="K74" s="394"/>
      <c r="L74" s="394"/>
      <c r="M74" s="394"/>
      <c r="N74" s="394"/>
      <c r="O74" s="394"/>
      <c r="P74" s="394"/>
      <c r="Q74" s="394"/>
      <c r="R74" s="394"/>
      <c r="S74" s="394"/>
      <c r="T74" s="190"/>
      <c r="U74" s="190"/>
      <c r="V74" s="190"/>
      <c r="W74" s="190"/>
      <c r="X74" s="190"/>
      <c r="Y74" s="190"/>
      <c r="Z74" s="190"/>
      <c r="AA74" s="190"/>
      <c r="AB74" s="190"/>
      <c r="AC74" s="190"/>
      <c r="AD74" s="190"/>
      <c r="AE74" s="190"/>
      <c r="AF74" s="190"/>
      <c r="AG74" s="190"/>
      <c r="AH74" s="190"/>
      <c r="AI74" s="292"/>
    </row>
    <row r="75" spans="1:35" s="183" customFormat="1" ht="18" customHeight="1">
      <c r="A75" s="175" t="s">
        <v>2263</v>
      </c>
      <c r="B75" s="175"/>
      <c r="C75" s="175"/>
      <c r="D75" s="175"/>
      <c r="E75" s="385"/>
      <c r="F75" s="386"/>
      <c r="G75" s="386"/>
      <c r="H75" s="386"/>
      <c r="I75" s="27"/>
      <c r="J75" s="186"/>
      <c r="K75" s="386"/>
      <c r="L75" s="386"/>
      <c r="M75" s="386"/>
      <c r="N75" s="386"/>
      <c r="O75" s="386"/>
      <c r="P75" s="386"/>
      <c r="Q75" s="386"/>
      <c r="R75" s="386"/>
      <c r="S75" s="386"/>
      <c r="T75" s="190"/>
      <c r="U75" s="190"/>
      <c r="V75" s="190"/>
      <c r="W75" s="190"/>
      <c r="X75" s="190"/>
      <c r="Y75" s="190"/>
      <c r="Z75" s="190"/>
      <c r="AA75" s="190"/>
      <c r="AB75" s="190"/>
      <c r="AC75" s="190"/>
      <c r="AD75" s="190"/>
      <c r="AE75" s="190"/>
      <c r="AF75" s="190"/>
      <c r="AG75" s="190"/>
      <c r="AH75" s="190"/>
      <c r="AI75" s="292"/>
    </row>
    <row r="76" spans="1:35" s="183" customFormat="1" ht="18" customHeight="1">
      <c r="A76" s="175"/>
      <c r="B76" s="175" t="s">
        <v>2247</v>
      </c>
      <c r="C76" s="175"/>
      <c r="D76" s="175"/>
      <c r="E76" s="385"/>
      <c r="F76" s="386"/>
      <c r="G76" s="386"/>
      <c r="H76" s="386"/>
      <c r="I76" s="27"/>
      <c r="J76" s="186"/>
      <c r="K76" s="386"/>
      <c r="L76" s="386"/>
      <c r="M76" s="386"/>
      <c r="N76" s="386"/>
      <c r="O76" s="386"/>
      <c r="P76" s="386"/>
      <c r="Q76" s="386"/>
      <c r="R76" s="386"/>
      <c r="S76" s="386"/>
      <c r="T76" s="190"/>
      <c r="U76" s="190"/>
      <c r="V76" s="190"/>
      <c r="W76" s="190"/>
      <c r="X76" s="190"/>
      <c r="Y76" s="190"/>
      <c r="Z76" s="190"/>
      <c r="AA76" s="190"/>
      <c r="AB76" s="190"/>
      <c r="AC76" s="190"/>
      <c r="AD76" s="190"/>
      <c r="AE76" s="190"/>
      <c r="AF76" s="190"/>
      <c r="AG76" s="190"/>
      <c r="AH76" s="190"/>
      <c r="AI76" s="292"/>
    </row>
    <row r="77" spans="1:35" s="183" customFormat="1" ht="18" customHeight="1">
      <c r="B77" s="175" t="s">
        <v>2252</v>
      </c>
      <c r="C77" s="175"/>
      <c r="D77" s="175"/>
      <c r="E77" s="385"/>
      <c r="F77" s="386"/>
      <c r="G77" s="386"/>
      <c r="H77" s="386"/>
      <c r="I77" s="27"/>
      <c r="J77" s="186"/>
      <c r="K77" s="386"/>
      <c r="L77" s="386"/>
      <c r="M77" s="386"/>
      <c r="N77" s="386"/>
      <c r="O77" s="386"/>
      <c r="P77" s="386"/>
      <c r="Q77" s="386"/>
      <c r="R77" s="386"/>
      <c r="S77" s="386"/>
      <c r="T77" s="190"/>
      <c r="U77" s="190"/>
      <c r="V77" s="190"/>
      <c r="W77" s="190"/>
      <c r="X77" s="190"/>
      <c r="Y77" s="190"/>
      <c r="Z77" s="190"/>
      <c r="AA77" s="190"/>
      <c r="AB77" s="190"/>
      <c r="AC77" s="190"/>
      <c r="AD77" s="190"/>
      <c r="AE77" s="190"/>
      <c r="AF77" s="190"/>
      <c r="AG77" s="190"/>
      <c r="AH77" s="190"/>
      <c r="AI77" s="292"/>
    </row>
    <row r="78" spans="1:35" s="183" customFormat="1" ht="18" customHeight="1">
      <c r="A78" s="175"/>
      <c r="B78" s="175" t="s">
        <v>2250</v>
      </c>
      <c r="C78" s="175"/>
      <c r="D78" s="175"/>
      <c r="E78" s="385"/>
      <c r="F78" s="386"/>
      <c r="G78" s="386"/>
      <c r="H78" s="386"/>
      <c r="I78" s="27"/>
      <c r="J78" s="186"/>
      <c r="K78" s="386"/>
      <c r="L78" s="386"/>
      <c r="M78" s="386"/>
      <c r="N78" s="386"/>
      <c r="O78" s="386"/>
      <c r="P78" s="386"/>
      <c r="Q78" s="386"/>
      <c r="R78" s="386"/>
      <c r="S78" s="386"/>
      <c r="T78" s="190"/>
      <c r="U78" s="190"/>
      <c r="V78" s="190"/>
      <c r="W78" s="190"/>
      <c r="X78" s="190"/>
      <c r="Y78" s="190"/>
      <c r="Z78" s="190"/>
      <c r="AA78" s="190"/>
      <c r="AB78" s="190"/>
      <c r="AC78" s="190"/>
      <c r="AD78" s="190"/>
      <c r="AE78" s="190"/>
      <c r="AF78" s="190"/>
      <c r="AG78" s="190"/>
      <c r="AH78" s="190"/>
      <c r="AI78" s="292"/>
    </row>
    <row r="79" spans="1:35" s="183" customFormat="1" ht="18" customHeight="1">
      <c r="A79" s="175"/>
      <c r="B79" s="175" t="s">
        <v>2251</v>
      </c>
      <c r="C79" s="175"/>
      <c r="D79" s="175"/>
      <c r="E79" s="385"/>
      <c r="F79" s="386"/>
      <c r="G79" s="386"/>
      <c r="H79" s="386"/>
      <c r="I79" s="27"/>
      <c r="J79" s="186"/>
      <c r="K79" s="386"/>
      <c r="L79" s="386"/>
      <c r="M79" s="386"/>
      <c r="N79" s="386"/>
      <c r="O79" s="386"/>
      <c r="P79" s="386"/>
      <c r="Q79" s="386"/>
      <c r="R79" s="386"/>
      <c r="S79" s="386"/>
      <c r="T79" s="190"/>
      <c r="U79" s="190"/>
      <c r="V79" s="190"/>
      <c r="W79" s="190"/>
      <c r="X79" s="190"/>
      <c r="Y79" s="190"/>
      <c r="Z79" s="190"/>
      <c r="AA79" s="190"/>
      <c r="AB79" s="190"/>
      <c r="AC79" s="190"/>
      <c r="AD79" s="190"/>
      <c r="AE79" s="190"/>
      <c r="AF79" s="190"/>
      <c r="AG79" s="190"/>
      <c r="AH79" s="190"/>
      <c r="AI79" s="292"/>
    </row>
    <row r="80" spans="1:35" s="183" customFormat="1" ht="18" customHeight="1">
      <c r="A80" s="175"/>
      <c r="B80" s="175"/>
      <c r="C80" s="175"/>
      <c r="D80" s="175"/>
      <c r="E80" s="385"/>
      <c r="F80" s="386"/>
      <c r="G80" s="386"/>
      <c r="H80" s="386"/>
      <c r="I80" s="27"/>
      <c r="J80" s="186"/>
      <c r="K80" s="386"/>
      <c r="L80" s="386"/>
      <c r="M80" s="386"/>
      <c r="N80" s="386"/>
      <c r="O80" s="386"/>
      <c r="P80" s="386"/>
      <c r="Q80" s="386"/>
      <c r="R80" s="386"/>
      <c r="S80" s="386"/>
      <c r="T80" s="190"/>
      <c r="U80" s="190"/>
      <c r="V80" s="190"/>
      <c r="W80" s="190"/>
      <c r="X80" s="190"/>
      <c r="Y80" s="190"/>
      <c r="Z80" s="190"/>
      <c r="AA80" s="190"/>
      <c r="AB80" s="190"/>
      <c r="AC80" s="190"/>
      <c r="AD80" s="190"/>
      <c r="AE80" s="190"/>
      <c r="AF80" s="190"/>
      <c r="AG80" s="190"/>
      <c r="AH80" s="190"/>
      <c r="AI80" s="292"/>
    </row>
    <row r="81" spans="1:35" s="183" customFormat="1" ht="18" customHeight="1">
      <c r="A81" s="175" t="s">
        <v>2262</v>
      </c>
      <c r="B81" s="175"/>
      <c r="C81" s="175"/>
      <c r="D81" s="175"/>
      <c r="E81" s="385"/>
      <c r="F81" s="386"/>
      <c r="G81" s="386"/>
      <c r="H81" s="386"/>
      <c r="I81" s="27"/>
      <c r="J81" s="186"/>
      <c r="K81" s="386"/>
      <c r="L81" s="386"/>
      <c r="M81" s="386"/>
      <c r="N81" s="386"/>
      <c r="O81" s="386"/>
      <c r="P81" s="386"/>
      <c r="Q81" s="386"/>
      <c r="R81" s="386"/>
      <c r="S81" s="386"/>
      <c r="T81" s="190"/>
      <c r="U81" s="190"/>
      <c r="V81" s="190"/>
      <c r="W81" s="190"/>
      <c r="X81" s="190"/>
      <c r="Y81" s="190"/>
      <c r="Z81" s="190"/>
      <c r="AA81" s="190"/>
      <c r="AB81" s="190"/>
      <c r="AC81" s="190"/>
      <c r="AD81" s="190"/>
      <c r="AE81" s="190"/>
      <c r="AF81" s="190"/>
      <c r="AG81" s="190"/>
      <c r="AH81" s="190"/>
      <c r="AI81" s="292"/>
    </row>
    <row r="82" spans="1:35" s="183" customFormat="1" ht="18" customHeight="1">
      <c r="A82" s="175"/>
      <c r="B82" s="175" t="s">
        <v>2257</v>
      </c>
      <c r="C82" s="175"/>
      <c r="D82" s="175"/>
      <c r="E82" s="393"/>
      <c r="F82" s="394"/>
      <c r="G82" s="394"/>
      <c r="H82" s="394"/>
      <c r="I82" s="27"/>
      <c r="J82" s="186"/>
      <c r="K82" s="394"/>
      <c r="L82" s="394"/>
      <c r="M82" s="394"/>
      <c r="N82" s="394"/>
      <c r="O82" s="394"/>
      <c r="P82" s="394"/>
      <c r="Q82" s="394"/>
      <c r="R82" s="394"/>
      <c r="S82" s="394"/>
      <c r="T82" s="190"/>
      <c r="U82" s="190"/>
      <c r="V82" s="190"/>
      <c r="W82" s="190"/>
      <c r="X82" s="190"/>
      <c r="Y82" s="190"/>
      <c r="Z82" s="190"/>
      <c r="AA82" s="190"/>
      <c r="AB82" s="190"/>
      <c r="AC82" s="190"/>
      <c r="AD82" s="190"/>
      <c r="AE82" s="190"/>
      <c r="AF82" s="190"/>
      <c r="AG82" s="190"/>
      <c r="AH82" s="190"/>
      <c r="AI82" s="292"/>
    </row>
    <row r="83" spans="1:35" s="183" customFormat="1" ht="18" customHeight="1">
      <c r="B83" s="175" t="s">
        <v>2258</v>
      </c>
      <c r="C83" s="175"/>
      <c r="D83" s="175"/>
      <c r="E83" s="385"/>
      <c r="F83" s="386"/>
      <c r="G83" s="386"/>
      <c r="H83" s="386"/>
      <c r="I83" s="27"/>
      <c r="J83" s="186"/>
      <c r="K83" s="386"/>
      <c r="L83" s="386"/>
      <c r="M83" s="386"/>
      <c r="N83" s="386"/>
      <c r="O83" s="386"/>
      <c r="P83" s="386"/>
      <c r="Q83" s="386"/>
      <c r="R83" s="386"/>
      <c r="S83" s="386"/>
      <c r="T83" s="190"/>
      <c r="U83" s="190"/>
      <c r="V83" s="190"/>
      <c r="W83" s="190"/>
      <c r="X83" s="190"/>
      <c r="Y83" s="190"/>
      <c r="Z83" s="190"/>
      <c r="AA83" s="190"/>
      <c r="AB83" s="190"/>
      <c r="AC83" s="190"/>
      <c r="AD83" s="190"/>
      <c r="AE83" s="190"/>
      <c r="AF83" s="190"/>
      <c r="AG83" s="190"/>
      <c r="AH83" s="190"/>
      <c r="AI83" s="292"/>
    </row>
    <row r="84" spans="1:35" s="183" customFormat="1" ht="18" customHeight="1">
      <c r="A84" s="175"/>
      <c r="B84" s="175"/>
      <c r="C84" s="175"/>
      <c r="D84" s="175"/>
      <c r="E84" s="393"/>
      <c r="F84" s="394"/>
      <c r="G84" s="394"/>
      <c r="H84" s="394"/>
      <c r="I84" s="27"/>
      <c r="J84" s="186"/>
      <c r="K84" s="394"/>
      <c r="L84" s="394"/>
      <c r="M84" s="394"/>
      <c r="N84" s="394"/>
      <c r="O84" s="394"/>
      <c r="P84" s="394"/>
      <c r="Q84" s="394"/>
      <c r="R84" s="394"/>
      <c r="S84" s="394"/>
      <c r="T84" s="190"/>
      <c r="U84" s="190"/>
      <c r="V84" s="190"/>
      <c r="W84" s="190"/>
      <c r="X84" s="190"/>
      <c r="Y84" s="190"/>
      <c r="Z84" s="190"/>
      <c r="AA84" s="190"/>
      <c r="AB84" s="190"/>
      <c r="AC84" s="190"/>
      <c r="AD84" s="190"/>
      <c r="AE84" s="190"/>
      <c r="AF84" s="190"/>
      <c r="AG84" s="190"/>
      <c r="AH84" s="190"/>
      <c r="AI84" s="292"/>
    </row>
    <row r="85" spans="1:35" s="183" customFormat="1" ht="18" customHeight="1">
      <c r="A85" s="175" t="s">
        <v>2260</v>
      </c>
      <c r="B85" s="175"/>
      <c r="C85" s="175"/>
      <c r="D85" s="175"/>
      <c r="E85" s="393"/>
      <c r="F85" s="394"/>
      <c r="G85" s="394"/>
      <c r="H85" s="394"/>
      <c r="I85" s="27"/>
      <c r="J85" s="186"/>
      <c r="K85" s="394"/>
      <c r="L85" s="394"/>
      <c r="M85" s="394"/>
      <c r="N85" s="394"/>
      <c r="O85" s="394"/>
      <c r="P85" s="394"/>
      <c r="Q85" s="394"/>
      <c r="R85" s="394"/>
      <c r="S85" s="394"/>
      <c r="T85" s="190"/>
      <c r="U85" s="190"/>
      <c r="V85" s="190"/>
      <c r="W85" s="190"/>
      <c r="X85" s="190"/>
      <c r="Y85" s="190"/>
      <c r="Z85" s="190"/>
      <c r="AA85" s="190"/>
      <c r="AB85" s="190"/>
      <c r="AC85" s="190"/>
      <c r="AD85" s="190"/>
      <c r="AE85" s="190"/>
      <c r="AF85" s="190"/>
      <c r="AG85" s="190"/>
      <c r="AH85" s="190"/>
      <c r="AI85" s="292"/>
    </row>
    <row r="86" spans="1:35" s="183" customFormat="1" ht="18" customHeight="1">
      <c r="A86" s="175"/>
      <c r="B86" s="175" t="s">
        <v>2261</v>
      </c>
      <c r="C86" s="175"/>
      <c r="D86" s="175"/>
      <c r="E86" s="393"/>
      <c r="F86" s="394"/>
      <c r="G86" s="394"/>
      <c r="H86" s="394"/>
      <c r="I86" s="27"/>
      <c r="J86" s="186"/>
      <c r="K86" s="394"/>
      <c r="L86" s="394"/>
      <c r="M86" s="394"/>
      <c r="N86" s="394"/>
      <c r="O86" s="394"/>
      <c r="P86" s="394"/>
      <c r="Q86" s="394"/>
      <c r="R86" s="394"/>
      <c r="S86" s="394"/>
      <c r="T86" s="190"/>
      <c r="U86" s="190"/>
      <c r="V86" s="190"/>
      <c r="W86" s="190"/>
      <c r="X86" s="190"/>
      <c r="Y86" s="190"/>
      <c r="Z86" s="190"/>
      <c r="AA86" s="190"/>
      <c r="AB86" s="190"/>
      <c r="AC86" s="190"/>
      <c r="AD86" s="190"/>
      <c r="AE86" s="190"/>
      <c r="AF86" s="190"/>
      <c r="AG86" s="190"/>
      <c r="AH86" s="190"/>
      <c r="AI86" s="292"/>
    </row>
    <row r="87" spans="1:35" s="183" customFormat="1" ht="18" customHeight="1">
      <c r="A87" s="175"/>
      <c r="B87" s="175" t="s">
        <v>2266</v>
      </c>
      <c r="C87" s="175"/>
      <c r="D87" s="175"/>
      <c r="E87" s="393"/>
      <c r="F87" s="394"/>
      <c r="G87" s="394"/>
      <c r="H87" s="394"/>
      <c r="I87" s="27"/>
      <c r="J87" s="186"/>
      <c r="K87" s="394"/>
      <c r="L87" s="394"/>
      <c r="M87" s="394"/>
      <c r="N87" s="394"/>
      <c r="O87" s="394"/>
      <c r="P87" s="394"/>
      <c r="Q87" s="394"/>
      <c r="R87" s="394"/>
      <c r="S87" s="394"/>
      <c r="T87" s="190"/>
      <c r="U87" s="190"/>
      <c r="V87" s="190"/>
      <c r="W87" s="190"/>
      <c r="X87" s="190"/>
      <c r="Y87" s="190"/>
      <c r="Z87" s="190"/>
      <c r="AA87" s="190"/>
      <c r="AB87" s="190"/>
      <c r="AC87" s="190"/>
      <c r="AD87" s="190"/>
      <c r="AE87" s="190"/>
      <c r="AF87" s="190"/>
      <c r="AG87" s="190"/>
      <c r="AH87" s="190"/>
      <c r="AI87" s="292"/>
    </row>
    <row r="88" spans="1:35" s="183" customFormat="1" ht="18" customHeight="1">
      <c r="A88" s="175"/>
      <c r="B88" s="175"/>
      <c r="C88" s="175" t="s">
        <v>2496</v>
      </c>
      <c r="D88" s="175"/>
      <c r="E88" s="393"/>
      <c r="F88" s="394"/>
      <c r="G88" s="394"/>
      <c r="H88" s="394"/>
      <c r="I88" s="27"/>
      <c r="J88" s="186"/>
      <c r="K88" s="394"/>
      <c r="L88" s="394"/>
      <c r="M88" s="394"/>
      <c r="N88" s="394"/>
      <c r="O88" s="394"/>
      <c r="P88" s="394"/>
      <c r="Q88" s="394"/>
      <c r="R88" s="394"/>
      <c r="S88" s="394"/>
      <c r="T88" s="190"/>
      <c r="U88" s="190"/>
      <c r="V88" s="190"/>
      <c r="W88" s="190"/>
      <c r="X88" s="190"/>
      <c r="Y88" s="190"/>
      <c r="Z88" s="190"/>
      <c r="AA88" s="190"/>
      <c r="AB88" s="190"/>
      <c r="AC88" s="190"/>
      <c r="AD88" s="190"/>
      <c r="AE88" s="190"/>
      <c r="AF88" s="190"/>
      <c r="AG88" s="190"/>
      <c r="AH88" s="190"/>
      <c r="AI88" s="292"/>
    </row>
    <row r="89" spans="1:35" s="183" customFormat="1" ht="18" customHeight="1">
      <c r="A89" s="175"/>
      <c r="B89" s="175"/>
      <c r="C89" s="175" t="s">
        <v>2497</v>
      </c>
      <c r="D89" s="175"/>
      <c r="E89" s="399"/>
      <c r="F89" s="400"/>
      <c r="G89" s="400"/>
      <c r="H89" s="400"/>
      <c r="I89" s="27"/>
      <c r="J89" s="186"/>
      <c r="K89" s="400"/>
      <c r="L89" s="400"/>
      <c r="M89" s="400"/>
      <c r="N89" s="400"/>
      <c r="O89" s="400"/>
      <c r="P89" s="400"/>
      <c r="Q89" s="400"/>
      <c r="R89" s="400"/>
      <c r="S89" s="400"/>
      <c r="T89" s="190"/>
      <c r="U89" s="190"/>
      <c r="V89" s="190"/>
      <c r="W89" s="190"/>
      <c r="X89" s="190"/>
      <c r="Y89" s="190"/>
      <c r="Z89" s="190"/>
      <c r="AA89" s="190"/>
      <c r="AB89" s="190"/>
      <c r="AC89" s="190"/>
      <c r="AD89" s="190"/>
      <c r="AE89" s="190"/>
      <c r="AF89" s="190"/>
      <c r="AG89" s="190"/>
      <c r="AH89" s="190"/>
      <c r="AI89" s="292"/>
    </row>
    <row r="90" spans="1:35" s="183" customFormat="1" ht="18" customHeight="1">
      <c r="A90" s="175"/>
      <c r="B90" s="175"/>
      <c r="C90" s="175" t="s">
        <v>2498</v>
      </c>
      <c r="D90" s="175"/>
      <c r="E90" s="428"/>
      <c r="F90" s="429"/>
      <c r="G90" s="429"/>
      <c r="H90" s="429"/>
      <c r="I90" s="27"/>
      <c r="J90" s="186"/>
      <c r="K90" s="429"/>
      <c r="L90" s="429"/>
      <c r="M90" s="429"/>
      <c r="N90" s="429"/>
      <c r="O90" s="429"/>
      <c r="P90" s="429"/>
      <c r="Q90" s="429"/>
      <c r="R90" s="429"/>
      <c r="S90" s="429"/>
      <c r="T90" s="190"/>
      <c r="U90" s="190"/>
      <c r="V90" s="190"/>
      <c r="W90" s="190"/>
      <c r="X90" s="190"/>
      <c r="Y90" s="190"/>
      <c r="Z90" s="190"/>
      <c r="AA90" s="190"/>
      <c r="AB90" s="190"/>
      <c r="AC90" s="190"/>
      <c r="AD90" s="190"/>
      <c r="AE90" s="190"/>
      <c r="AF90" s="190"/>
      <c r="AG90" s="190"/>
      <c r="AH90" s="190"/>
      <c r="AI90" s="292"/>
    </row>
    <row r="91" spans="1:35" s="183" customFormat="1" ht="18" customHeight="1">
      <c r="A91" s="175"/>
      <c r="B91" s="175"/>
      <c r="C91" s="175" t="s">
        <v>2499</v>
      </c>
      <c r="D91" s="175"/>
      <c r="E91" s="428"/>
      <c r="F91" s="429"/>
      <c r="G91" s="429"/>
      <c r="H91" s="429"/>
      <c r="I91" s="27"/>
      <c r="J91" s="186"/>
      <c r="K91" s="429"/>
      <c r="L91" s="429"/>
      <c r="M91" s="429"/>
      <c r="N91" s="429"/>
      <c r="O91" s="429"/>
      <c r="P91" s="429"/>
      <c r="Q91" s="429"/>
      <c r="R91" s="429"/>
      <c r="S91" s="429"/>
      <c r="T91" s="190"/>
      <c r="U91" s="190"/>
      <c r="V91" s="190"/>
      <c r="W91" s="190"/>
      <c r="X91" s="190"/>
      <c r="Y91" s="190"/>
      <c r="Z91" s="190"/>
      <c r="AA91" s="190"/>
      <c r="AB91" s="190"/>
      <c r="AC91" s="190"/>
      <c r="AD91" s="190"/>
      <c r="AE91" s="190"/>
      <c r="AF91" s="190"/>
      <c r="AG91" s="190"/>
      <c r="AH91" s="190"/>
      <c r="AI91" s="292"/>
    </row>
    <row r="92" spans="1:35" s="183" customFormat="1" ht="18" customHeight="1">
      <c r="A92" s="175"/>
      <c r="B92" s="175"/>
      <c r="C92" s="175" t="s">
        <v>2500</v>
      </c>
      <c r="D92" s="175"/>
      <c r="E92" s="428"/>
      <c r="F92" s="429"/>
      <c r="G92" s="429"/>
      <c r="H92" s="429"/>
      <c r="I92" s="27"/>
      <c r="J92" s="186"/>
      <c r="K92" s="429"/>
      <c r="L92" s="429"/>
      <c r="M92" s="429"/>
      <c r="N92" s="429"/>
      <c r="O92" s="429"/>
      <c r="P92" s="429"/>
      <c r="Q92" s="429"/>
      <c r="R92" s="429"/>
      <c r="S92" s="429"/>
      <c r="T92" s="190"/>
      <c r="U92" s="190"/>
      <c r="V92" s="190"/>
      <c r="W92" s="190"/>
      <c r="X92" s="190"/>
      <c r="Y92" s="190"/>
      <c r="Z92" s="190"/>
      <c r="AA92" s="190"/>
      <c r="AB92" s="190"/>
      <c r="AC92" s="190"/>
      <c r="AD92" s="190"/>
      <c r="AE92" s="190"/>
      <c r="AF92" s="190"/>
      <c r="AG92" s="190"/>
      <c r="AH92" s="190"/>
      <c r="AI92" s="292"/>
    </row>
    <row r="93" spans="1:35" s="183" customFormat="1" ht="18" customHeight="1">
      <c r="A93" s="175"/>
      <c r="B93" s="175"/>
      <c r="C93" s="175" t="s">
        <v>2501</v>
      </c>
      <c r="D93" s="175"/>
      <c r="E93" s="393"/>
      <c r="F93" s="394"/>
      <c r="G93" s="394"/>
      <c r="H93" s="394"/>
      <c r="I93" s="27"/>
      <c r="J93" s="186"/>
      <c r="K93" s="394"/>
      <c r="L93" s="394"/>
      <c r="M93" s="394"/>
      <c r="N93" s="394"/>
      <c r="O93" s="394"/>
      <c r="P93" s="394"/>
      <c r="Q93" s="394"/>
      <c r="R93" s="394"/>
      <c r="S93" s="394"/>
      <c r="T93" s="190"/>
      <c r="U93" s="190"/>
      <c r="V93" s="190"/>
      <c r="W93" s="190"/>
      <c r="X93" s="190"/>
      <c r="Y93" s="190"/>
      <c r="Z93" s="190"/>
      <c r="AA93" s="190"/>
      <c r="AB93" s="190"/>
      <c r="AC93" s="190"/>
      <c r="AD93" s="190"/>
      <c r="AE93" s="190"/>
      <c r="AF93" s="190"/>
      <c r="AG93" s="190"/>
      <c r="AH93" s="190"/>
      <c r="AI93" s="292"/>
    </row>
    <row r="94" spans="1:35" s="183" customFormat="1" ht="18" customHeight="1">
      <c r="A94" s="175"/>
      <c r="B94" s="175"/>
      <c r="C94" s="175" t="s">
        <v>2502</v>
      </c>
      <c r="D94" s="175"/>
      <c r="E94" s="393"/>
      <c r="F94" s="394"/>
      <c r="G94" s="394"/>
      <c r="H94" s="394"/>
      <c r="I94" s="27"/>
      <c r="J94" s="186"/>
      <c r="K94" s="394"/>
      <c r="L94" s="394"/>
      <c r="M94" s="394"/>
      <c r="N94" s="394"/>
      <c r="O94" s="394"/>
      <c r="P94" s="394"/>
      <c r="Q94" s="394"/>
      <c r="R94" s="394"/>
      <c r="S94" s="394"/>
      <c r="T94" s="190"/>
      <c r="U94" s="190"/>
      <c r="V94" s="190"/>
      <c r="W94" s="190"/>
      <c r="X94" s="190"/>
      <c r="Y94" s="190"/>
      <c r="Z94" s="190"/>
      <c r="AA94" s="190"/>
      <c r="AB94" s="190"/>
      <c r="AC94" s="190"/>
      <c r="AD94" s="190"/>
      <c r="AE94" s="190"/>
      <c r="AF94" s="190"/>
      <c r="AG94" s="190"/>
      <c r="AH94" s="190"/>
      <c r="AI94" s="292"/>
    </row>
    <row r="95" spans="1:35" s="183" customFormat="1" ht="18" customHeight="1">
      <c r="A95" s="175"/>
      <c r="B95" s="175"/>
      <c r="C95" s="175"/>
      <c r="D95" s="175"/>
      <c r="E95" s="393"/>
      <c r="F95" s="394"/>
      <c r="G95" s="394"/>
      <c r="H95" s="394"/>
      <c r="I95" s="27"/>
      <c r="J95" s="186"/>
      <c r="K95" s="394"/>
      <c r="L95" s="394"/>
      <c r="M95" s="394"/>
      <c r="N95" s="394"/>
      <c r="O95" s="394"/>
      <c r="P95" s="394"/>
      <c r="Q95" s="394"/>
      <c r="R95" s="394"/>
      <c r="S95" s="394"/>
      <c r="T95" s="190"/>
      <c r="U95" s="190"/>
      <c r="V95" s="190"/>
      <c r="W95" s="190"/>
      <c r="X95" s="190"/>
      <c r="Y95" s="190"/>
      <c r="Z95" s="190"/>
      <c r="AA95" s="190"/>
      <c r="AB95" s="190"/>
      <c r="AC95" s="190"/>
      <c r="AD95" s="190"/>
      <c r="AE95" s="190"/>
      <c r="AF95" s="190"/>
      <c r="AG95" s="190"/>
      <c r="AH95" s="190"/>
      <c r="AI95" s="292"/>
    </row>
    <row r="96" spans="1:35" s="183" customFormat="1" ht="18" customHeight="1">
      <c r="A96" s="175" t="s">
        <v>2271</v>
      </c>
      <c r="B96" s="175"/>
      <c r="C96" s="175"/>
      <c r="D96" s="175"/>
      <c r="E96" s="393"/>
      <c r="F96" s="394"/>
      <c r="G96" s="394"/>
      <c r="H96" s="394"/>
      <c r="I96" s="27"/>
      <c r="J96" s="186"/>
      <c r="K96" s="394"/>
      <c r="L96" s="394"/>
      <c r="M96" s="394"/>
      <c r="N96" s="394"/>
      <c r="O96" s="394"/>
      <c r="P96" s="394"/>
      <c r="Q96" s="394"/>
      <c r="R96" s="394"/>
      <c r="S96" s="394"/>
      <c r="T96" s="190"/>
      <c r="U96" s="190"/>
      <c r="V96" s="190"/>
      <c r="W96" s="190"/>
      <c r="X96" s="190"/>
      <c r="Y96" s="190"/>
      <c r="Z96" s="190"/>
      <c r="AA96" s="190"/>
      <c r="AB96" s="190"/>
      <c r="AC96" s="190"/>
      <c r="AD96" s="190"/>
      <c r="AE96" s="190"/>
      <c r="AF96" s="190"/>
      <c r="AG96" s="190"/>
      <c r="AH96" s="190"/>
      <c r="AI96" s="292"/>
    </row>
    <row r="97" spans="1:35" s="183" customFormat="1" ht="18" customHeight="1">
      <c r="A97" s="175"/>
      <c r="B97" s="175"/>
      <c r="C97" s="175"/>
      <c r="D97" s="175"/>
      <c r="E97" s="393"/>
      <c r="F97" s="394"/>
      <c r="G97" s="394"/>
      <c r="H97" s="394"/>
      <c r="I97" s="27"/>
      <c r="J97" s="186"/>
      <c r="K97" s="394"/>
      <c r="L97" s="394"/>
      <c r="M97" s="394"/>
      <c r="N97" s="394"/>
      <c r="O97" s="394"/>
      <c r="P97" s="394"/>
      <c r="Q97" s="394"/>
      <c r="R97" s="394"/>
      <c r="S97" s="394"/>
      <c r="T97" s="190"/>
      <c r="U97" s="190"/>
      <c r="V97" s="190"/>
      <c r="W97" s="190"/>
      <c r="X97" s="190"/>
      <c r="Y97" s="190"/>
      <c r="Z97" s="190"/>
      <c r="AA97" s="190"/>
      <c r="AB97" s="190"/>
      <c r="AC97" s="190"/>
      <c r="AD97" s="190"/>
      <c r="AE97" s="190"/>
      <c r="AF97" s="190"/>
      <c r="AG97" s="190"/>
      <c r="AH97" s="190"/>
      <c r="AI97" s="292"/>
    </row>
    <row r="98" spans="1:35" s="183" customFormat="1" ht="18" customHeight="1">
      <c r="A98" s="175" t="s">
        <v>2265</v>
      </c>
      <c r="B98" s="175"/>
      <c r="C98" s="175"/>
      <c r="D98" s="175"/>
      <c r="E98" s="385"/>
      <c r="F98" s="386"/>
      <c r="G98" s="386"/>
      <c r="H98" s="386"/>
      <c r="I98" s="27"/>
      <c r="J98" s="186"/>
      <c r="K98" s="386"/>
      <c r="L98" s="386"/>
      <c r="M98" s="386"/>
      <c r="N98" s="386"/>
      <c r="O98" s="386"/>
      <c r="P98" s="386"/>
      <c r="Q98" s="386"/>
      <c r="R98" s="386"/>
      <c r="S98" s="386"/>
      <c r="T98" s="190"/>
      <c r="U98" s="190"/>
      <c r="V98" s="190"/>
      <c r="W98" s="190"/>
      <c r="X98" s="190"/>
      <c r="Y98" s="190"/>
      <c r="Z98" s="190"/>
      <c r="AA98" s="190"/>
      <c r="AB98" s="190"/>
      <c r="AC98" s="190"/>
      <c r="AD98" s="190"/>
      <c r="AE98" s="190"/>
      <c r="AF98" s="190"/>
      <c r="AG98" s="190"/>
      <c r="AH98" s="190"/>
      <c r="AI98" s="292"/>
    </row>
    <row r="99" spans="1:35" s="183" customFormat="1" ht="18" customHeight="1">
      <c r="A99" s="194"/>
      <c r="B99" s="175"/>
      <c r="C99" s="175"/>
      <c r="D99" s="175"/>
      <c r="E99" s="267"/>
      <c r="F99" s="181"/>
      <c r="G99" s="181"/>
      <c r="H99" s="307"/>
      <c r="I99" s="27"/>
      <c r="J99" s="186"/>
      <c r="K99" s="181"/>
      <c r="L99" s="371"/>
      <c r="M99" s="355"/>
      <c r="N99" s="181"/>
      <c r="O99" s="181"/>
      <c r="P99" s="181"/>
      <c r="Q99" s="181"/>
      <c r="R99" s="181"/>
      <c r="S99" s="181"/>
      <c r="T99" s="190"/>
      <c r="U99" s="190"/>
      <c r="V99" s="190"/>
      <c r="W99" s="190"/>
      <c r="X99" s="190"/>
      <c r="Y99" s="190"/>
      <c r="Z99" s="190"/>
      <c r="AA99" s="190"/>
      <c r="AB99" s="190"/>
      <c r="AC99" s="190"/>
      <c r="AD99" s="190"/>
      <c r="AE99" s="190"/>
      <c r="AF99" s="190"/>
      <c r="AG99" s="190"/>
      <c r="AH99" s="190"/>
      <c r="AI99" s="292"/>
    </row>
    <row r="100" spans="1:35" s="183" customFormat="1" ht="18" customHeight="1">
      <c r="A100" s="31" t="s">
        <v>1147</v>
      </c>
      <c r="B100" s="175"/>
      <c r="C100" s="175"/>
      <c r="D100" s="175"/>
      <c r="E100" s="267"/>
      <c r="F100" s="181"/>
      <c r="G100" s="181"/>
      <c r="H100" s="307"/>
      <c r="I100" s="27"/>
      <c r="J100" s="186"/>
      <c r="K100" s="181"/>
      <c r="L100" s="371"/>
      <c r="M100" s="355"/>
      <c r="N100" s="181"/>
      <c r="O100" s="181"/>
      <c r="P100" s="181"/>
      <c r="Q100" s="181"/>
      <c r="R100" s="181"/>
      <c r="S100" s="181"/>
      <c r="T100" s="190"/>
      <c r="U100" s="190"/>
      <c r="V100" s="190"/>
      <c r="W100" s="190"/>
      <c r="X100" s="190"/>
      <c r="Y100" s="190"/>
      <c r="Z100" s="190"/>
      <c r="AA100" s="190"/>
      <c r="AB100" s="190"/>
      <c r="AC100" s="190"/>
      <c r="AD100" s="190"/>
      <c r="AE100" s="190"/>
      <c r="AF100" s="190"/>
      <c r="AG100" s="190"/>
      <c r="AH100" s="190"/>
      <c r="AI100" s="292"/>
    </row>
    <row r="101" spans="1:35" s="183" customFormat="1" ht="18" customHeight="1">
      <c r="A101" s="194" t="s">
        <v>1358</v>
      </c>
      <c r="B101" s="175"/>
      <c r="C101" s="175"/>
      <c r="D101" s="175"/>
      <c r="E101" s="369"/>
      <c r="F101" s="371"/>
      <c r="G101" s="371"/>
      <c r="H101" s="307"/>
      <c r="I101" s="27"/>
      <c r="J101" s="186"/>
      <c r="K101" s="181"/>
      <c r="L101" s="371"/>
      <c r="M101" s="355"/>
      <c r="N101" s="181"/>
      <c r="O101" s="181"/>
      <c r="P101" s="181"/>
      <c r="Q101" s="181"/>
      <c r="R101" s="181"/>
      <c r="S101" s="181"/>
      <c r="T101" s="190"/>
      <c r="U101" s="190"/>
      <c r="V101" s="190"/>
      <c r="W101" s="190"/>
      <c r="X101" s="190"/>
      <c r="Y101" s="190"/>
      <c r="Z101" s="190"/>
      <c r="AA101" s="190"/>
      <c r="AB101" s="190"/>
      <c r="AC101" s="190"/>
      <c r="AD101" s="190"/>
      <c r="AE101" s="190"/>
      <c r="AF101" s="190"/>
      <c r="AG101" s="190"/>
      <c r="AH101" s="190"/>
      <c r="AI101" s="292"/>
    </row>
    <row r="102" spans="1:35" s="183" customFormat="1" ht="18" customHeight="1">
      <c r="A102" s="194" t="s">
        <v>1357</v>
      </c>
      <c r="B102" s="175"/>
      <c r="C102" s="175"/>
      <c r="D102" s="175"/>
      <c r="E102" s="371"/>
      <c r="F102" s="175"/>
      <c r="G102" s="175"/>
      <c r="H102" s="50"/>
      <c r="I102" s="190"/>
      <c r="J102" s="190"/>
      <c r="K102" s="190"/>
      <c r="L102" s="50"/>
      <c r="M102" s="50"/>
      <c r="N102" s="190"/>
      <c r="O102" s="190"/>
      <c r="P102" s="190"/>
      <c r="Q102" s="190"/>
      <c r="R102" s="190"/>
      <c r="S102" s="190"/>
      <c r="T102" s="190"/>
      <c r="U102" s="190"/>
      <c r="V102" s="190"/>
      <c r="W102" s="190"/>
      <c r="X102" s="190"/>
      <c r="Y102" s="190"/>
      <c r="Z102" s="190"/>
      <c r="AA102" s="190"/>
      <c r="AB102" s="190"/>
      <c r="AC102" s="190"/>
      <c r="AD102" s="190"/>
      <c r="AE102" s="190"/>
      <c r="AF102" s="190"/>
      <c r="AG102" s="190"/>
      <c r="AH102" s="190"/>
      <c r="AI102" s="292"/>
    </row>
    <row r="103" spans="1:35" s="183" customFormat="1" ht="18" customHeight="1">
      <c r="A103" s="194" t="s">
        <v>2223</v>
      </c>
      <c r="B103" s="175"/>
      <c r="C103" s="175"/>
      <c r="D103" s="175"/>
      <c r="E103" s="371"/>
      <c r="F103" s="175"/>
      <c r="G103" s="175"/>
      <c r="H103" s="50"/>
      <c r="I103" s="190"/>
      <c r="J103" s="190"/>
      <c r="K103" s="190"/>
      <c r="L103" s="50"/>
      <c r="M103" s="50"/>
      <c r="N103" s="190"/>
      <c r="O103" s="190"/>
      <c r="P103" s="190"/>
      <c r="Q103" s="190"/>
      <c r="R103" s="190"/>
      <c r="S103" s="190"/>
      <c r="T103" s="190"/>
      <c r="U103" s="190"/>
      <c r="V103" s="190"/>
      <c r="W103" s="190"/>
      <c r="X103" s="190"/>
      <c r="Y103" s="190"/>
      <c r="Z103" s="190"/>
      <c r="AA103" s="190"/>
      <c r="AB103" s="190"/>
      <c r="AC103" s="190"/>
      <c r="AD103" s="190"/>
      <c r="AE103" s="190"/>
      <c r="AF103" s="190"/>
      <c r="AG103" s="190"/>
      <c r="AH103" s="190"/>
      <c r="AI103" s="292"/>
    </row>
    <row r="104" spans="1:35" s="183" customFormat="1" ht="18" customHeight="1">
      <c r="A104" s="194" t="s">
        <v>1359</v>
      </c>
      <c r="B104" s="175"/>
      <c r="C104" s="175"/>
      <c r="D104" s="175"/>
      <c r="E104" s="371"/>
      <c r="F104" s="175"/>
      <c r="G104" s="175"/>
      <c r="H104" s="50"/>
      <c r="I104" s="190"/>
      <c r="J104" s="190"/>
      <c r="K104" s="190"/>
      <c r="L104" s="50"/>
      <c r="M104" s="50"/>
      <c r="N104" s="190"/>
      <c r="O104" s="190"/>
      <c r="P104" s="190"/>
      <c r="Q104" s="190"/>
      <c r="R104" s="190"/>
      <c r="S104" s="190"/>
      <c r="T104" s="190"/>
      <c r="U104" s="190"/>
      <c r="V104" s="190"/>
      <c r="W104" s="190"/>
      <c r="X104" s="190"/>
      <c r="Y104" s="190"/>
      <c r="Z104" s="190"/>
      <c r="AA104" s="190"/>
      <c r="AB104" s="190"/>
      <c r="AC104" s="190"/>
      <c r="AD104" s="190"/>
      <c r="AE104" s="190"/>
      <c r="AF104" s="190"/>
      <c r="AG104" s="190"/>
      <c r="AH104" s="190"/>
      <c r="AI104" s="292"/>
    </row>
    <row r="105" spans="1:35" s="183" customFormat="1" ht="18" customHeight="1">
      <c r="A105" s="194"/>
      <c r="B105" s="175"/>
      <c r="C105" s="175"/>
      <c r="D105" s="175"/>
      <c r="E105" s="371"/>
      <c r="F105" s="175"/>
      <c r="G105" s="175"/>
      <c r="H105" s="50"/>
      <c r="I105" s="190"/>
      <c r="J105" s="190"/>
      <c r="K105" s="190"/>
      <c r="L105" s="50"/>
      <c r="M105" s="50"/>
      <c r="N105" s="190"/>
      <c r="O105" s="190"/>
      <c r="P105" s="190"/>
      <c r="Q105" s="190"/>
      <c r="R105" s="190"/>
      <c r="S105" s="190"/>
      <c r="T105" s="190"/>
      <c r="U105" s="190"/>
      <c r="V105" s="190"/>
      <c r="W105" s="190"/>
      <c r="X105" s="190"/>
      <c r="Y105" s="190"/>
      <c r="Z105" s="190"/>
      <c r="AA105" s="190"/>
      <c r="AB105" s="190"/>
      <c r="AC105" s="190"/>
      <c r="AD105" s="190"/>
      <c r="AE105" s="190"/>
      <c r="AF105" s="190"/>
      <c r="AG105" s="190"/>
      <c r="AH105" s="190"/>
      <c r="AI105" s="292"/>
    </row>
    <row r="106" spans="1:35" s="183" customFormat="1" hidden="1">
      <c r="A106" s="175"/>
      <c r="B106" s="190"/>
      <c r="C106" s="190"/>
      <c r="D106" s="190"/>
      <c r="E106" s="50"/>
      <c r="F106" s="190"/>
      <c r="G106" s="190"/>
      <c r="H106" s="50"/>
      <c r="I106" s="190"/>
      <c r="J106" s="190"/>
      <c r="K106" s="190"/>
      <c r="L106" s="50"/>
      <c r="M106" s="50"/>
      <c r="N106" s="190"/>
      <c r="O106" s="190"/>
      <c r="P106" s="190"/>
      <c r="Q106" s="190"/>
      <c r="R106" s="190"/>
      <c r="S106" s="190"/>
      <c r="T106" s="190"/>
      <c r="U106" s="190"/>
      <c r="V106" s="190"/>
      <c r="W106" s="190"/>
      <c r="X106" s="190"/>
      <c r="Y106" s="190"/>
      <c r="Z106" s="190"/>
      <c r="AA106" s="190"/>
      <c r="AB106" s="190"/>
      <c r="AC106" s="190"/>
      <c r="AD106" s="190"/>
      <c r="AE106" s="190"/>
      <c r="AF106" s="190"/>
      <c r="AG106" s="190"/>
      <c r="AH106" s="190"/>
      <c r="AI106" s="292"/>
    </row>
    <row r="107" spans="1:35" s="183" customFormat="1" hidden="1">
      <c r="A107" s="190"/>
      <c r="B107" s="190"/>
      <c r="C107" s="190"/>
      <c r="D107" s="190"/>
      <c r="E107" s="50"/>
      <c r="F107" s="190"/>
      <c r="G107" s="190"/>
      <c r="H107" s="50"/>
      <c r="I107" s="190"/>
      <c r="J107" s="190"/>
      <c r="K107" s="190"/>
      <c r="L107" s="50"/>
      <c r="M107" s="50"/>
      <c r="N107" s="190"/>
      <c r="O107" s="190"/>
      <c r="P107" s="190"/>
      <c r="Q107" s="190"/>
      <c r="R107" s="190"/>
      <c r="S107" s="190"/>
      <c r="T107" s="190"/>
      <c r="U107" s="190"/>
      <c r="V107" s="190"/>
      <c r="W107" s="190"/>
      <c r="X107" s="190"/>
      <c r="Y107" s="190"/>
      <c r="Z107" s="190"/>
      <c r="AA107" s="190"/>
      <c r="AB107" s="190"/>
      <c r="AC107" s="190"/>
      <c r="AD107" s="190"/>
      <c r="AE107" s="190"/>
      <c r="AF107" s="190"/>
      <c r="AG107" s="190"/>
      <c r="AH107" s="190"/>
      <c r="AI107" s="292"/>
    </row>
  </sheetData>
  <mergeCells count="3">
    <mergeCell ref="I1:J1"/>
    <mergeCell ref="T2:T57"/>
    <mergeCell ref="AA2:AA57"/>
  </mergeCells>
  <phoneticPr fontId="2" type="noConversion"/>
  <conditionalFormatting sqref="I48:J57 I2:J46">
    <cfRule type="cellIs" dxfId="335" priority="81" operator="equal">
      <formula>"/"</formula>
    </cfRule>
    <cfRule type="cellIs" dxfId="334" priority="83" operator="lessThan">
      <formula>0</formula>
    </cfRule>
    <cfRule type="cellIs" dxfId="333" priority="84" operator="greaterThan">
      <formula>0</formula>
    </cfRule>
  </conditionalFormatting>
  <conditionalFormatting sqref="F2:G46">
    <cfRule type="expression" dxfId="5" priority="80">
      <formula>$I$1="差距(Median)"</formula>
    </cfRule>
  </conditionalFormatting>
  <conditionalFormatting sqref="G2:G46">
    <cfRule type="expression" dxfId="6" priority="67">
      <formula>$I$1="差距(LQ)"</formula>
    </cfRule>
  </conditionalFormatting>
  <conditionalFormatting sqref="L2:L46">
    <cfRule type="cellIs" dxfId="332" priority="64" operator="equal">
      <formula>2</formula>
    </cfRule>
    <cfRule type="cellIs" dxfId="331" priority="65" operator="equal">
      <formula>1</formula>
    </cfRule>
    <cfRule type="cellIs" dxfId="330" priority="66" operator="equal">
      <formula>0</formula>
    </cfRule>
  </conditionalFormatting>
  <conditionalFormatting sqref="L48:L57">
    <cfRule type="cellIs" dxfId="329" priority="8" operator="equal">
      <formula>2</formula>
    </cfRule>
    <cfRule type="cellIs" dxfId="328" priority="11" operator="equal">
      <formula>1</formula>
    </cfRule>
    <cfRule type="cellIs" dxfId="327" priority="12" operator="equal">
      <formula>0</formula>
    </cfRule>
  </conditionalFormatting>
  <conditionalFormatting sqref="AH2:AH57 U2:Z57 V2:AG2 AB3:AG57 A47:S57 A2:M46">
    <cfRule type="expression" dxfId="4" priority="1031">
      <formula>MOD(ROW(),2)=0</formula>
    </cfRule>
  </conditionalFormatting>
  <conditionalFormatting sqref="T2 AA2 AH2:AH57">
    <cfRule type="expression" dxfId="326" priority="6">
      <formula>TRUE</formula>
    </cfRule>
  </conditionalFormatting>
  <conditionalFormatting sqref="AI2:AI57">
    <cfRule type="expression" dxfId="325" priority="5">
      <formula>MOD(ROW(),2)=0</formula>
    </cfRule>
  </conditionalFormatting>
  <hyperlinks>
    <hyperlink ref="A102" r:id="rId1" xr:uid="{00000000-0004-0000-0900-000000000000}"/>
    <hyperlink ref="A101" r:id="rId2" xr:uid="{00000000-0004-0000-0900-000001000000}"/>
    <hyperlink ref="A104" r:id="rId3" xr:uid="{00000000-0004-0000-0900-000002000000}"/>
    <hyperlink ref="A103" r:id="rId4" xr:uid="{00000000-0004-0000-0900-000003000000}"/>
  </hyperlinks>
  <pageMargins left="0.7" right="0.7" top="0.75" bottom="0.75" header="0.3" footer="0.3"/>
  <pageSetup paperSize="9" orientation="portrait" horizontalDpi="1200" verticalDpi="1200" r:id="rId5"/>
  <legacyDrawing r:id="rId6"/>
  <extLst>
    <ext xmlns:x14="http://schemas.microsoft.com/office/spreadsheetml/2009/9/main" uri="{78C0D931-6437-407d-A8EE-F0AAD7539E65}">
      <x14:conditionalFormattings>
        <x14:conditionalFormatting xmlns:xm="http://schemas.microsoft.com/office/excel/2006/main">
          <x14:cfRule type="expression" priority="1" id="{B4012D41-6084-40AD-81C6-204342C59CB0}">
            <xm:f>入學要求!L88=0</xm:f>
            <x14:dxf>
              <font>
                <color rgb="FF9C0006"/>
              </font>
              <fill>
                <patternFill>
                  <bgColor rgb="FFFFC7CE"/>
                </patternFill>
              </fill>
            </x14:dxf>
          </x14:cfRule>
          <x14:cfRule type="expression" priority="1024" id="{A567C7BA-B852-4B65-9945-FBE8535FA66D}">
            <xm:f>入學要求!L88=2</xm:f>
            <x14:dxf>
              <font>
                <color rgb="FF9C5700"/>
              </font>
              <fill>
                <patternFill>
                  <bgColor rgb="FFFFEB9C"/>
                </patternFill>
              </fill>
            </x14:dxf>
          </x14:cfRule>
          <x14:cfRule type="expression" priority="1025" id="{E10EFC83-0DAD-42DB-9184-0927575C9F4A}">
            <xm:f>入學要求!L88=1</xm:f>
            <x14:dxf>
              <font>
                <color rgb="FF006100"/>
              </font>
              <fill>
                <patternFill>
                  <bgColor rgb="FFC6EFCE"/>
                </patternFill>
              </fill>
            </x14:dxf>
          </x14:cfRule>
          <xm:sqref>N48:R57 N2:S46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選單!$J$2:$J$3</xm:f>
          </x14:formula1>
          <xm:sqref>I1:J1</xm:sqref>
        </x14:dataValidation>
        <x14:dataValidation type="list" allowBlank="1" showInputMessage="1" showErrorMessage="1" xr:uid="{00000000-0002-0000-0900-000001000000}">
          <x14:formula1>
            <xm:f>選單!$I$1:$I$3</xm:f>
          </x14:formula1>
          <xm:sqref>T2:T57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0A00161B6D124EBFED7AE90E865BF4" ma:contentTypeVersion="13" ma:contentTypeDescription="Create a new document." ma:contentTypeScope="" ma:versionID="cc01b0f1623619cfba5d0b3bfed3ad63">
  <xsd:schema xmlns:xsd="http://www.w3.org/2001/XMLSchema" xmlns:xs="http://www.w3.org/2001/XMLSchema" xmlns:p="http://schemas.microsoft.com/office/2006/metadata/properties" xmlns:ns3="d0ea7274-d0ef-4ec7-8b2a-e2b30de4fb4b" xmlns:ns4="1142418a-007b-4663-b779-34027ba3bae5" targetNamespace="http://schemas.microsoft.com/office/2006/metadata/properties" ma:root="true" ma:fieldsID="203dfed78099555aa8a484f368a7d9c4" ns3:_="" ns4:_="">
    <xsd:import namespace="d0ea7274-d0ef-4ec7-8b2a-e2b30de4fb4b"/>
    <xsd:import namespace="1142418a-007b-4663-b779-34027ba3bae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ea7274-d0ef-4ec7-8b2a-e2b30de4fb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142418a-007b-4663-b779-34027ba3bae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D1491E-8C2D-436B-9EBC-4D92334E9983}">
  <ds:schemaRefs>
    <ds:schemaRef ds:uri="http://schemas.microsoft.com/office/2006/metadata/contentType"/>
    <ds:schemaRef ds:uri="http://schemas.microsoft.com/office/2006/metadata/properties/metaAttributes"/>
    <ds:schemaRef ds:uri="http://www.w3.org/2000/xmlns/"/>
    <ds:schemaRef ds:uri="http://www.w3.org/2001/XMLSchema"/>
    <ds:schemaRef ds:uri="d0ea7274-d0ef-4ec7-8b2a-e2b30de4fb4b"/>
    <ds:schemaRef ds:uri="1142418a-007b-4663-b779-34027ba3bae5"/>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14EC20A-D89C-4F0B-8816-AB5D261A2796}">
  <ds:schemaRefs>
    <ds:schemaRef ds:uri="http://schemas.microsoft.com/sharepoint/v3/contenttype/forms"/>
  </ds:schemaRefs>
</ds:datastoreItem>
</file>

<file path=customXml/itemProps3.xml><?xml version="1.0" encoding="utf-8"?>
<ds:datastoreItem xmlns:ds="http://schemas.openxmlformats.org/officeDocument/2006/customXml" ds:itemID="{E3933648-3F35-4F5C-AA06-88BFBCC5DBFE}">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具名範圍</vt:lpstr>
      </vt:variant>
      <vt:variant>
        <vt:i4>9</vt:i4>
      </vt:variant>
    </vt:vector>
  </HeadingPairs>
  <TitlesOfParts>
    <vt:vector size="29" baseType="lpstr">
      <vt:lpstr>A123</vt:lpstr>
      <vt:lpstr>Retake</vt:lpstr>
      <vt:lpstr>入學要求</vt:lpstr>
      <vt:lpstr>主頁</vt:lpstr>
      <vt:lpstr>CityU</vt:lpstr>
      <vt:lpstr>HKBU</vt:lpstr>
      <vt:lpstr>選單</vt:lpstr>
      <vt:lpstr>Offer Statistics</vt:lpstr>
      <vt:lpstr>PolyU</vt:lpstr>
      <vt:lpstr>CUHK</vt:lpstr>
      <vt:lpstr>UST</vt:lpstr>
      <vt:lpstr>計分版</vt:lpstr>
      <vt:lpstr>HKU</vt:lpstr>
      <vt:lpstr>LingU</vt:lpstr>
      <vt:lpstr>EdUHK</vt:lpstr>
      <vt:lpstr>OUHK</vt:lpstr>
      <vt:lpstr>Programme List (2021)</vt:lpstr>
      <vt:lpstr>SSSDP</vt:lpstr>
      <vt:lpstr>PolyU 參考分數</vt:lpstr>
      <vt:lpstr>Retake 扣分</vt:lpstr>
      <vt:lpstr>丙類科目等級</vt:lpstr>
      <vt:lpstr>丙類選修科</vt:lpstr>
      <vt:lpstr>差</vt:lpstr>
      <vt:lpstr>差距ULM</vt:lpstr>
      <vt:lpstr>差距UML</vt:lpstr>
      <vt:lpstr>第二選修科</vt:lpstr>
      <vt:lpstr>第三選修科</vt:lpstr>
      <vt:lpstr>第四選修科</vt:lpstr>
      <vt:lpstr>等級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Chan</dc:creator>
  <cp:lastModifiedBy>Michael Chan</cp:lastModifiedBy>
  <dcterms:created xsi:type="dcterms:W3CDTF">2020-07-04T18:52:02Z</dcterms:created>
  <dcterms:modified xsi:type="dcterms:W3CDTF">2022-01-28T17:44:01Z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0x010100030A00161B6D124EBFED7AE90E865BF4</vt:lpwstr>
  </property>
</Properties>
</file>