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sys-my.sharepoint.com/personal/jayavaradhan_olivu_disys_com/Documents/Documents/Power BI/My Work/Rotary/"/>
    </mc:Choice>
  </mc:AlternateContent>
  <xr:revisionPtr revIDLastSave="22" documentId="8_{46EE97F5-8042-4EBC-9575-CD76E9B8BDE2}" xr6:coauthVersionLast="47" xr6:coauthVersionMax="47" xr10:uidLastSave="{034C241E-E390-464E-AFF7-77AD99F7BB30}"/>
  <bookViews>
    <workbookView xWindow="-108" yWindow="-108" windowWidth="23256" windowHeight="12456" activeTab="1" xr2:uid="{93D4BC4A-2E80-45D8-8BD2-8028852417A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8" i="1" l="1"/>
  <c r="A107" i="1"/>
  <c r="A106" i="1"/>
  <c r="A105" i="1"/>
  <c r="A104" i="1"/>
  <c r="A103" i="1"/>
  <c r="A102" i="1"/>
  <c r="A97" i="1"/>
  <c r="A96" i="1"/>
  <c r="A95" i="1"/>
  <c r="A94" i="1"/>
  <c r="A93" i="1"/>
  <c r="F84" i="1"/>
  <c r="D84" i="1"/>
  <c r="C84" i="1"/>
  <c r="B84" i="1"/>
  <c r="G82" i="1"/>
  <c r="G81" i="1"/>
  <c r="G80" i="1"/>
  <c r="G79" i="1"/>
  <c r="G77" i="1"/>
  <c r="E77" i="1"/>
  <c r="E84" i="1" s="1"/>
  <c r="F72" i="1"/>
  <c r="B72" i="1"/>
  <c r="E71" i="1"/>
  <c r="G71" i="1" s="1"/>
  <c r="D21" i="1" s="1"/>
  <c r="E70" i="1"/>
  <c r="G70" i="1" s="1"/>
  <c r="D19" i="1" s="1"/>
  <c r="G69" i="1"/>
  <c r="D20" i="1" s="1"/>
  <c r="E69" i="1"/>
  <c r="E68" i="1"/>
  <c r="G68" i="1" s="1"/>
  <c r="D28" i="1" s="1"/>
  <c r="G67" i="1"/>
  <c r="D27" i="1" s="1"/>
  <c r="E67" i="1"/>
  <c r="G66" i="1"/>
  <c r="G65" i="1"/>
  <c r="G64" i="1"/>
  <c r="E63" i="1"/>
  <c r="G63" i="1" s="1"/>
  <c r="E62" i="1"/>
  <c r="G62" i="1" s="1"/>
  <c r="E61" i="1"/>
  <c r="G60" i="1"/>
  <c r="D23" i="1" s="1"/>
  <c r="E60" i="1"/>
  <c r="I48" i="1"/>
  <c r="I45" i="1"/>
  <c r="I44" i="1"/>
  <c r="H32" i="1"/>
  <c r="G32" i="1"/>
  <c r="I32" i="1" s="1"/>
  <c r="M32" i="1" s="1"/>
  <c r="G31" i="1"/>
  <c r="I31" i="1" s="1"/>
  <c r="H30" i="1"/>
  <c r="G30" i="1"/>
  <c r="I30" i="1" s="1"/>
  <c r="G29" i="1"/>
  <c r="I29" i="1" s="1"/>
  <c r="H28" i="1"/>
  <c r="G28" i="1"/>
  <c r="H27" i="1"/>
  <c r="G27" i="1"/>
  <c r="H26" i="1"/>
  <c r="G26" i="1"/>
  <c r="I26" i="1" s="1"/>
  <c r="G25" i="1"/>
  <c r="I25" i="1" s="1"/>
  <c r="H20" i="1"/>
  <c r="C13" i="1" s="1"/>
  <c r="G20" i="1"/>
  <c r="I20" i="1" s="1"/>
  <c r="M20" i="1" s="1"/>
  <c r="G19" i="1"/>
  <c r="I19" i="1" s="1"/>
  <c r="M19" i="1" s="1"/>
  <c r="H18" i="1"/>
  <c r="C11" i="1" s="1"/>
  <c r="G18" i="1"/>
  <c r="I18" i="1" s="1"/>
  <c r="M18" i="1" s="1"/>
  <c r="H17" i="1"/>
  <c r="C10" i="1" s="1"/>
  <c r="G17" i="1"/>
  <c r="H16" i="1"/>
  <c r="G16" i="1"/>
  <c r="K14" i="1"/>
  <c r="B14" i="1"/>
  <c r="G13" i="1"/>
  <c r="B13" i="1" s="1"/>
  <c r="D13" i="1" s="1"/>
  <c r="G12" i="1"/>
  <c r="B12" i="1" s="1"/>
  <c r="D12" i="1" s="1"/>
  <c r="C12" i="1"/>
  <c r="G11" i="1"/>
  <c r="B11" i="1" s="1"/>
  <c r="G10" i="1"/>
  <c r="B10" i="1" s="1"/>
  <c r="H9" i="1"/>
  <c r="G9" i="1"/>
  <c r="B9" i="1" s="1"/>
  <c r="M29" i="1" l="1"/>
  <c r="B105" i="1" s="1"/>
  <c r="K19" i="1"/>
  <c r="L19" i="1" s="1"/>
  <c r="K16" i="1"/>
  <c r="M26" i="1"/>
  <c r="E72" i="1"/>
  <c r="I28" i="1"/>
  <c r="K18" i="1" s="1"/>
  <c r="L18" i="1" s="1"/>
  <c r="I16" i="1"/>
  <c r="M16" i="1" s="1"/>
  <c r="C9" i="1"/>
  <c r="D9" i="1" s="1"/>
  <c r="I17" i="1"/>
  <c r="M17" i="1" s="1"/>
  <c r="I27" i="1"/>
  <c r="K26" i="1"/>
  <c r="L26" i="1" s="1"/>
  <c r="D10" i="1"/>
  <c r="L16" i="1"/>
  <c r="B15" i="1"/>
  <c r="D11" i="1"/>
  <c r="K20" i="1"/>
  <c r="L20" i="1" s="1"/>
  <c r="M30" i="1"/>
  <c r="K17" i="1"/>
  <c r="L17" i="1" s="1"/>
  <c r="M27" i="1"/>
  <c r="G84" i="1"/>
  <c r="D29" i="1" s="1"/>
  <c r="M31" i="1"/>
  <c r="K24" i="1"/>
  <c r="L24" i="1" s="1"/>
  <c r="G72" i="1"/>
  <c r="I9" i="1"/>
  <c r="I10" i="1"/>
  <c r="I11" i="1"/>
  <c r="I12" i="1"/>
  <c r="I13" i="1"/>
  <c r="G61" i="1"/>
  <c r="D26" i="1" s="1"/>
  <c r="G78" i="1"/>
  <c r="D30" i="1" s="1"/>
  <c r="G22" i="1"/>
  <c r="G38" i="1"/>
  <c r="H38" i="1"/>
  <c r="H22" i="1"/>
  <c r="M28" i="1" l="1"/>
  <c r="H35" i="1"/>
  <c r="G35" i="1"/>
  <c r="I35" i="1" s="1"/>
  <c r="M34" i="1" s="1"/>
  <c r="B102" i="1"/>
  <c r="C15" i="1"/>
  <c r="M13" i="1"/>
  <c r="B97" i="1" s="1"/>
  <c r="K13" i="1"/>
  <c r="L13" i="1" s="1"/>
  <c r="H36" i="1"/>
  <c r="G36" i="1"/>
  <c r="B103" i="1"/>
  <c r="M11" i="1"/>
  <c r="B95" i="1" s="1"/>
  <c r="K11" i="1"/>
  <c r="L11" i="1" s="1"/>
  <c r="I38" i="1"/>
  <c r="M37" i="1" s="1"/>
  <c r="H39" i="1"/>
  <c r="B106" i="1"/>
  <c r="G39" i="1"/>
  <c r="M9" i="1"/>
  <c r="B93" i="1" s="1"/>
  <c r="K9" i="1"/>
  <c r="L9" i="1" s="1"/>
  <c r="I22" i="1"/>
  <c r="M12" i="1"/>
  <c r="B96" i="1" s="1"/>
  <c r="K12" i="1"/>
  <c r="L12" i="1" s="1"/>
  <c r="M10" i="1"/>
  <c r="B94" i="1" s="1"/>
  <c r="K10" i="1"/>
  <c r="L10" i="1" s="1"/>
  <c r="H40" i="1"/>
  <c r="G40" i="1"/>
  <c r="I40" i="1" s="1"/>
  <c r="M39" i="1" s="1"/>
  <c r="B107" i="1"/>
  <c r="D15" i="1"/>
  <c r="D42" i="1" s="1"/>
  <c r="B104" i="1"/>
  <c r="H37" i="1"/>
  <c r="H47" i="1" s="1"/>
  <c r="G37" i="1"/>
  <c r="I37" i="1" s="1"/>
  <c r="M36" i="1" s="1"/>
  <c r="B108" i="1"/>
  <c r="H41" i="1"/>
  <c r="G41" i="1"/>
  <c r="I41" i="1" s="1"/>
  <c r="M40" i="1" s="1"/>
  <c r="B110" i="1" l="1"/>
  <c r="I36" i="1"/>
  <c r="M35" i="1" s="1"/>
  <c r="G47" i="1"/>
  <c r="I39" i="1"/>
  <c r="M38" i="1" s="1"/>
  <c r="K22" i="1"/>
  <c r="K46" i="1" s="1"/>
  <c r="L22" i="1"/>
  <c r="L30" i="1" s="1"/>
  <c r="B99" i="1"/>
  <c r="I47" i="1" l="1"/>
  <c r="D45" i="1" s="1"/>
  <c r="D47" i="1" s="1"/>
  <c r="J30" i="1"/>
  <c r="J46" i="1" s="1"/>
  <c r="B113" i="1"/>
</calcChain>
</file>

<file path=xl/sharedStrings.xml><?xml version="1.0" encoding="utf-8"?>
<sst xmlns="http://schemas.openxmlformats.org/spreadsheetml/2006/main" count="159" uniqueCount="119">
  <si>
    <t>ROTARY CLUB OF AMBATTUR</t>
  </si>
  <si>
    <t>BUDGET FOR THE YEAR 2024 25</t>
  </si>
  <si>
    <t>PROJECTED INCOME AND EXPENDITURE ACCOUNT FOR THE YEAR ENDED 2024-25</t>
  </si>
  <si>
    <t>BUDGET 2024-25</t>
  </si>
  <si>
    <t>For</t>
  </si>
  <si>
    <t>EXPENDITURE</t>
  </si>
  <si>
    <t>I HALF</t>
  </si>
  <si>
    <t>II HALF</t>
  </si>
  <si>
    <t>BUDGET</t>
  </si>
  <si>
    <t>ACTUALS(RS.)</t>
  </si>
  <si>
    <t>INCOME</t>
  </si>
  <si>
    <t>New Members</t>
  </si>
  <si>
    <t>Per capita</t>
  </si>
  <si>
    <t>AMOUNT(RS.)</t>
  </si>
  <si>
    <t>REIMBURSEMENTS PAYABLE FOR EXISTING MEMBERS</t>
  </si>
  <si>
    <t>COLLECTION FROM EXISTING MEMBERS TOWARDS REIMBURSEMENT</t>
  </si>
  <si>
    <t>ROTARY INTERNATIONAL PER CAPITA DUES</t>
  </si>
  <si>
    <t xml:space="preserve">ROTARY INTERNATIONAL PER CAPITA DUES </t>
  </si>
  <si>
    <t>DISTRICT FUND</t>
  </si>
  <si>
    <t>DISTRICT SUBSCRIPTION</t>
  </si>
  <si>
    <t>ROTARY NEWS SUBSCRIPTION</t>
  </si>
  <si>
    <t>R I COUNCIL ON LEGISLATION</t>
  </si>
  <si>
    <t xml:space="preserve">R I COUNCIL ON LEGISLATION </t>
  </si>
  <si>
    <t xml:space="preserve">CONTRIBUTION TO ROTARY FOUNDATION </t>
  </si>
  <si>
    <t>TOTAL  REIMBURSEMENT PAYABLE</t>
  </si>
  <si>
    <t>COLLECTION FROM NEW MEMBERS TOWARDS REIMBURSEMENT</t>
  </si>
  <si>
    <t xml:space="preserve">INSTALLATION MEETING EXPENSES </t>
  </si>
  <si>
    <t>GOVERNORS' VISIT EXPENSES</t>
  </si>
  <si>
    <t>CHARTER NIGHT EXPENSES</t>
  </si>
  <si>
    <t>TOTAL  REIMBURSEMENT COLLECTIONS</t>
  </si>
  <si>
    <t>AWARD MEETING EXPENSES</t>
  </si>
  <si>
    <t xml:space="preserve">OTHER COLLECTIONS FROM EXISTING MEMBERS </t>
  </si>
  <si>
    <t>Entrance fees</t>
  </si>
  <si>
    <t>WEEKLY MEETING EXPENSES</t>
  </si>
  <si>
    <t>CLUB SUBSCRIPTION</t>
  </si>
  <si>
    <t>MOVIE MEETING EXPENSES</t>
  </si>
  <si>
    <t>FELLOWSHIP CHARGES</t>
  </si>
  <si>
    <t>PROJECT MEETINGS AT SITE</t>
  </si>
  <si>
    <t>SPECIAL ANNUAL MEETINGS LIKE INSTALLATION, GOVERNOR'S VISIT</t>
  </si>
  <si>
    <t>PHOTOS, BANNERS &amp; AUDIO VISUAL</t>
  </si>
  <si>
    <t>CONTRIBUTION TO SCAW MEETING</t>
  </si>
  <si>
    <t>MOMENTOS AND AWARD PLAQUES</t>
  </si>
  <si>
    <t>MOMENTO CONTRIBUTION</t>
  </si>
  <si>
    <t>ROSTER</t>
  </si>
  <si>
    <t>ROSTER SUBSCRIPTION</t>
  </si>
  <si>
    <t>AMBER</t>
  </si>
  <si>
    <t>AMBER CHARGES</t>
  </si>
  <si>
    <t>BANK CHARGES</t>
  </si>
  <si>
    <t>POSTAGE</t>
  </si>
  <si>
    <t xml:space="preserve">OTHER COLLECTIONS FROM NEW MEMBERS </t>
  </si>
  <si>
    <t>WEB SITE EXPENSES</t>
  </si>
  <si>
    <t>PRINTING &amp; STATIONERY</t>
  </si>
  <si>
    <t>AUDIT FEES</t>
  </si>
  <si>
    <t>CONTRIBUTION TO DISTRICT PROJECTS, INTERACTS, ROTARACT PROJECTS</t>
  </si>
  <si>
    <t>SUNDRY EXPS AND CONTINGENCIES</t>
  </si>
  <si>
    <t>Contribution to PETS</t>
  </si>
  <si>
    <t>TOTAL EXPENSES</t>
  </si>
  <si>
    <t>OTHER INCOME</t>
  </si>
  <si>
    <t>SUNSHINE COLLECTIONS</t>
  </si>
  <si>
    <t>EXCESS OF INCOME OVER EXPENSES</t>
  </si>
  <si>
    <t xml:space="preserve">INTEREST </t>
  </si>
  <si>
    <t>------------------</t>
  </si>
  <si>
    <t xml:space="preserve">Fellowship charges budget </t>
  </si>
  <si>
    <t>In Rs.</t>
  </si>
  <si>
    <t>TITLE</t>
  </si>
  <si>
    <t>NUMBER OF MEETINGS</t>
  </si>
  <si>
    <t>PERSONS</t>
  </si>
  <si>
    <t>RATE</t>
  </si>
  <si>
    <t>TOTAL</t>
  </si>
  <si>
    <t>FELLOWSHIP</t>
  </si>
  <si>
    <t>GRAND TOTAL</t>
  </si>
  <si>
    <t>Awards</t>
  </si>
  <si>
    <t>Weekly meets - High Tea</t>
  </si>
  <si>
    <t xml:space="preserve">Weekly meets - Dinner and family </t>
  </si>
  <si>
    <t>Weekly Meeting - Virtual</t>
  </si>
  <si>
    <t>District Conference</t>
  </si>
  <si>
    <t>Dandiya</t>
  </si>
  <si>
    <t>Sponsored meetings</t>
  </si>
  <si>
    <t>Movie/Musical Entertainment Meetings</t>
  </si>
  <si>
    <t>Project Meetings at Site</t>
  </si>
  <si>
    <t>Gov.visit  Expenses</t>
  </si>
  <si>
    <t>Installation Expenses</t>
  </si>
  <si>
    <t>Charter Night</t>
  </si>
  <si>
    <t>INSTALLATION</t>
  </si>
  <si>
    <t>CHARTER NIGHT</t>
  </si>
  <si>
    <t>GOV VISIT EXP</t>
  </si>
  <si>
    <t>OTHER MEETINGS</t>
  </si>
  <si>
    <t>AWARD FUNCTION</t>
  </si>
  <si>
    <t>OHP , Mike and sound system</t>
  </si>
  <si>
    <t>Momento and plaques</t>
  </si>
  <si>
    <t>Pins for board members</t>
  </si>
  <si>
    <t>Invitation printing and postage</t>
  </si>
  <si>
    <t>Banner</t>
  </si>
  <si>
    <t>Still Photograph</t>
  </si>
  <si>
    <t>---------------</t>
  </si>
  <si>
    <t>Billing</t>
  </si>
  <si>
    <t>============</t>
  </si>
  <si>
    <t>Amount Collected and Trfed to RI - A</t>
  </si>
  <si>
    <t>Club Collections</t>
  </si>
  <si>
    <t>Amount Collected for Club Subscriptons  - B</t>
  </si>
  <si>
    <t>Grand Total - A+B</t>
  </si>
  <si>
    <t>Billing restricted to</t>
  </si>
  <si>
    <t>1st Half</t>
  </si>
  <si>
    <t>2nd Half</t>
  </si>
  <si>
    <t>Major assumptions</t>
  </si>
  <si>
    <t>Fellowship increased from Rs 14000 to Rs 14700 per member</t>
  </si>
  <si>
    <t>Contribution for special meetings increased from RS 5000 to 5500 per member</t>
  </si>
  <si>
    <t>RI dues increased from $71 to $75 as per instructions from RI</t>
  </si>
  <si>
    <t>US Exchange rate taken at Rs 83 to a dollar</t>
  </si>
  <si>
    <t>2 members will be added immediately who will pay for the entire year.</t>
  </si>
  <si>
    <t xml:space="preserve">5 new members considered who will pay for the full year </t>
  </si>
  <si>
    <t>Marginal increase in costs taken for Misc, weekly meeting expesnes, family meeting expenses etc</t>
  </si>
  <si>
    <t>26 weekly meetings will be either with dinner or high tea.</t>
  </si>
  <si>
    <t>Award function considered with an estimated exp of Rs 1.23 lakhs</t>
  </si>
  <si>
    <t>for 2 senior members all charges except fellowship charges considered as income</t>
  </si>
  <si>
    <t>for 1 rotractor who joined last year, only reimbursibles collection considered as per rules of RCA</t>
  </si>
  <si>
    <t>All three rotractor turned rotarians are considered as regular members and full subscription considered</t>
  </si>
  <si>
    <t>2 deletions from the list as on 30/6 considered and 2 immediate replacements considered.</t>
  </si>
  <si>
    <t>Contribution to projects taken at last year's level as it seems the trust cannot pay to the RCA but only directly for a specific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</si>
</sst>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@Arial Unicode MS"/>
      <family val="2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3" fillId="0" borderId="6" xfId="0" applyFont="1" applyBorder="1" applyAlignment="1">
      <alignment wrapText="1"/>
    </xf>
    <xf numFmtId="0" fontId="2" fillId="0" borderId="0" xfId="0" applyFont="1"/>
    <xf numFmtId="0" fontId="4" fillId="0" borderId="4" xfId="0" applyFont="1" applyBorder="1"/>
    <xf numFmtId="0" fontId="4" fillId="0" borderId="4" xfId="0" applyFont="1" applyBorder="1" applyAlignment="1">
      <alignment horizontal="left"/>
    </xf>
    <xf numFmtId="165" fontId="2" fillId="0" borderId="4" xfId="1" applyNumberFormat="1" applyFont="1" applyFill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3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0" fontId="3" fillId="0" borderId="6" xfId="0" applyFont="1" applyBorder="1"/>
    <xf numFmtId="0" fontId="6" fillId="0" borderId="6" xfId="0" applyFont="1" applyBorder="1"/>
    <xf numFmtId="3" fontId="3" fillId="0" borderId="6" xfId="0" applyNumberFormat="1" applyFont="1" applyBorder="1"/>
    <xf numFmtId="165" fontId="3" fillId="0" borderId="6" xfId="1" applyNumberFormat="1" applyFont="1" applyFill="1" applyBorder="1" applyAlignment="1">
      <alignment wrapText="1"/>
    </xf>
    <xf numFmtId="165" fontId="3" fillId="0" borderId="6" xfId="1" applyNumberFormat="1" applyFont="1" applyFill="1" applyBorder="1"/>
    <xf numFmtId="43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3" fillId="0" borderId="6" xfId="0" applyFont="1" applyBorder="1" applyAlignment="1">
      <alignment vertical="center"/>
    </xf>
    <xf numFmtId="165" fontId="3" fillId="0" borderId="6" xfId="1" applyNumberFormat="1" applyFont="1" applyFill="1" applyBorder="1" applyAlignment="1">
      <alignment vertical="center"/>
    </xf>
    <xf numFmtId="166" fontId="3" fillId="0" borderId="0" xfId="0" applyNumberFormat="1" applyFont="1" applyAlignment="1">
      <alignment vertical="center"/>
    </xf>
    <xf numFmtId="165" fontId="3" fillId="0" borderId="6" xfId="1" applyNumberFormat="1" applyFont="1" applyBorder="1"/>
    <xf numFmtId="165" fontId="6" fillId="0" borderId="6" xfId="1" applyNumberFormat="1" applyFont="1" applyFill="1" applyBorder="1" applyAlignment="1">
      <alignment wrapText="1"/>
    </xf>
    <xf numFmtId="3" fontId="3" fillId="0" borderId="0" xfId="0" applyNumberFormat="1" applyFont="1"/>
    <xf numFmtId="0" fontId="6" fillId="0" borderId="6" xfId="0" applyFont="1" applyBorder="1" applyAlignment="1">
      <alignment wrapText="1"/>
    </xf>
    <xf numFmtId="165" fontId="6" fillId="0" borderId="6" xfId="1" applyNumberFormat="1" applyFont="1" applyFill="1" applyBorder="1"/>
    <xf numFmtId="43" fontId="3" fillId="0" borderId="0" xfId="1" applyFont="1" applyFill="1"/>
    <xf numFmtId="0" fontId="3" fillId="0" borderId="6" xfId="0" applyFont="1" applyBorder="1" applyAlignment="1">
      <alignment horizontal="left" vertical="top"/>
    </xf>
    <xf numFmtId="0" fontId="3" fillId="0" borderId="5" xfId="0" applyFont="1" applyBorder="1"/>
    <xf numFmtId="165" fontId="3" fillId="0" borderId="7" xfId="1" applyNumberFormat="1" applyFont="1" applyFill="1" applyBorder="1"/>
    <xf numFmtId="4" fontId="3" fillId="0" borderId="6" xfId="0" applyNumberFormat="1" applyFont="1" applyBorder="1"/>
    <xf numFmtId="165" fontId="3" fillId="0" borderId="6" xfId="0" applyNumberFormat="1" applyFont="1" applyBorder="1"/>
    <xf numFmtId="165" fontId="3" fillId="0" borderId="0" xfId="1" applyNumberFormat="1" applyFont="1" applyFill="1"/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left" vertical="center"/>
    </xf>
    <xf numFmtId="165" fontId="3" fillId="0" borderId="0" xfId="1" applyNumberFormat="1" applyFont="1" applyFill="1" applyBorder="1"/>
    <xf numFmtId="166" fontId="3" fillId="0" borderId="6" xfId="0" applyNumberFormat="1" applyFont="1" applyBorder="1"/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/>
    <xf numFmtId="3" fontId="3" fillId="0" borderId="6" xfId="0" quotePrefix="1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3" fontId="6" fillId="0" borderId="6" xfId="0" applyNumberFormat="1" applyFont="1" applyBorder="1" applyAlignment="1">
      <alignment horizontal="right"/>
    </xf>
    <xf numFmtId="0" fontId="3" fillId="0" borderId="8" xfId="0" applyFont="1" applyBorder="1"/>
    <xf numFmtId="3" fontId="3" fillId="0" borderId="8" xfId="0" quotePrefix="1" applyNumberFormat="1" applyFont="1" applyBorder="1" applyAlignment="1">
      <alignment horizontal="right"/>
    </xf>
    <xf numFmtId="0" fontId="3" fillId="0" borderId="9" xfId="0" applyFont="1" applyBorder="1"/>
    <xf numFmtId="0" fontId="3" fillId="0" borderId="8" xfId="0" applyFont="1" applyBorder="1" applyAlignment="1">
      <alignment horizontal="right"/>
    </xf>
    <xf numFmtId="0" fontId="3" fillId="0" borderId="10" xfId="0" applyFont="1" applyBorder="1"/>
    <xf numFmtId="0" fontId="3" fillId="0" borderId="0" xfId="0" applyFont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right" wrapText="1"/>
    </xf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165" fontId="8" fillId="0" borderId="4" xfId="1" applyNumberFormat="1" applyFont="1" applyBorder="1"/>
    <xf numFmtId="165" fontId="8" fillId="0" borderId="4" xfId="1" applyNumberFormat="1" applyFont="1" applyFill="1" applyBorder="1"/>
    <xf numFmtId="165" fontId="3" fillId="0" borderId="4" xfId="1" applyNumberFormat="1" applyFont="1" applyFill="1" applyBorder="1"/>
    <xf numFmtId="165" fontId="3" fillId="0" borderId="4" xfId="1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165" fontId="3" fillId="0" borderId="4" xfId="1" applyNumberFormat="1" applyFont="1" applyBorder="1"/>
    <xf numFmtId="0" fontId="3" fillId="0" borderId="4" xfId="0" applyFont="1" applyBorder="1"/>
    <xf numFmtId="165" fontId="6" fillId="0" borderId="4" xfId="1" applyNumberFormat="1" applyFont="1" applyBorder="1"/>
    <xf numFmtId="165" fontId="6" fillId="0" borderId="4" xfId="1" applyNumberFormat="1" applyFont="1" applyFill="1" applyBorder="1"/>
    <xf numFmtId="165" fontId="6" fillId="0" borderId="4" xfId="0" applyNumberFormat="1" applyFont="1" applyBorder="1"/>
    <xf numFmtId="165" fontId="6" fillId="0" borderId="4" xfId="0" applyNumberFormat="1" applyFont="1" applyBorder="1" applyAlignment="1">
      <alignment horizontal="right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4" fontId="3" fillId="0" borderId="0" xfId="0" applyNumberFormat="1" applyFont="1"/>
    <xf numFmtId="0" fontId="3" fillId="0" borderId="0" xfId="0" quotePrefix="1" applyFont="1"/>
    <xf numFmtId="166" fontId="6" fillId="0" borderId="0" xfId="0" applyNumberFormat="1" applyFont="1"/>
    <xf numFmtId="0" fontId="6" fillId="0" borderId="0" xfId="0" applyFont="1"/>
    <xf numFmtId="165" fontId="3" fillId="0" borderId="0" xfId="1" applyNumberFormat="1" applyFont="1"/>
    <xf numFmtId="164" fontId="3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F3C0-592B-433F-A837-51285312908A}">
  <dimension ref="A1:B15"/>
  <sheetViews>
    <sheetView workbookViewId="0">
      <selection activeCell="G12" sqref="G12"/>
    </sheetView>
  </sheetViews>
  <sheetFormatPr defaultRowHeight="14.4"/>
  <sheetData>
    <row r="1" spans="1:2">
      <c r="A1" t="s">
        <v>104</v>
      </c>
    </row>
    <row r="2" spans="1:2">
      <c r="A2">
        <v>1</v>
      </c>
      <c r="B2" t="s">
        <v>105</v>
      </c>
    </row>
    <row r="3" spans="1:2">
      <c r="A3">
        <v>2</v>
      </c>
      <c r="B3" t="s">
        <v>106</v>
      </c>
    </row>
    <row r="4" spans="1:2">
      <c r="A4">
        <v>3</v>
      </c>
      <c r="B4" t="s">
        <v>107</v>
      </c>
    </row>
    <row r="5" spans="1:2">
      <c r="A5">
        <v>4</v>
      </c>
      <c r="B5" t="s">
        <v>108</v>
      </c>
    </row>
    <row r="6" spans="1:2">
      <c r="A6">
        <v>5</v>
      </c>
      <c r="B6" t="s">
        <v>109</v>
      </c>
    </row>
    <row r="7" spans="1:2">
      <c r="A7">
        <v>6</v>
      </c>
      <c r="B7" t="s">
        <v>110</v>
      </c>
    </row>
    <row r="8" spans="1:2">
      <c r="A8">
        <v>7</v>
      </c>
      <c r="B8" t="s">
        <v>111</v>
      </c>
    </row>
    <row r="9" spans="1:2">
      <c r="A9">
        <v>8</v>
      </c>
      <c r="B9" t="s">
        <v>112</v>
      </c>
    </row>
    <row r="10" spans="1:2">
      <c r="A10">
        <v>9</v>
      </c>
      <c r="B10" t="s">
        <v>113</v>
      </c>
    </row>
    <row r="11" spans="1:2">
      <c r="A11">
        <v>10</v>
      </c>
      <c r="B11" t="s">
        <v>114</v>
      </c>
    </row>
    <row r="12" spans="1:2">
      <c r="A12">
        <v>11</v>
      </c>
      <c r="B12" t="s">
        <v>115</v>
      </c>
    </row>
    <row r="13" spans="1:2">
      <c r="A13">
        <v>12</v>
      </c>
      <c r="B13" t="s">
        <v>116</v>
      </c>
    </row>
    <row r="14" spans="1:2">
      <c r="A14">
        <v>13</v>
      </c>
      <c r="B14" t="s">
        <v>117</v>
      </c>
    </row>
    <row r="15" spans="1:2">
      <c r="A15">
        <v>14</v>
      </c>
      <c r="B15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5F93-884D-4CDD-8856-66FEF869FB23}">
  <dimension ref="A1:N120"/>
  <sheetViews>
    <sheetView tabSelected="1" topLeftCell="A16" zoomScaleNormal="100" workbookViewId="0">
      <selection activeCell="D35" sqref="D35"/>
    </sheetView>
  </sheetViews>
  <sheetFormatPr defaultRowHeight="13.8"/>
  <cols>
    <col min="1" max="1" width="58.109375" style="11" bestFit="1" customWidth="1"/>
    <col min="2" max="2" width="13.5546875" style="11" bestFit="1" customWidth="1"/>
    <col min="3" max="3" width="14.77734375" style="11" bestFit="1" customWidth="1"/>
    <col min="4" max="4" width="13.44140625" style="11" bestFit="1" customWidth="1"/>
    <col min="5" max="5" width="16.21875" style="11" bestFit="1" customWidth="1"/>
    <col min="6" max="6" width="60.6640625" style="11" bestFit="1" customWidth="1"/>
    <col min="7" max="7" width="15.77734375" style="11" bestFit="1" customWidth="1"/>
    <col min="8" max="8" width="9.33203125" style="11" bestFit="1" customWidth="1"/>
    <col min="9" max="9" width="13.21875" style="11" bestFit="1" customWidth="1"/>
    <col min="10" max="10" width="12.88671875" style="11" bestFit="1" customWidth="1"/>
    <col min="11" max="11" width="11.33203125" style="11" bestFit="1" customWidth="1"/>
    <col min="12" max="12" width="13.77734375" style="11" bestFit="1" customWidth="1"/>
    <col min="13" max="13" width="9.44140625" style="11" bestFit="1" customWidth="1"/>
    <col min="14" max="14" width="3.33203125" style="11" bestFit="1" customWidth="1"/>
    <col min="15" max="16384" width="8.88671875" style="11"/>
  </cols>
  <sheetData>
    <row r="1" spans="1:14" ht="15.75" customHeight="1">
      <c r="A1" s="90" t="s">
        <v>0</v>
      </c>
      <c r="B1" s="91"/>
      <c r="C1" s="91"/>
      <c r="D1" s="91"/>
      <c r="E1" s="91"/>
      <c r="F1" s="91"/>
      <c r="G1" s="91"/>
      <c r="H1" s="91"/>
      <c r="I1" s="92"/>
      <c r="J1" s="1"/>
    </row>
    <row r="2" spans="1:14">
      <c r="A2" s="93" t="s">
        <v>1</v>
      </c>
      <c r="B2" s="94"/>
      <c r="C2" s="94"/>
      <c r="D2" s="94"/>
      <c r="E2" s="94"/>
      <c r="F2" s="94"/>
      <c r="G2" s="94"/>
      <c r="H2" s="94"/>
      <c r="I2" s="95"/>
      <c r="J2" s="12"/>
    </row>
    <row r="3" spans="1:14" ht="15" customHeight="1">
      <c r="A3" s="90" t="s">
        <v>2</v>
      </c>
      <c r="B3" s="91"/>
      <c r="C3" s="91"/>
      <c r="D3" s="91"/>
      <c r="E3" s="91"/>
      <c r="F3" s="91"/>
      <c r="G3" s="91"/>
      <c r="H3" s="91"/>
      <c r="I3" s="92"/>
      <c r="J3" s="1"/>
    </row>
    <row r="4" spans="1:14">
      <c r="A4" s="96" t="s">
        <v>3</v>
      </c>
      <c r="B4" s="97"/>
      <c r="C4" s="97"/>
      <c r="D4" s="97"/>
      <c r="E4" s="98"/>
      <c r="F4" s="96" t="s">
        <v>3</v>
      </c>
      <c r="G4" s="97"/>
      <c r="H4" s="97"/>
      <c r="I4" s="98"/>
      <c r="J4" s="2"/>
      <c r="L4" s="11" t="s">
        <v>4</v>
      </c>
    </row>
    <row r="5" spans="1:14">
      <c r="A5" s="13" t="s">
        <v>5</v>
      </c>
      <c r="B5" s="13" t="s">
        <v>6</v>
      </c>
      <c r="C5" s="13" t="s">
        <v>7</v>
      </c>
      <c r="D5" s="14" t="s">
        <v>8</v>
      </c>
      <c r="E5" s="14" t="s">
        <v>9</v>
      </c>
      <c r="F5" s="14" t="s">
        <v>10</v>
      </c>
      <c r="G5" s="15" t="s">
        <v>6</v>
      </c>
      <c r="H5" s="15" t="s">
        <v>7</v>
      </c>
      <c r="I5" s="15" t="s">
        <v>8</v>
      </c>
      <c r="J5" s="14" t="s">
        <v>9</v>
      </c>
      <c r="L5" s="16" t="s">
        <v>11</v>
      </c>
      <c r="M5" s="16" t="s">
        <v>12</v>
      </c>
    </row>
    <row r="6" spans="1:14">
      <c r="A6" s="14"/>
      <c r="B6" s="14"/>
      <c r="C6" s="14"/>
      <c r="D6" s="14" t="s">
        <v>13</v>
      </c>
      <c r="E6" s="14"/>
      <c r="F6" s="14"/>
      <c r="G6" s="14"/>
      <c r="H6" s="14"/>
      <c r="I6" s="14" t="s">
        <v>13</v>
      </c>
      <c r="J6" s="14"/>
      <c r="L6" s="11">
        <v>5</v>
      </c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4">
      <c r="A8" s="18" t="s">
        <v>14</v>
      </c>
      <c r="B8" s="17"/>
      <c r="C8" s="17"/>
      <c r="D8" s="19"/>
      <c r="E8" s="17"/>
      <c r="F8" s="18" t="s">
        <v>15</v>
      </c>
      <c r="G8" s="18"/>
      <c r="H8" s="18"/>
      <c r="I8" s="17"/>
      <c r="J8" s="17"/>
    </row>
    <row r="9" spans="1:14" ht="18" customHeight="1">
      <c r="A9" s="3" t="s">
        <v>16</v>
      </c>
      <c r="B9" s="20">
        <f t="shared" ref="B9:C13" si="0">G9+G16</f>
        <v>319064</v>
      </c>
      <c r="C9" s="20">
        <f t="shared" si="0"/>
        <v>76883</v>
      </c>
      <c r="D9" s="21">
        <f>SUM(B9:C9)</f>
        <v>395947</v>
      </c>
      <c r="E9" s="17"/>
      <c r="F9" s="3" t="s">
        <v>17</v>
      </c>
      <c r="G9" s="20">
        <f>+ROUND(((30*78.5*83)+(19*39.25*83))*1.18,0)</f>
        <v>303687</v>
      </c>
      <c r="H9" s="20">
        <f>+ROUND(19*39.25*83*1.18,0)</f>
        <v>73039</v>
      </c>
      <c r="I9" s="21">
        <f>+G9+H9</f>
        <v>376726</v>
      </c>
      <c r="J9" s="17"/>
      <c r="K9" s="22">
        <f>I9/52</f>
        <v>7244.7307692307695</v>
      </c>
      <c r="L9" s="23">
        <f t="shared" ref="L9:L13" si="1">K9*$L$6</f>
        <v>36223.653846153844</v>
      </c>
      <c r="M9" s="24">
        <f>I9/$N$9</f>
        <v>7688.2857142857147</v>
      </c>
      <c r="N9" s="11">
        <v>49</v>
      </c>
    </row>
    <row r="10" spans="1:14">
      <c r="A10" s="17" t="s">
        <v>18</v>
      </c>
      <c r="B10" s="20">
        <f t="shared" si="0"/>
        <v>45135</v>
      </c>
      <c r="C10" s="20">
        <f t="shared" si="0"/>
        <v>885</v>
      </c>
      <c r="D10" s="21">
        <f t="shared" ref="D10:D12" si="2">SUM(B10:C10)</f>
        <v>46020</v>
      </c>
      <c r="E10" s="17"/>
      <c r="F10" s="17" t="s">
        <v>19</v>
      </c>
      <c r="G10" s="21">
        <f>49*750*1.18</f>
        <v>43365</v>
      </c>
      <c r="H10" s="21">
        <v>0</v>
      </c>
      <c r="I10" s="21">
        <f>+G10+H10</f>
        <v>43365</v>
      </c>
      <c r="J10" s="17"/>
      <c r="K10" s="22">
        <f>I10/52</f>
        <v>833.94230769230774</v>
      </c>
      <c r="L10" s="23">
        <f>K10*$L$6</f>
        <v>4169.711538461539</v>
      </c>
      <c r="M10" s="24">
        <f t="shared" ref="M10:M12" si="3">I10/$N$9</f>
        <v>885</v>
      </c>
    </row>
    <row r="11" spans="1:14">
      <c r="A11" s="17" t="s">
        <v>20</v>
      </c>
      <c r="B11" s="20">
        <f t="shared" si="0"/>
        <v>25275.599999999999</v>
      </c>
      <c r="C11" s="20">
        <f t="shared" si="0"/>
        <v>495.59999999999997</v>
      </c>
      <c r="D11" s="21">
        <f t="shared" si="2"/>
        <v>25771.199999999997</v>
      </c>
      <c r="E11" s="17"/>
      <c r="F11" s="17" t="s">
        <v>20</v>
      </c>
      <c r="G11" s="21">
        <f>49*420*1.18</f>
        <v>24284.399999999998</v>
      </c>
      <c r="H11" s="21">
        <v>0</v>
      </c>
      <c r="I11" s="21">
        <f>+G11+H11</f>
        <v>24284.399999999998</v>
      </c>
      <c r="J11" s="17"/>
      <c r="K11" s="22">
        <f>I11/52</f>
        <v>467.00769230769225</v>
      </c>
      <c r="L11" s="23">
        <f>K11*$L$6</f>
        <v>2335.0384615384614</v>
      </c>
      <c r="M11" s="24">
        <f t="shared" si="3"/>
        <v>495.59999999999997</v>
      </c>
    </row>
    <row r="12" spans="1:14">
      <c r="A12" s="17" t="s">
        <v>21</v>
      </c>
      <c r="B12" s="20">
        <f t="shared" si="0"/>
        <v>4799</v>
      </c>
      <c r="C12" s="20">
        <f t="shared" si="0"/>
        <v>0</v>
      </c>
      <c r="D12" s="21">
        <f t="shared" si="2"/>
        <v>4799</v>
      </c>
      <c r="E12" s="17"/>
      <c r="F12" s="17" t="s">
        <v>22</v>
      </c>
      <c r="G12" s="21">
        <f>+ROUND((49*1*83)*1.18,0)</f>
        <v>4799</v>
      </c>
      <c r="H12" s="21">
        <v>0</v>
      </c>
      <c r="I12" s="21">
        <f>+G12+H12</f>
        <v>4799</v>
      </c>
      <c r="J12" s="17"/>
      <c r="K12" s="22">
        <f>I12/52</f>
        <v>92.288461538461533</v>
      </c>
      <c r="L12" s="23">
        <f t="shared" si="1"/>
        <v>461.44230769230768</v>
      </c>
      <c r="M12" s="24">
        <f t="shared" si="3"/>
        <v>97.938775510204081</v>
      </c>
    </row>
    <row r="13" spans="1:14">
      <c r="A13" s="3" t="s">
        <v>23</v>
      </c>
      <c r="B13" s="20">
        <f t="shared" si="0"/>
        <v>211650</v>
      </c>
      <c r="C13" s="20">
        <f t="shared" si="0"/>
        <v>4150</v>
      </c>
      <c r="D13" s="21">
        <f>+B13+C13</f>
        <v>215800</v>
      </c>
      <c r="E13" s="17"/>
      <c r="F13" s="25" t="s">
        <v>23</v>
      </c>
      <c r="G13" s="26">
        <f>+ROUND(49*50*83,0)</f>
        <v>203350</v>
      </c>
      <c r="H13" s="26">
        <v>0</v>
      </c>
      <c r="I13" s="26">
        <f>+G13+H13</f>
        <v>203350</v>
      </c>
      <c r="J13" s="17"/>
      <c r="K13" s="22">
        <f>I13/52</f>
        <v>3910.5769230769229</v>
      </c>
      <c r="L13" s="23">
        <f t="shared" si="1"/>
        <v>19552.884615384613</v>
      </c>
      <c r="M13" s="27">
        <f>I13/$N$9</f>
        <v>4150</v>
      </c>
    </row>
    <row r="14" spans="1:14">
      <c r="A14" s="17"/>
      <c r="B14" s="20">
        <f>G14+G24</f>
        <v>0</v>
      </c>
      <c r="C14" s="28"/>
      <c r="D14" s="21"/>
      <c r="E14" s="17"/>
      <c r="F14" s="17"/>
      <c r="G14" s="21"/>
      <c r="H14" s="21"/>
      <c r="I14" s="21"/>
      <c r="J14" s="17"/>
      <c r="K14" s="22">
        <f t="shared" ref="K14" si="4">I14/50</f>
        <v>0</v>
      </c>
    </row>
    <row r="15" spans="1:14">
      <c r="A15" s="18" t="s">
        <v>24</v>
      </c>
      <c r="B15" s="29">
        <f>SUM(B9:B14)</f>
        <v>605923.6</v>
      </c>
      <c r="C15" s="29">
        <f>SUM(C9:C14)</f>
        <v>82413.600000000006</v>
      </c>
      <c r="D15" s="29">
        <f>SUM(D9:D14)</f>
        <v>688337.2</v>
      </c>
      <c r="E15" s="17"/>
      <c r="F15" s="18" t="s">
        <v>25</v>
      </c>
      <c r="G15" s="18"/>
      <c r="H15" s="17"/>
      <c r="I15" s="19"/>
      <c r="J15" s="17"/>
      <c r="K15" s="30"/>
    </row>
    <row r="16" spans="1:14">
      <c r="B16" s="3"/>
      <c r="C16" s="3"/>
      <c r="D16" s="19"/>
      <c r="E16" s="17"/>
      <c r="F16" s="3" t="s">
        <v>17</v>
      </c>
      <c r="G16" s="20">
        <f>+ROUND(((2*78.5*83))*1.18,0)</f>
        <v>15377</v>
      </c>
      <c r="H16" s="20">
        <f>+ROUND(1*39.25*83*1.18,0)</f>
        <v>3844</v>
      </c>
      <c r="I16" s="21">
        <f>+G16+H16</f>
        <v>19221</v>
      </c>
      <c r="J16" s="17"/>
      <c r="K16" s="23">
        <f>I26/52</f>
        <v>2355.7692307692309</v>
      </c>
      <c r="L16" s="23">
        <f>K16*$L$6</f>
        <v>11778.846153846154</v>
      </c>
      <c r="M16" s="24">
        <f>I16/$N$16</f>
        <v>6407</v>
      </c>
      <c r="N16" s="11">
        <v>3</v>
      </c>
    </row>
    <row r="17" spans="1:14">
      <c r="A17" s="31"/>
      <c r="B17" s="3"/>
      <c r="C17" s="3"/>
      <c r="D17" s="19"/>
      <c r="E17" s="17"/>
      <c r="F17" s="17" t="s">
        <v>19</v>
      </c>
      <c r="G17" s="21">
        <f>2*750*1.18</f>
        <v>1770</v>
      </c>
      <c r="H17" s="21">
        <f>1*750*1.18</f>
        <v>885</v>
      </c>
      <c r="I17" s="21">
        <f>+G17+H17</f>
        <v>2655</v>
      </c>
      <c r="J17" s="17"/>
      <c r="K17" s="23">
        <f>I27/47</f>
        <v>12000</v>
      </c>
      <c r="L17" s="23">
        <f>K17*$L$6</f>
        <v>60000</v>
      </c>
      <c r="M17" s="24">
        <f>I17/$N$16</f>
        <v>885</v>
      </c>
    </row>
    <row r="18" spans="1:14">
      <c r="A18" s="31" t="s">
        <v>5</v>
      </c>
      <c r="B18" s="3"/>
      <c r="C18" s="3"/>
      <c r="D18" s="19"/>
      <c r="E18" s="17"/>
      <c r="F18" s="17" t="s">
        <v>20</v>
      </c>
      <c r="G18" s="21">
        <f>2*420*1.18</f>
        <v>991.19999999999993</v>
      </c>
      <c r="H18" s="21">
        <f>1*420*1.18</f>
        <v>495.59999999999997</v>
      </c>
      <c r="I18" s="21">
        <f>+G18+H18</f>
        <v>1486.8</v>
      </c>
      <c r="J18" s="17"/>
      <c r="K18" s="24">
        <f>I28/49</f>
        <v>5000</v>
      </c>
      <c r="L18" s="23">
        <f>K18*$L$6</f>
        <v>25000</v>
      </c>
      <c r="M18" s="24">
        <f>I18/$N$16</f>
        <v>495.59999999999997</v>
      </c>
    </row>
    <row r="19" spans="1:14">
      <c r="A19" s="3" t="s">
        <v>26</v>
      </c>
      <c r="B19" s="3"/>
      <c r="C19" s="3"/>
      <c r="D19" s="21">
        <f>ROUND(G70,-2)</f>
        <v>167500</v>
      </c>
      <c r="E19" s="17"/>
      <c r="F19" s="17" t="s">
        <v>22</v>
      </c>
      <c r="G19" s="21">
        <f>+ROUND((2*1*83)*0,0)</f>
        <v>0</v>
      </c>
      <c r="H19" s="21">
        <v>0</v>
      </c>
      <c r="I19" s="21">
        <f>+G19+H19</f>
        <v>0</v>
      </c>
      <c r="J19" s="17"/>
      <c r="K19" s="23">
        <f>I29/52</f>
        <v>1884.6153846153845</v>
      </c>
      <c r="L19" s="23">
        <f>K19*$L$6</f>
        <v>9423.076923076922</v>
      </c>
      <c r="M19" s="24">
        <f>I19/$N$16</f>
        <v>0</v>
      </c>
    </row>
    <row r="20" spans="1:14">
      <c r="A20" s="3" t="s">
        <v>27</v>
      </c>
      <c r="B20" s="3"/>
      <c r="C20" s="3"/>
      <c r="D20" s="21">
        <f>+G69</f>
        <v>127500</v>
      </c>
      <c r="E20" s="17"/>
      <c r="F20" s="17" t="s">
        <v>23</v>
      </c>
      <c r="G20" s="21">
        <f>+ROUND(2*50*83,0)</f>
        <v>8300</v>
      </c>
      <c r="H20" s="21">
        <f>+ROUND(1*50*83,0)</f>
        <v>4150</v>
      </c>
      <c r="I20" s="21">
        <f>+G20+H20</f>
        <v>12450</v>
      </c>
      <c r="J20" s="17"/>
      <c r="K20" s="23">
        <f>I30/52</f>
        <v>414.61538461538464</v>
      </c>
      <c r="L20" s="23">
        <f>K20*$L$6</f>
        <v>2073.0769230769233</v>
      </c>
      <c r="M20" s="24">
        <f>I20/$N$16</f>
        <v>4150</v>
      </c>
    </row>
    <row r="21" spans="1:14">
      <c r="A21" s="3" t="s">
        <v>28</v>
      </c>
      <c r="B21" s="3"/>
      <c r="C21" s="3"/>
      <c r="D21" s="21">
        <f>+G71</f>
        <v>110000</v>
      </c>
      <c r="E21" s="17"/>
      <c r="G21" s="21"/>
      <c r="H21" s="21"/>
      <c r="I21" s="21"/>
    </row>
    <row r="22" spans="1:14">
      <c r="A22" s="3"/>
      <c r="B22" s="3"/>
      <c r="C22" s="3"/>
      <c r="D22" s="21"/>
      <c r="E22" s="17"/>
      <c r="F22" s="18" t="s">
        <v>29</v>
      </c>
      <c r="G22" s="32">
        <f>SUM(G9:G21)</f>
        <v>605923.6</v>
      </c>
      <c r="H22" s="32">
        <f>SUM(H9:H21)</f>
        <v>82413.600000000006</v>
      </c>
      <c r="I22" s="32">
        <f>SUM(I9:I21)</f>
        <v>688337.20000000007</v>
      </c>
      <c r="J22" s="17"/>
      <c r="K22" s="33">
        <f>I22/52</f>
        <v>13237.253846153848</v>
      </c>
      <c r="L22" s="32">
        <f>SUM(L9:L14)</f>
        <v>62742.730769230766</v>
      </c>
      <c r="M22" s="24"/>
    </row>
    <row r="23" spans="1:14">
      <c r="A23" s="3" t="s">
        <v>30</v>
      </c>
      <c r="B23" s="3"/>
      <c r="C23" s="3"/>
      <c r="D23" s="21">
        <f>G60</f>
        <v>90000</v>
      </c>
      <c r="E23" s="17"/>
      <c r="G23" s="21"/>
      <c r="H23" s="21"/>
      <c r="I23" s="21"/>
    </row>
    <row r="24" spans="1:14">
      <c r="A24" s="3"/>
      <c r="B24" s="3"/>
      <c r="C24" s="3"/>
      <c r="D24" s="21"/>
      <c r="E24" s="17"/>
      <c r="F24" s="18" t="s">
        <v>31</v>
      </c>
      <c r="G24" s="21"/>
      <c r="H24" s="21"/>
      <c r="I24" s="21"/>
      <c r="J24" s="17"/>
      <c r="K24" s="23">
        <f>I31/52</f>
        <v>329.80769230769232</v>
      </c>
      <c r="L24" s="23">
        <f t="shared" ref="L24:L26" si="5">K24*$L$6</f>
        <v>1649.0384615384617</v>
      </c>
    </row>
    <row r="25" spans="1:14">
      <c r="A25" s="3"/>
      <c r="B25" s="3"/>
      <c r="C25" s="3"/>
      <c r="D25" s="21"/>
      <c r="E25" s="17"/>
      <c r="F25" s="17" t="s">
        <v>32</v>
      </c>
      <c r="G25" s="17">
        <f>2500*2</f>
        <v>5000</v>
      </c>
      <c r="H25" s="17">
        <v>2500</v>
      </c>
      <c r="I25" s="19">
        <f>G25+H25</f>
        <v>7500</v>
      </c>
      <c r="J25" s="17"/>
      <c r="K25" s="23"/>
      <c r="L25" s="23"/>
    </row>
    <row r="26" spans="1:14">
      <c r="A26" s="17" t="s">
        <v>33</v>
      </c>
      <c r="B26" s="3"/>
      <c r="C26" s="3"/>
      <c r="D26" s="21">
        <f>G61+G62</f>
        <v>385000</v>
      </c>
      <c r="E26" s="17"/>
      <c r="F26" s="17" t="s">
        <v>34</v>
      </c>
      <c r="G26" s="21">
        <f>(30*2500)+(19*1250)</f>
        <v>98750</v>
      </c>
      <c r="H26" s="21">
        <f>19*1250</f>
        <v>23750</v>
      </c>
      <c r="I26" s="21">
        <f>+G26+H26</f>
        <v>122500</v>
      </c>
      <c r="J26" s="17"/>
      <c r="K26" s="23">
        <f>I32/52</f>
        <v>518.26923076923072</v>
      </c>
      <c r="L26" s="23">
        <f t="shared" si="5"/>
        <v>2591.3461538461534</v>
      </c>
      <c r="M26" s="24">
        <f>I26/$N$26</f>
        <v>2500</v>
      </c>
      <c r="N26" s="11">
        <v>49</v>
      </c>
    </row>
    <row r="27" spans="1:14">
      <c r="A27" s="11" t="s">
        <v>35</v>
      </c>
      <c r="B27" s="3"/>
      <c r="C27" s="3"/>
      <c r="D27" s="23">
        <f>+G67</f>
        <v>30000</v>
      </c>
      <c r="E27" s="17"/>
      <c r="F27" s="17" t="s">
        <v>36</v>
      </c>
      <c r="G27" s="21">
        <f>30*12000+17*6000</f>
        <v>462000</v>
      </c>
      <c r="H27" s="21">
        <f>17*6000</f>
        <v>102000</v>
      </c>
      <c r="I27" s="21">
        <f>+G27+H27</f>
        <v>564000</v>
      </c>
      <c r="J27" s="17"/>
      <c r="M27" s="24">
        <f>I27/$N$27</f>
        <v>12000</v>
      </c>
      <c r="N27" s="11">
        <v>47</v>
      </c>
    </row>
    <row r="28" spans="1:14">
      <c r="A28" s="11" t="s">
        <v>37</v>
      </c>
      <c r="B28" s="3"/>
      <c r="C28" s="3"/>
      <c r="D28" s="23">
        <f>+G68</f>
        <v>20000</v>
      </c>
      <c r="E28" s="17"/>
      <c r="F28" s="17" t="s">
        <v>38</v>
      </c>
      <c r="G28" s="21">
        <f>30*5000+19*2500</f>
        <v>197500</v>
      </c>
      <c r="H28" s="21">
        <f>19*2500</f>
        <v>47500</v>
      </c>
      <c r="I28" s="21">
        <f t="shared" ref="I28:I30" si="6">+G28+H28</f>
        <v>245000</v>
      </c>
      <c r="J28" s="17"/>
      <c r="M28" s="24">
        <f>I28/$N$28</f>
        <v>5000</v>
      </c>
      <c r="N28" s="11">
        <v>49</v>
      </c>
    </row>
    <row r="29" spans="1:14">
      <c r="A29" s="34" t="s">
        <v>39</v>
      </c>
      <c r="B29" s="34"/>
      <c r="C29" s="34"/>
      <c r="D29" s="21">
        <f>+G84-G78</f>
        <v>27500</v>
      </c>
      <c r="E29" s="17"/>
      <c r="F29" s="35" t="s">
        <v>40</v>
      </c>
      <c r="G29" s="21">
        <f>49*2000</f>
        <v>98000</v>
      </c>
      <c r="H29" s="21">
        <v>0</v>
      </c>
      <c r="I29" s="36">
        <f>+G29+H29</f>
        <v>98000</v>
      </c>
      <c r="J29" s="37"/>
      <c r="M29" s="24">
        <f>I29/$N$26</f>
        <v>2000</v>
      </c>
      <c r="N29" s="11">
        <v>49</v>
      </c>
    </row>
    <row r="30" spans="1:14">
      <c r="A30" s="3" t="s">
        <v>41</v>
      </c>
      <c r="B30" s="3"/>
      <c r="C30" s="3"/>
      <c r="D30" s="21">
        <f>+G78</f>
        <v>31250</v>
      </c>
      <c r="E30" s="17"/>
      <c r="F30" s="17" t="s">
        <v>42</v>
      </c>
      <c r="G30" s="21">
        <f>30*440+19*220</f>
        <v>17380</v>
      </c>
      <c r="H30" s="21">
        <f>19*220</f>
        <v>4180</v>
      </c>
      <c r="I30" s="21">
        <f t="shared" si="6"/>
        <v>21560</v>
      </c>
      <c r="J30" s="38">
        <f>SUM(I22:I45)</f>
        <v>1884517.2000000002</v>
      </c>
      <c r="K30" s="39"/>
      <c r="L30" s="23">
        <f>SUM(L9:L26)</f>
        <v>238000.84615384619</v>
      </c>
      <c r="M30" s="24">
        <f t="shared" ref="M30:M31" si="7">I30/$N$26</f>
        <v>440</v>
      </c>
      <c r="N30" s="11">
        <v>49</v>
      </c>
    </row>
    <row r="31" spans="1:14">
      <c r="A31" s="3" t="s">
        <v>43</v>
      </c>
      <c r="B31" s="3"/>
      <c r="C31" s="3"/>
      <c r="D31" s="21">
        <v>35000</v>
      </c>
      <c r="E31" s="17"/>
      <c r="F31" s="17" t="s">
        <v>44</v>
      </c>
      <c r="G31" s="21">
        <f>49*350</f>
        <v>17150</v>
      </c>
      <c r="H31" s="21">
        <v>0</v>
      </c>
      <c r="I31" s="21">
        <f>+G31+H31</f>
        <v>17150</v>
      </c>
      <c r="J31" s="17"/>
      <c r="M31" s="24">
        <f t="shared" si="7"/>
        <v>350</v>
      </c>
      <c r="N31" s="11">
        <v>49</v>
      </c>
    </row>
    <row r="32" spans="1:14" ht="15" customHeight="1">
      <c r="A32" s="40" t="s">
        <v>45</v>
      </c>
      <c r="B32" s="3"/>
      <c r="C32" s="3"/>
      <c r="D32" s="21">
        <v>30000</v>
      </c>
      <c r="E32" s="17"/>
      <c r="F32" s="17" t="s">
        <v>46</v>
      </c>
      <c r="G32" s="21">
        <f>30*550+19*275</f>
        <v>21725</v>
      </c>
      <c r="H32" s="21">
        <f>19*275</f>
        <v>5225</v>
      </c>
      <c r="I32" s="21">
        <f>+G32+H32</f>
        <v>26950</v>
      </c>
      <c r="J32" s="17"/>
      <c r="M32" s="24">
        <f>I32/$N$26</f>
        <v>550</v>
      </c>
      <c r="N32" s="11">
        <v>49</v>
      </c>
    </row>
    <row r="33" spans="1:14">
      <c r="A33" s="41" t="s">
        <v>47</v>
      </c>
      <c r="B33" s="41"/>
      <c r="C33" s="41"/>
      <c r="D33" s="21">
        <v>1000</v>
      </c>
      <c r="E33" s="17"/>
      <c r="F33" s="17"/>
      <c r="G33" s="42"/>
      <c r="H33" s="42"/>
      <c r="I33" s="42"/>
      <c r="J33" s="17"/>
    </row>
    <row r="34" spans="1:14">
      <c r="A34" s="41" t="s">
        <v>48</v>
      </c>
      <c r="B34" s="41"/>
      <c r="C34" s="41"/>
      <c r="D34" s="21">
        <v>2000</v>
      </c>
      <c r="E34" s="17"/>
      <c r="F34" s="18" t="s">
        <v>49</v>
      </c>
      <c r="J34" s="17"/>
      <c r="M34" s="24">
        <f>I35/N34</f>
        <v>2500</v>
      </c>
      <c r="N34" s="11">
        <v>3</v>
      </c>
    </row>
    <row r="35" spans="1:14">
      <c r="A35" s="41" t="s">
        <v>50</v>
      </c>
      <c r="B35" s="41"/>
      <c r="C35" s="41"/>
      <c r="D35" s="21">
        <v>6000</v>
      </c>
      <c r="E35" s="17"/>
      <c r="F35" s="17" t="s">
        <v>34</v>
      </c>
      <c r="G35" s="43">
        <f>+M26*2</f>
        <v>5000</v>
      </c>
      <c r="H35" s="43">
        <f>+M26*1</f>
        <v>2500</v>
      </c>
      <c r="I35" s="21">
        <f t="shared" ref="I35:I41" si="8">+G35+H35</f>
        <v>7500</v>
      </c>
      <c r="J35" s="17"/>
      <c r="M35" s="24">
        <f t="shared" ref="M35:M39" si="9">I36/N35</f>
        <v>12000</v>
      </c>
      <c r="N35" s="11">
        <v>3</v>
      </c>
    </row>
    <row r="36" spans="1:14">
      <c r="A36" s="41" t="s">
        <v>51</v>
      </c>
      <c r="B36" s="41"/>
      <c r="C36" s="41"/>
      <c r="D36" s="21">
        <v>7500</v>
      </c>
      <c r="E36" s="17"/>
      <c r="F36" s="17" t="s">
        <v>36</v>
      </c>
      <c r="G36" s="43">
        <f t="shared" ref="G36:G41" si="10">+M27*2</f>
        <v>24000</v>
      </c>
      <c r="H36" s="43">
        <f t="shared" ref="H36:H41" si="11">+M27*1</f>
        <v>12000</v>
      </c>
      <c r="I36" s="21">
        <f t="shared" si="8"/>
        <v>36000</v>
      </c>
      <c r="J36" s="17"/>
      <c r="M36" s="24">
        <f t="shared" si="9"/>
        <v>5000</v>
      </c>
      <c r="N36" s="11">
        <v>3</v>
      </c>
    </row>
    <row r="37" spans="1:14">
      <c r="A37" s="41" t="s">
        <v>52</v>
      </c>
      <c r="B37" s="37"/>
      <c r="C37" s="41"/>
      <c r="D37" s="21">
        <v>2500</v>
      </c>
      <c r="E37" s="17"/>
      <c r="F37" s="17" t="s">
        <v>38</v>
      </c>
      <c r="G37" s="43">
        <f t="shared" si="10"/>
        <v>10000</v>
      </c>
      <c r="H37" s="43">
        <f t="shared" si="11"/>
        <v>5000</v>
      </c>
      <c r="I37" s="21">
        <f t="shared" si="8"/>
        <v>15000</v>
      </c>
      <c r="J37" s="17"/>
      <c r="M37" s="24">
        <f>I38/N37</f>
        <v>2000</v>
      </c>
      <c r="N37" s="11">
        <v>3</v>
      </c>
    </row>
    <row r="38" spans="1:14">
      <c r="A38" s="44" t="s">
        <v>53</v>
      </c>
      <c r="B38" s="41"/>
      <c r="C38" s="41"/>
      <c r="D38" s="21"/>
      <c r="E38" s="17"/>
      <c r="F38" s="35" t="s">
        <v>40</v>
      </c>
      <c r="G38" s="43">
        <f t="shared" si="10"/>
        <v>4000</v>
      </c>
      <c r="H38" s="43">
        <f t="shared" si="11"/>
        <v>2000</v>
      </c>
      <c r="I38" s="21">
        <f t="shared" si="8"/>
        <v>6000</v>
      </c>
      <c r="J38" s="17"/>
      <c r="M38" s="24">
        <f t="shared" si="9"/>
        <v>440</v>
      </c>
      <c r="N38" s="11">
        <v>3</v>
      </c>
    </row>
    <row r="39" spans="1:14" ht="14.4" customHeight="1">
      <c r="A39" s="44"/>
      <c r="B39" s="41"/>
      <c r="C39" s="45"/>
      <c r="D39" s="21">
        <v>50000</v>
      </c>
      <c r="E39" s="17"/>
      <c r="F39" s="17" t="s">
        <v>42</v>
      </c>
      <c r="G39" s="43">
        <f t="shared" si="10"/>
        <v>880</v>
      </c>
      <c r="H39" s="43">
        <f t="shared" si="11"/>
        <v>440</v>
      </c>
      <c r="I39" s="21">
        <f t="shared" si="8"/>
        <v>1320</v>
      </c>
      <c r="J39" s="17"/>
      <c r="M39" s="24">
        <f t="shared" si="9"/>
        <v>350</v>
      </c>
      <c r="N39" s="11">
        <v>3</v>
      </c>
    </row>
    <row r="40" spans="1:14">
      <c r="A40" s="41" t="s">
        <v>54</v>
      </c>
      <c r="C40" s="17"/>
      <c r="D40" s="21">
        <v>12000</v>
      </c>
      <c r="E40" s="17"/>
      <c r="F40" s="17" t="s">
        <v>44</v>
      </c>
      <c r="G40" s="43">
        <f t="shared" si="10"/>
        <v>700</v>
      </c>
      <c r="H40" s="43">
        <f t="shared" si="11"/>
        <v>350</v>
      </c>
      <c r="I40" s="21">
        <f t="shared" si="8"/>
        <v>1050</v>
      </c>
      <c r="J40" s="17"/>
      <c r="M40" s="24">
        <f>I41/N40</f>
        <v>550</v>
      </c>
      <c r="N40" s="11">
        <v>3</v>
      </c>
    </row>
    <row r="41" spans="1:14">
      <c r="A41" s="41" t="s">
        <v>55</v>
      </c>
      <c r="B41" s="41"/>
      <c r="C41" s="41"/>
      <c r="D41" s="28">
        <v>10000</v>
      </c>
      <c r="E41" s="17"/>
      <c r="F41" s="17" t="s">
        <v>46</v>
      </c>
      <c r="G41" s="43">
        <f t="shared" si="10"/>
        <v>1100</v>
      </c>
      <c r="H41" s="43">
        <f t="shared" si="11"/>
        <v>550</v>
      </c>
      <c r="I41" s="21">
        <f t="shared" si="8"/>
        <v>1650</v>
      </c>
      <c r="J41" s="17"/>
    </row>
    <row r="42" spans="1:14">
      <c r="A42" s="17" t="s">
        <v>56</v>
      </c>
      <c r="B42" s="17"/>
      <c r="C42" s="17"/>
      <c r="D42" s="19">
        <f>SUM(D15:D41)</f>
        <v>1833087.2</v>
      </c>
      <c r="E42" s="17"/>
      <c r="F42" s="35"/>
      <c r="G42" s="17"/>
      <c r="H42" s="17"/>
      <c r="I42" s="19"/>
      <c r="J42" s="17"/>
    </row>
    <row r="43" spans="1:14">
      <c r="E43" s="17"/>
      <c r="F43" s="46" t="s">
        <v>57</v>
      </c>
      <c r="G43" s="21"/>
      <c r="H43" s="21"/>
      <c r="I43" s="21"/>
      <c r="J43" s="17"/>
    </row>
    <row r="44" spans="1:14">
      <c r="A44" s="17"/>
      <c r="B44" s="17"/>
      <c r="C44" s="17"/>
      <c r="D44" s="19"/>
      <c r="E44" s="17"/>
      <c r="F44" s="35" t="s">
        <v>58</v>
      </c>
      <c r="G44" s="21">
        <v>7500</v>
      </c>
      <c r="H44" s="21">
        <v>7500</v>
      </c>
      <c r="I44" s="21">
        <f>+G44+H44</f>
        <v>15000</v>
      </c>
      <c r="J44" s="17"/>
    </row>
    <row r="45" spans="1:14">
      <c r="A45" s="17" t="s">
        <v>59</v>
      </c>
      <c r="B45" s="17"/>
      <c r="C45" s="17"/>
      <c r="D45" s="19">
        <f>+I47-D42</f>
        <v>51430.000000000233</v>
      </c>
      <c r="E45" s="17"/>
      <c r="F45" s="35" t="s">
        <v>60</v>
      </c>
      <c r="G45" s="21">
        <v>5000</v>
      </c>
      <c r="H45" s="21">
        <v>5000</v>
      </c>
      <c r="I45" s="21">
        <f>+G45+H45</f>
        <v>10000</v>
      </c>
      <c r="J45" s="17"/>
    </row>
    <row r="46" spans="1:14">
      <c r="A46" s="17"/>
      <c r="B46" s="17"/>
      <c r="C46" s="17"/>
      <c r="D46" s="47" t="s">
        <v>61</v>
      </c>
      <c r="E46" s="17"/>
      <c r="F46" s="35"/>
      <c r="G46" s="17"/>
      <c r="H46" s="48"/>
      <c r="I46" s="47" t="s">
        <v>61</v>
      </c>
      <c r="J46" s="49">
        <f>SUM(J15:J44)</f>
        <v>1884517.2000000002</v>
      </c>
      <c r="K46" s="49">
        <f>SUM(K15:K44)</f>
        <v>35740.330769230772</v>
      </c>
    </row>
    <row r="47" spans="1:14">
      <c r="A47" s="17"/>
      <c r="B47" s="17"/>
      <c r="C47" s="17"/>
      <c r="D47" s="49">
        <f>+D42+D45</f>
        <v>1884517.2000000002</v>
      </c>
      <c r="E47" s="17"/>
      <c r="F47" s="35"/>
      <c r="G47" s="49">
        <f>SUM(G15:G45)</f>
        <v>1608046.7999999998</v>
      </c>
      <c r="H47" s="49">
        <f>SUM(H15:H45)</f>
        <v>312283.2</v>
      </c>
      <c r="I47" s="49">
        <f>SUM(I22:I45)</f>
        <v>1884517.2000000002</v>
      </c>
      <c r="J47" s="50"/>
    </row>
    <row r="48" spans="1:14">
      <c r="A48" s="50"/>
      <c r="B48" s="50"/>
      <c r="C48" s="50"/>
      <c r="D48" s="51" t="s">
        <v>61</v>
      </c>
      <c r="E48" s="50"/>
      <c r="F48" s="52"/>
      <c r="G48" s="50"/>
      <c r="H48" s="53"/>
      <c r="I48" s="51" t="str">
        <f>I46</f>
        <v>------------------</v>
      </c>
    </row>
    <row r="49" spans="1:9">
      <c r="E49" s="54"/>
      <c r="I49" s="30"/>
    </row>
    <row r="50" spans="1:9">
      <c r="I50" s="30"/>
    </row>
    <row r="51" spans="1:9">
      <c r="F51" s="30"/>
      <c r="I51" s="30"/>
    </row>
    <row r="52" spans="1:9">
      <c r="G52" s="30"/>
      <c r="I52" s="30"/>
    </row>
    <row r="53" spans="1:9">
      <c r="G53" s="30"/>
      <c r="I53" s="30"/>
    </row>
    <row r="54" spans="1:9">
      <c r="F54" s="30"/>
      <c r="I54" s="30"/>
    </row>
    <row r="55" spans="1:9">
      <c r="G55" s="30"/>
      <c r="I55" s="30"/>
    </row>
    <row r="56" spans="1:9">
      <c r="I56" s="30"/>
    </row>
    <row r="57" spans="1:9">
      <c r="I57" s="30"/>
    </row>
    <row r="58" spans="1:9">
      <c r="A58" s="4" t="s">
        <v>62</v>
      </c>
      <c r="G58" s="55" t="s">
        <v>63</v>
      </c>
    </row>
    <row r="59" spans="1:9" ht="27">
      <c r="A59" s="56" t="s">
        <v>64</v>
      </c>
      <c r="B59" s="57" t="s">
        <v>65</v>
      </c>
      <c r="C59" s="56" t="s">
        <v>66</v>
      </c>
      <c r="D59" s="56" t="s">
        <v>67</v>
      </c>
      <c r="E59" s="56" t="s">
        <v>68</v>
      </c>
      <c r="F59" s="58" t="s">
        <v>69</v>
      </c>
      <c r="G59" s="58" t="s">
        <v>70</v>
      </c>
      <c r="H59" s="35"/>
    </row>
    <row r="60" spans="1:9">
      <c r="A60" s="59" t="s">
        <v>71</v>
      </c>
      <c r="B60" s="60">
        <v>1</v>
      </c>
      <c r="C60" s="61">
        <v>60</v>
      </c>
      <c r="D60" s="62">
        <v>1500</v>
      </c>
      <c r="E60" s="62">
        <f>B60*C60*D60</f>
        <v>90000</v>
      </c>
      <c r="F60" s="63">
        <v>0</v>
      </c>
      <c r="G60" s="64">
        <f>SUM(E60:F60)</f>
        <v>90000</v>
      </c>
      <c r="H60" s="35"/>
    </row>
    <row r="61" spans="1:9">
      <c r="A61" s="5" t="s">
        <v>72</v>
      </c>
      <c r="B61" s="65">
        <v>14</v>
      </c>
      <c r="C61" s="66">
        <v>25</v>
      </c>
      <c r="D61" s="63">
        <v>500</v>
      </c>
      <c r="E61" s="63">
        <f>+B61*C61*D61</f>
        <v>175000</v>
      </c>
      <c r="F61" s="63">
        <v>0</v>
      </c>
      <c r="G61" s="64">
        <f>SUM(E61:F61)</f>
        <v>175000</v>
      </c>
      <c r="H61" s="35"/>
    </row>
    <row r="62" spans="1:9">
      <c r="A62" s="5" t="s">
        <v>73</v>
      </c>
      <c r="B62" s="65">
        <v>6</v>
      </c>
      <c r="C62" s="66">
        <v>35</v>
      </c>
      <c r="D62" s="63">
        <v>1000</v>
      </c>
      <c r="E62" s="63">
        <f>+B62*C62*D62</f>
        <v>210000</v>
      </c>
      <c r="F62" s="63">
        <v>0</v>
      </c>
      <c r="G62" s="64">
        <f>SUM(E62:F62)</f>
        <v>210000</v>
      </c>
      <c r="H62" s="35"/>
    </row>
    <row r="63" spans="1:9">
      <c r="A63" s="5" t="s">
        <v>74</v>
      </c>
      <c r="B63" s="65">
        <v>12</v>
      </c>
      <c r="C63" s="66">
        <v>0</v>
      </c>
      <c r="D63" s="63">
        <v>0</v>
      </c>
      <c r="E63" s="63">
        <f>+B63*C63*D63</f>
        <v>0</v>
      </c>
      <c r="F63" s="63">
        <v>0</v>
      </c>
      <c r="G63" s="64">
        <f t="shared" ref="G63:G66" si="12">SUM(E63:F63)</f>
        <v>0</v>
      </c>
      <c r="H63" s="35"/>
    </row>
    <row r="64" spans="1:9">
      <c r="A64" s="5" t="s">
        <v>75</v>
      </c>
      <c r="B64" s="65">
        <v>1</v>
      </c>
      <c r="C64" s="66">
        <v>0</v>
      </c>
      <c r="D64" s="63">
        <v>0</v>
      </c>
      <c r="E64" s="63">
        <v>0</v>
      </c>
      <c r="F64" s="63">
        <v>0</v>
      </c>
      <c r="G64" s="64">
        <f t="shared" si="12"/>
        <v>0</v>
      </c>
      <c r="H64" s="35"/>
    </row>
    <row r="65" spans="1:8">
      <c r="A65" s="5" t="s">
        <v>76</v>
      </c>
      <c r="B65" s="65">
        <v>1</v>
      </c>
      <c r="C65" s="66">
        <v>0</v>
      </c>
      <c r="D65" s="63">
        <v>0</v>
      </c>
      <c r="E65" s="63">
        <v>0</v>
      </c>
      <c r="F65" s="63">
        <v>0</v>
      </c>
      <c r="G65" s="64">
        <f t="shared" si="12"/>
        <v>0</v>
      </c>
      <c r="H65" s="35"/>
    </row>
    <row r="66" spans="1:8">
      <c r="A66" s="6" t="s">
        <v>77</v>
      </c>
      <c r="B66" s="65">
        <v>6</v>
      </c>
      <c r="C66" s="66">
        <v>0</v>
      </c>
      <c r="D66" s="63">
        <v>0</v>
      </c>
      <c r="E66" s="63">
        <v>0</v>
      </c>
      <c r="F66" s="7">
        <v>0</v>
      </c>
      <c r="G66" s="64">
        <f t="shared" si="12"/>
        <v>0</v>
      </c>
      <c r="H66" s="35"/>
    </row>
    <row r="67" spans="1:8">
      <c r="A67" s="5" t="s">
        <v>78</v>
      </c>
      <c r="B67" s="65">
        <v>4</v>
      </c>
      <c r="C67" s="66">
        <v>30</v>
      </c>
      <c r="D67" s="63">
        <v>250</v>
      </c>
      <c r="E67" s="63">
        <f>+B67*C67*D67</f>
        <v>30000</v>
      </c>
      <c r="F67" s="63">
        <v>0</v>
      </c>
      <c r="G67" s="64">
        <f>E67+F67</f>
        <v>30000</v>
      </c>
    </row>
    <row r="68" spans="1:8">
      <c r="A68" s="5" t="s">
        <v>79</v>
      </c>
      <c r="B68" s="65">
        <v>4</v>
      </c>
      <c r="C68" s="66">
        <v>25</v>
      </c>
      <c r="D68" s="63">
        <v>200</v>
      </c>
      <c r="E68" s="63">
        <f>+B68*C68*D68</f>
        <v>20000</v>
      </c>
      <c r="F68" s="63">
        <v>0</v>
      </c>
      <c r="G68" s="64">
        <f>E68+F68</f>
        <v>20000</v>
      </c>
    </row>
    <row r="69" spans="1:8" ht="15.6">
      <c r="A69" s="8" t="s">
        <v>80</v>
      </c>
      <c r="B69" s="9">
        <v>1</v>
      </c>
      <c r="C69" s="66">
        <v>80</v>
      </c>
      <c r="D69" s="63">
        <v>1500</v>
      </c>
      <c r="E69" s="63">
        <f>B69*C69*D69</f>
        <v>120000</v>
      </c>
      <c r="F69" s="63">
        <v>7500</v>
      </c>
      <c r="G69" s="64">
        <f>E69+F69</f>
        <v>127500</v>
      </c>
    </row>
    <row r="70" spans="1:8">
      <c r="A70" s="67" t="s">
        <v>81</v>
      </c>
      <c r="B70" s="65">
        <v>1</v>
      </c>
      <c r="C70" s="66">
        <v>90</v>
      </c>
      <c r="D70" s="63">
        <v>1750</v>
      </c>
      <c r="E70" s="63">
        <f>B70*C70*D70</f>
        <v>157500</v>
      </c>
      <c r="F70" s="63">
        <v>10000</v>
      </c>
      <c r="G70" s="64">
        <f>E70+F70</f>
        <v>167500</v>
      </c>
    </row>
    <row r="71" spans="1:8">
      <c r="A71" s="67" t="s">
        <v>82</v>
      </c>
      <c r="B71" s="65">
        <v>1</v>
      </c>
      <c r="C71" s="66">
        <v>70</v>
      </c>
      <c r="D71" s="63">
        <v>1500</v>
      </c>
      <c r="E71" s="63">
        <f>B71*C71*D71</f>
        <v>105000</v>
      </c>
      <c r="F71" s="63">
        <v>5000</v>
      </c>
      <c r="G71" s="64">
        <f>E71+F71</f>
        <v>110000</v>
      </c>
    </row>
    <row r="72" spans="1:8">
      <c r="A72" s="10" t="s">
        <v>68</v>
      </c>
      <c r="B72" s="15">
        <f>SUM(B60:B71)</f>
        <v>52</v>
      </c>
      <c r="C72" s="68"/>
      <c r="D72" s="68"/>
      <c r="E72" s="69">
        <f>SUM(E60:E71)</f>
        <v>907500</v>
      </c>
      <c r="F72" s="70">
        <f>SUM(F60:F71)</f>
        <v>22500</v>
      </c>
      <c r="G72" s="71">
        <f>SUM(G60:G71)</f>
        <v>930000</v>
      </c>
    </row>
    <row r="76" spans="1:8">
      <c r="A76" s="72" t="s">
        <v>39</v>
      </c>
      <c r="B76" s="46" t="s">
        <v>83</v>
      </c>
      <c r="C76" s="46" t="s">
        <v>84</v>
      </c>
      <c r="D76" s="46" t="s">
        <v>85</v>
      </c>
      <c r="E76" s="46" t="s">
        <v>86</v>
      </c>
      <c r="F76" s="73" t="s">
        <v>87</v>
      </c>
      <c r="G76" s="74" t="s">
        <v>70</v>
      </c>
    </row>
    <row r="77" spans="1:8">
      <c r="A77" s="75" t="s">
        <v>88</v>
      </c>
      <c r="B77" s="76">
        <v>6000</v>
      </c>
      <c r="C77" s="11">
        <v>2000</v>
      </c>
      <c r="D77" s="11">
        <v>2000</v>
      </c>
      <c r="E77" s="11">
        <f>850*25</f>
        <v>21250</v>
      </c>
      <c r="F77" s="77"/>
      <c r="G77" s="55">
        <f t="shared" ref="G77:G82" si="13">SUM(B76:F76)</f>
        <v>0</v>
      </c>
    </row>
    <row r="78" spans="1:8">
      <c r="A78" s="75" t="s">
        <v>89</v>
      </c>
      <c r="B78" s="76">
        <v>0</v>
      </c>
      <c r="C78" s="11">
        <v>0</v>
      </c>
      <c r="D78" s="11">
        <v>0</v>
      </c>
      <c r="E78" s="11">
        <v>10000</v>
      </c>
      <c r="F78" s="77"/>
      <c r="G78" s="55">
        <f t="shared" si="13"/>
        <v>31250</v>
      </c>
    </row>
    <row r="79" spans="1:8">
      <c r="A79" s="75" t="s">
        <v>90</v>
      </c>
      <c r="B79" s="76">
        <v>2500</v>
      </c>
      <c r="C79" s="11">
        <v>0</v>
      </c>
      <c r="D79" s="11">
        <v>0</v>
      </c>
      <c r="E79" s="11">
        <v>0</v>
      </c>
      <c r="F79" s="77"/>
      <c r="G79" s="55">
        <f t="shared" si="13"/>
        <v>10000</v>
      </c>
    </row>
    <row r="80" spans="1:8">
      <c r="A80" s="75" t="s">
        <v>91</v>
      </c>
      <c r="B80" s="76">
        <v>2000</v>
      </c>
      <c r="C80" s="11">
        <v>1000</v>
      </c>
      <c r="D80" s="11">
        <v>1000</v>
      </c>
      <c r="E80" s="11">
        <v>0</v>
      </c>
      <c r="F80" s="77"/>
      <c r="G80" s="55">
        <f t="shared" si="13"/>
        <v>2500</v>
      </c>
    </row>
    <row r="81" spans="1:7">
      <c r="A81" s="75" t="s">
        <v>92</v>
      </c>
      <c r="B81" s="76">
        <v>4500</v>
      </c>
      <c r="C81" s="11">
        <v>1500</v>
      </c>
      <c r="D81" s="11">
        <v>2500</v>
      </c>
      <c r="E81" s="11">
        <v>2500</v>
      </c>
      <c r="F81" s="77"/>
      <c r="G81" s="55">
        <f t="shared" si="13"/>
        <v>4000</v>
      </c>
    </row>
    <row r="82" spans="1:7">
      <c r="A82" s="75" t="s">
        <v>93</v>
      </c>
      <c r="B82" s="76">
        <v>3500</v>
      </c>
      <c r="C82" s="11">
        <v>3500</v>
      </c>
      <c r="D82" s="11">
        <v>3500</v>
      </c>
      <c r="F82" s="77"/>
      <c r="G82" s="55">
        <f t="shared" si="13"/>
        <v>11000</v>
      </c>
    </row>
    <row r="83" spans="1:7">
      <c r="B83" s="78" t="s">
        <v>94</v>
      </c>
      <c r="C83" s="78" t="s">
        <v>94</v>
      </c>
      <c r="D83" s="78" t="s">
        <v>94</v>
      </c>
      <c r="E83" s="79" t="s">
        <v>94</v>
      </c>
      <c r="F83" s="80" t="s">
        <v>94</v>
      </c>
      <c r="G83" s="79" t="s">
        <v>94</v>
      </c>
    </row>
    <row r="84" spans="1:7">
      <c r="B84" s="81">
        <f t="shared" ref="B84:G84" si="14">SUM(B76:B83)</f>
        <v>18500</v>
      </c>
      <c r="C84" s="82">
        <f t="shared" si="14"/>
        <v>8000</v>
      </c>
      <c r="D84" s="82">
        <f t="shared" si="14"/>
        <v>9000</v>
      </c>
      <c r="E84" s="82">
        <f>SUM(E76:E83)</f>
        <v>33750</v>
      </c>
      <c r="F84" s="83">
        <f t="shared" si="14"/>
        <v>0</v>
      </c>
      <c r="G84" s="82">
        <f t="shared" si="14"/>
        <v>58750</v>
      </c>
    </row>
    <row r="85" spans="1:7">
      <c r="B85" s="78" t="s">
        <v>94</v>
      </c>
      <c r="C85" s="78" t="s">
        <v>94</v>
      </c>
      <c r="D85" s="78" t="s">
        <v>94</v>
      </c>
      <c r="E85" s="79" t="s">
        <v>94</v>
      </c>
      <c r="F85" s="80" t="s">
        <v>94</v>
      </c>
      <c r="G85" s="79" t="s">
        <v>94</v>
      </c>
    </row>
    <row r="86" spans="1:7">
      <c r="B86" s="84"/>
    </row>
    <row r="87" spans="1:7">
      <c r="B87" s="84"/>
    </row>
    <row r="92" spans="1:7">
      <c r="A92" s="46" t="s">
        <v>95</v>
      </c>
    </row>
    <row r="93" spans="1:7">
      <c r="A93" s="11" t="str">
        <f>F9</f>
        <v xml:space="preserve">ROTARY INTERNATIONAL PER CAPITA DUES </v>
      </c>
      <c r="B93" s="24">
        <f>+M9</f>
        <v>7688.2857142857147</v>
      </c>
    </row>
    <row r="94" spans="1:7">
      <c r="A94" s="11" t="str">
        <f>F10</f>
        <v>DISTRICT SUBSCRIPTION</v>
      </c>
      <c r="B94" s="24">
        <f>+M10</f>
        <v>885</v>
      </c>
    </row>
    <row r="95" spans="1:7">
      <c r="A95" s="11" t="str">
        <f>F11</f>
        <v>ROTARY NEWS SUBSCRIPTION</v>
      </c>
      <c r="B95" s="24">
        <f>+M11</f>
        <v>495.59999999999997</v>
      </c>
    </row>
    <row r="96" spans="1:7">
      <c r="A96" s="11" t="str">
        <f>F12</f>
        <v xml:space="preserve">R I COUNCIL ON LEGISLATION </v>
      </c>
      <c r="B96" s="24">
        <f>+M12</f>
        <v>97.938775510204081</v>
      </c>
    </row>
    <row r="97" spans="1:2">
      <c r="A97" s="11" t="str">
        <f>F13</f>
        <v xml:space="preserve">CONTRIBUTION TO ROTARY FOUNDATION </v>
      </c>
      <c r="B97" s="24">
        <f>+M13</f>
        <v>4150</v>
      </c>
    </row>
    <row r="98" spans="1:2">
      <c r="B98" s="85" t="s">
        <v>96</v>
      </c>
    </row>
    <row r="99" spans="1:2">
      <c r="A99" s="11" t="s">
        <v>97</v>
      </c>
      <c r="B99" s="86">
        <f>SUM(B93:B97)</f>
        <v>13316.824489795918</v>
      </c>
    </row>
    <row r="100" spans="1:2">
      <c r="B100" s="85" t="s">
        <v>96</v>
      </c>
    </row>
    <row r="101" spans="1:2">
      <c r="A101" s="46" t="s">
        <v>98</v>
      </c>
    </row>
    <row r="102" spans="1:2">
      <c r="A102" s="11" t="str">
        <f t="shared" ref="A102:A108" si="15">F26</f>
        <v>CLUB SUBSCRIPTION</v>
      </c>
      <c r="B102" s="24">
        <f>M26</f>
        <v>2500</v>
      </c>
    </row>
    <row r="103" spans="1:2">
      <c r="A103" s="11" t="str">
        <f t="shared" si="15"/>
        <v>FELLOWSHIP CHARGES</v>
      </c>
      <c r="B103" s="24">
        <f t="shared" ref="B103:B108" si="16">M27</f>
        <v>12000</v>
      </c>
    </row>
    <row r="104" spans="1:2">
      <c r="A104" s="11" t="str">
        <f t="shared" si="15"/>
        <v>SPECIAL ANNUAL MEETINGS LIKE INSTALLATION, GOVERNOR'S VISIT</v>
      </c>
      <c r="B104" s="24">
        <f t="shared" si="16"/>
        <v>5000</v>
      </c>
    </row>
    <row r="105" spans="1:2">
      <c r="A105" s="11" t="str">
        <f t="shared" si="15"/>
        <v>CONTRIBUTION TO SCAW MEETING</v>
      </c>
      <c r="B105" s="24">
        <f t="shared" si="16"/>
        <v>2000</v>
      </c>
    </row>
    <row r="106" spans="1:2">
      <c r="A106" s="11" t="str">
        <f t="shared" si="15"/>
        <v>MOMENTO CONTRIBUTION</v>
      </c>
      <c r="B106" s="24">
        <f t="shared" si="16"/>
        <v>440</v>
      </c>
    </row>
    <row r="107" spans="1:2">
      <c r="A107" s="11" t="str">
        <f t="shared" si="15"/>
        <v>ROSTER SUBSCRIPTION</v>
      </c>
      <c r="B107" s="24">
        <f t="shared" si="16"/>
        <v>350</v>
      </c>
    </row>
    <row r="108" spans="1:2">
      <c r="A108" s="11" t="str">
        <f t="shared" si="15"/>
        <v>AMBER CHARGES</v>
      </c>
      <c r="B108" s="24">
        <f t="shared" si="16"/>
        <v>550</v>
      </c>
    </row>
    <row r="109" spans="1:2">
      <c r="B109" s="85" t="s">
        <v>96</v>
      </c>
    </row>
    <row r="110" spans="1:2">
      <c r="A110" s="11" t="s">
        <v>99</v>
      </c>
      <c r="B110" s="86">
        <f>SUM(B102:B108)</f>
        <v>22840</v>
      </c>
    </row>
    <row r="111" spans="1:2">
      <c r="B111" s="85" t="s">
        <v>96</v>
      </c>
    </row>
    <row r="112" spans="1:2">
      <c r="B112" s="85"/>
    </row>
    <row r="113" spans="1:3">
      <c r="A113" s="87" t="s">
        <v>100</v>
      </c>
      <c r="B113" s="24">
        <f>+B99+B110</f>
        <v>36156.824489795916</v>
      </c>
    </row>
    <row r="115" spans="1:3">
      <c r="A115" s="11" t="s">
        <v>101</v>
      </c>
      <c r="B115" s="88">
        <v>35000</v>
      </c>
      <c r="C115" s="89"/>
    </row>
    <row r="116" spans="1:3">
      <c r="A116" s="11" t="s">
        <v>102</v>
      </c>
      <c r="B116" s="88">
        <v>20000</v>
      </c>
      <c r="C116" s="88"/>
    </row>
    <row r="117" spans="1:3">
      <c r="A117" s="11" t="s">
        <v>103</v>
      </c>
      <c r="B117" s="88">
        <v>15000</v>
      </c>
      <c r="C117" s="88"/>
    </row>
    <row r="118" spans="1:3">
      <c r="B118" s="88"/>
    </row>
    <row r="120" spans="1:3">
      <c r="C120" s="24"/>
    </row>
  </sheetData>
  <mergeCells count="5">
    <mergeCell ref="A1:I1"/>
    <mergeCell ref="A2:I2"/>
    <mergeCell ref="A3:I3"/>
    <mergeCell ref="A4:E4"/>
    <mergeCell ref="F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Jayavaradhan Olivu</dc:creator>
  <cp:lastModifiedBy>Jayavaradhan Olivu</cp:lastModifiedBy>
  <dcterms:created xsi:type="dcterms:W3CDTF">2024-05-01T08:01:54Z</dcterms:created>
  <dcterms:modified xsi:type="dcterms:W3CDTF">2024-06-06T05:04:38Z</dcterms:modified>
</cp:coreProperties>
</file>