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黎明\Desktop\"/>
    </mc:Choice>
  </mc:AlternateContent>
  <bookViews>
    <workbookView xWindow="0" yWindow="0" windowWidth="21600" windowHeight="9735" activeTab="3"/>
  </bookViews>
  <sheets>
    <sheet name="Weapon" sheetId="1" r:id="rId1"/>
    <sheet name="Data" sheetId="2" r:id="rId2"/>
    <sheet name="BaseHealth" sheetId="3" r:id="rId3"/>
    <sheet name="BaseHealth 4QF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5" l="1"/>
  <c r="Q17" i="5"/>
  <c r="G17" i="5"/>
  <c r="G20" i="5" s="1"/>
  <c r="B21" i="5" s="1"/>
  <c r="Q17" i="3"/>
  <c r="Q20" i="3" s="1"/>
  <c r="G17" i="3"/>
  <c r="Q26" i="5"/>
  <c r="G26" i="5"/>
  <c r="Q25" i="5"/>
  <c r="G25" i="5"/>
  <c r="L18" i="5"/>
  <c r="B18" i="5"/>
  <c r="Q26" i="3"/>
  <c r="Q25" i="3"/>
  <c r="G26" i="3"/>
  <c r="G25" i="3"/>
  <c r="L18" i="3"/>
  <c r="L21" i="3" l="1"/>
  <c r="L21" i="5"/>
  <c r="L22" i="5" s="1"/>
  <c r="B22" i="5"/>
  <c r="L22" i="3"/>
  <c r="P30" i="3" l="1"/>
  <c r="Q30" i="3" s="1"/>
  <c r="R30" i="3" s="1"/>
  <c r="P29" i="3"/>
  <c r="Q29" i="3" s="1"/>
  <c r="R29" i="3" s="1"/>
  <c r="F29" i="5"/>
  <c r="F30" i="5"/>
  <c r="P29" i="5"/>
  <c r="P30" i="5"/>
  <c r="B18" i="3"/>
  <c r="Q30" i="5" l="1"/>
  <c r="R30" i="5" s="1"/>
  <c r="G30" i="5"/>
  <c r="H30" i="5" s="1"/>
  <c r="Q29" i="5"/>
  <c r="R29" i="5" s="1"/>
  <c r="G29" i="5"/>
  <c r="H29" i="5" s="1"/>
  <c r="G20" i="3" l="1"/>
  <c r="B21" i="3" s="1"/>
  <c r="B22" i="3" s="1"/>
  <c r="E4" i="1"/>
  <c r="E5" i="1"/>
  <c r="E6" i="1"/>
  <c r="E7" i="1"/>
  <c r="E8" i="1"/>
  <c r="E9" i="1"/>
  <c r="E10" i="1"/>
  <c r="E11" i="1"/>
  <c r="E12" i="1"/>
  <c r="F30" i="3" l="1"/>
  <c r="F29" i="3"/>
  <c r="E3" i="1"/>
  <c r="E2" i="1"/>
  <c r="G29" i="3" l="1"/>
  <c r="H29" i="3" s="1"/>
  <c r="G30" i="3"/>
  <c r="H30" i="3" s="1"/>
  <c r="C5" i="2"/>
  <c r="C6" i="2" s="1"/>
  <c r="C2" i="2"/>
  <c r="B4" i="2"/>
  <c r="B2" i="2" s="1"/>
  <c r="B6" i="2" l="1"/>
  <c r="B3" i="2" s="1"/>
  <c r="C3" i="2"/>
  <c r="O6" i="1" s="1"/>
  <c r="P6" i="1" s="1"/>
  <c r="O11" i="1" l="1"/>
  <c r="P11" i="1" s="1"/>
  <c r="O12" i="1"/>
  <c r="P12" i="1" s="1"/>
  <c r="O3" i="1"/>
  <c r="P3" i="1" s="1"/>
  <c r="O2" i="1"/>
  <c r="P2" i="1" s="1"/>
  <c r="O10" i="1"/>
  <c r="P10" i="1" s="1"/>
  <c r="O9" i="1"/>
  <c r="P9" i="1" s="1"/>
  <c r="O7" i="1"/>
  <c r="P7" i="1" s="1"/>
  <c r="O5" i="1"/>
  <c r="P5" i="1" s="1"/>
  <c r="O4" i="1"/>
  <c r="P4" i="1" s="1"/>
  <c r="O8" i="1"/>
  <c r="P8" i="1" s="1"/>
</calcChain>
</file>

<file path=xl/sharedStrings.xml><?xml version="1.0" encoding="utf-8"?>
<sst xmlns="http://schemas.openxmlformats.org/spreadsheetml/2006/main" count="272" uniqueCount="105">
  <si>
    <t>体质</t>
  </si>
  <si>
    <t>其他属性</t>
  </si>
  <si>
    <t>基础攻击</t>
  </si>
  <si>
    <t>基础治疗</t>
  </si>
  <si>
    <t>名称</t>
  </si>
  <si>
    <t>根骨</t>
  </si>
  <si>
    <t>治疗</t>
  </si>
  <si>
    <t>会心</t>
  </si>
  <si>
    <t>会效</t>
  </si>
  <si>
    <t>加速</t>
  </si>
  <si>
    <t>特效概率</t>
  </si>
  <si>
    <t>特效会心</t>
  </si>
  <si>
    <t>特效治疗</t>
  </si>
  <si>
    <t>花颜轻</t>
  </si>
  <si>
    <t>紫烟沉</t>
    <phoneticPr fontId="1" type="noConversion"/>
  </si>
  <si>
    <t>部位</t>
    <phoneticPr fontId="1" type="noConversion"/>
  </si>
  <si>
    <t>品质</t>
    <phoneticPr fontId="1" type="noConversion"/>
  </si>
  <si>
    <t>装备分数</t>
    <phoneticPr fontId="1" type="noConversion"/>
  </si>
  <si>
    <t>部位系数</t>
    <phoneticPr fontId="1" type="noConversion"/>
  </si>
  <si>
    <t>帽子</t>
    <phoneticPr fontId="1" type="noConversion"/>
  </si>
  <si>
    <t>衣服</t>
    <phoneticPr fontId="1" type="noConversion"/>
  </si>
  <si>
    <t>腰带</t>
    <phoneticPr fontId="1" type="noConversion"/>
  </si>
  <si>
    <t>护手</t>
    <phoneticPr fontId="1" type="noConversion"/>
  </si>
  <si>
    <t>下装</t>
    <phoneticPr fontId="1" type="noConversion"/>
  </si>
  <si>
    <t>鞋子</t>
    <phoneticPr fontId="1" type="noConversion"/>
  </si>
  <si>
    <t>饰品</t>
    <phoneticPr fontId="1" type="noConversion"/>
  </si>
  <si>
    <t>暗器</t>
    <phoneticPr fontId="1" type="noConversion"/>
  </si>
  <si>
    <t>武器</t>
  </si>
  <si>
    <t>武器</t>
    <phoneticPr fontId="1" type="noConversion"/>
  </si>
  <si>
    <t>装备品质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</si>
  <si>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</si>
  <si>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</si>
  <si>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</si>
  <si>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</si>
  <si>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橙</t>
    <phoneticPr fontId="1" type="noConversion"/>
  </si>
  <si>
    <t>品质系数</t>
    <phoneticPr fontId="1" type="noConversion"/>
  </si>
  <si>
    <t>部位系数</t>
    <phoneticPr fontId="1" type="noConversion"/>
  </si>
  <si>
    <t>装备分数=装备等级*部位系数*品质系数</t>
    <phoneticPr fontId="1" type="noConversion"/>
  </si>
  <si>
    <t>强化装分=(3+强化等级)*强化等级)/2</t>
    <phoneticPr fontId="1" type="noConversion"/>
  </si>
  <si>
    <t>实际装分</t>
    <phoneticPr fontId="1" type="noConversion"/>
  </si>
  <si>
    <t>装分系数</t>
    <phoneticPr fontId="1" type="noConversion"/>
  </si>
  <si>
    <t>DPS装备系数</t>
    <phoneticPr fontId="1" type="noConversion"/>
  </si>
  <si>
    <t>治疗装备系数</t>
    <phoneticPr fontId="1" type="noConversion"/>
  </si>
  <si>
    <t>基本属性</t>
    <phoneticPr fontId="1" type="noConversion"/>
  </si>
  <si>
    <t>橙</t>
  </si>
  <si>
    <t>清容妙</t>
    <phoneticPr fontId="1" type="noConversion"/>
  </si>
  <si>
    <t>绝隐</t>
    <phoneticPr fontId="1" type="noConversion"/>
  </si>
  <si>
    <t>无梦</t>
    <phoneticPr fontId="1" type="noConversion"/>
  </si>
  <si>
    <t>芳华梦</t>
    <phoneticPr fontId="1" type="noConversion"/>
  </si>
  <si>
    <t>夜萧萧</t>
    <phoneticPr fontId="1" type="noConversion"/>
  </si>
  <si>
    <t>初晴新霭</t>
    <phoneticPr fontId="1" type="noConversion"/>
  </si>
  <si>
    <t>叔夜双剑</t>
    <phoneticPr fontId="1" type="noConversion"/>
  </si>
  <si>
    <t>在水一方</t>
    <phoneticPr fontId="1" type="noConversion"/>
  </si>
  <si>
    <t>九皋鹤鸣</t>
    <phoneticPr fontId="1" type="noConversion"/>
  </si>
  <si>
    <t>折算面板装分</t>
    <phoneticPr fontId="1" type="noConversion"/>
  </si>
  <si>
    <t>帽子</t>
    <phoneticPr fontId="1" type="noConversion"/>
  </si>
  <si>
    <t>衣服</t>
    <phoneticPr fontId="1" type="noConversion"/>
  </si>
  <si>
    <t>腰带</t>
    <phoneticPr fontId="1" type="noConversion"/>
  </si>
  <si>
    <t>护手</t>
    <phoneticPr fontId="1" type="noConversion"/>
  </si>
  <si>
    <t>下装</t>
    <phoneticPr fontId="1" type="noConversion"/>
  </si>
  <si>
    <t>鞋子</t>
    <phoneticPr fontId="1" type="noConversion"/>
  </si>
  <si>
    <t>项链</t>
    <phoneticPr fontId="1" type="noConversion"/>
  </si>
  <si>
    <t>腰坠</t>
    <phoneticPr fontId="1" type="noConversion"/>
  </si>
  <si>
    <t>戒指1</t>
    <phoneticPr fontId="1" type="noConversion"/>
  </si>
  <si>
    <t>戒指2</t>
    <phoneticPr fontId="1" type="noConversion"/>
  </si>
  <si>
    <t>暗器</t>
    <phoneticPr fontId="1" type="noConversion"/>
  </si>
  <si>
    <t>武器</t>
    <phoneticPr fontId="1" type="noConversion"/>
  </si>
  <si>
    <t>自身</t>
    <phoneticPr fontId="1" type="noConversion"/>
  </si>
  <si>
    <t>附魔</t>
    <phoneticPr fontId="1" type="noConversion"/>
  </si>
  <si>
    <t>云裳心经</t>
    <phoneticPr fontId="1" type="noConversion"/>
  </si>
  <si>
    <t>镶嵌</t>
    <phoneticPr fontId="1" type="noConversion"/>
  </si>
  <si>
    <t>自身</t>
    <phoneticPr fontId="1" type="noConversion"/>
  </si>
  <si>
    <t>镶嵌</t>
    <phoneticPr fontId="1" type="noConversion"/>
  </si>
  <si>
    <t>基础治疗</t>
    <phoneticPr fontId="1" type="noConversion"/>
  </si>
  <si>
    <t>根骨加成</t>
    <phoneticPr fontId="1" type="noConversion"/>
  </si>
  <si>
    <t>精炼</t>
    <phoneticPr fontId="1" type="noConversion"/>
  </si>
  <si>
    <t>精炼</t>
    <phoneticPr fontId="1" type="noConversion"/>
  </si>
  <si>
    <t>基础根骨</t>
    <phoneticPr fontId="1" type="noConversion"/>
  </si>
  <si>
    <t>比例加成</t>
    <phoneticPr fontId="1" type="noConversion"/>
  </si>
  <si>
    <t>最终根骨</t>
    <phoneticPr fontId="1" type="noConversion"/>
  </si>
  <si>
    <t>基础疗效</t>
    <phoneticPr fontId="1" type="noConversion"/>
  </si>
  <si>
    <t>自带根骨</t>
    <phoneticPr fontId="1" type="noConversion"/>
  </si>
  <si>
    <t>根骨加成</t>
    <phoneticPr fontId="1" type="noConversion"/>
  </si>
  <si>
    <t>剑舞</t>
    <phoneticPr fontId="1" type="noConversion"/>
  </si>
  <si>
    <t>最终疗效</t>
    <phoneticPr fontId="1" type="noConversion"/>
  </si>
  <si>
    <t>特效</t>
    <phoneticPr fontId="1" type="noConversion"/>
  </si>
  <si>
    <t>乞巧</t>
    <phoneticPr fontId="1" type="noConversion"/>
  </si>
  <si>
    <t>数值加成</t>
    <phoneticPr fontId="1" type="noConversion"/>
  </si>
  <si>
    <t>回雪飘摇</t>
    <phoneticPr fontId="1" type="noConversion"/>
  </si>
  <si>
    <t>疗效加成</t>
    <phoneticPr fontId="1" type="noConversion"/>
  </si>
  <si>
    <t>翔鸾舞柳</t>
    <phoneticPr fontId="1" type="noConversion"/>
  </si>
  <si>
    <t>会心</t>
    <phoneticPr fontId="1" type="noConversion"/>
  </si>
  <si>
    <t>会效</t>
    <phoneticPr fontId="1" type="noConversion"/>
  </si>
  <si>
    <t>加成系数</t>
    <phoneticPr fontId="1" type="noConversion"/>
  </si>
  <si>
    <t>固定加成</t>
    <phoneticPr fontId="1" type="noConversion"/>
  </si>
  <si>
    <t>非会心效果</t>
    <phoneticPr fontId="1" type="noConversion"/>
  </si>
  <si>
    <t>会心效果</t>
    <phoneticPr fontId="1" type="noConversion"/>
  </si>
  <si>
    <t>最终会心</t>
    <phoneticPr fontId="1" type="noConversion"/>
  </si>
  <si>
    <t>最终会效</t>
    <phoneticPr fontId="1" type="noConversion"/>
  </si>
  <si>
    <t>秘籍加成</t>
    <phoneticPr fontId="1" type="noConversion"/>
  </si>
  <si>
    <t>期望</t>
    <phoneticPr fontId="1" type="noConversion"/>
  </si>
  <si>
    <t>秘籍加成</t>
    <phoneticPr fontId="1" type="noConversion"/>
  </si>
  <si>
    <t>彩丶击破丶强击丶固筋</t>
    <phoneticPr fontId="1" type="noConversion"/>
  </si>
  <si>
    <t>彩丶济世丶灵根丶妙手</t>
    <phoneticPr fontId="1" type="noConversion"/>
  </si>
  <si>
    <t>数值加成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</si>
</sst>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17" sqref="E17"/>
    </sheetView>
  </sheetViews>
  <sheetFormatPr defaultRowHeight="13.5" x14ac:dyDescent="0.15"/>
  <cols>
    <col min="2" max="4" width="5.25" bestFit="1" customWidth="1"/>
    <col min="6" max="7" width="5.25" bestFit="1" customWidth="1"/>
    <col min="8" max="8" width="5.5" bestFit="1" customWidth="1"/>
    <col min="9" max="11" width="5.25" bestFit="1" customWidth="1"/>
    <col min="12" max="14" width="9" bestFit="1" customWidth="1"/>
    <col min="16" max="16" width="13" bestFit="1" customWidth="1"/>
  </cols>
  <sheetData>
    <row r="1" spans="1:16" x14ac:dyDescent="0.15">
      <c r="A1" t="s">
        <v>4</v>
      </c>
      <c r="B1" t="s">
        <v>15</v>
      </c>
      <c r="C1" t="s">
        <v>16</v>
      </c>
      <c r="D1" t="s">
        <v>16</v>
      </c>
      <c r="E1" t="s">
        <v>17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11</v>
      </c>
      <c r="N1" t="s">
        <v>10</v>
      </c>
      <c r="O1" t="s">
        <v>39</v>
      </c>
      <c r="P1" t="s">
        <v>54</v>
      </c>
    </row>
    <row r="2" spans="1:16" x14ac:dyDescent="0.15">
      <c r="A2" t="s">
        <v>13</v>
      </c>
      <c r="B2" t="s">
        <v>27</v>
      </c>
      <c r="C2">
        <v>405</v>
      </c>
      <c r="D2" t="s">
        <v>30</v>
      </c>
      <c r="E2">
        <f>C2*VLOOKUP(B2,Data!$E$2:$F$10,2,FALSE)*VLOOKUP(D2,Data!$I$2:$J$5,2,FALSE)</f>
        <v>874.80000000000007</v>
      </c>
      <c r="F2">
        <v>631</v>
      </c>
      <c r="G2">
        <v>296</v>
      </c>
      <c r="H2">
        <v>2112</v>
      </c>
      <c r="K2">
        <v>252</v>
      </c>
      <c r="L2">
        <v>2995</v>
      </c>
      <c r="M2">
        <v>480</v>
      </c>
      <c r="N2">
        <v>0.25</v>
      </c>
      <c r="O2">
        <f>F2*Data!$C$2+G2*Data!$C$3+H2*Data!$C$5+(I2+J2+K2)*Data!$C$6+(L2*Data!$C$5+M2*Data!$C$6)*N2</f>
        <v>1163.5583160324002</v>
      </c>
      <c r="P2">
        <f>O2/VLOOKUP(B2,Data!$E$2:$G$10,3,FALSE)</f>
        <v>974.50445228844239</v>
      </c>
    </row>
    <row r="3" spans="1:16" x14ac:dyDescent="0.15">
      <c r="A3" t="s">
        <v>14</v>
      </c>
      <c r="B3" t="s">
        <v>27</v>
      </c>
      <c r="C3">
        <v>440</v>
      </c>
      <c r="D3" t="s">
        <v>44</v>
      </c>
      <c r="E3">
        <f>C3*VLOOKUP(B3,Data!$E$2:$F$10,2,FALSE)*VLOOKUP(D3,Data!$I$2:$J$5,2,FALSE)</f>
        <v>1320</v>
      </c>
      <c r="F3">
        <v>952</v>
      </c>
      <c r="G3">
        <v>447</v>
      </c>
      <c r="H3">
        <v>3314</v>
      </c>
      <c r="I3">
        <v>71</v>
      </c>
      <c r="J3">
        <v>48</v>
      </c>
      <c r="K3">
        <v>214</v>
      </c>
      <c r="O3">
        <f>F3*Data!$C$2+G3*Data!$C$3+H3*Data!$C$5+(I3+J3+K3)*Data!$C$6+(L3*Data!$C$5+M3*Data!$C$6)*N3</f>
        <v>1576.2869374168079</v>
      </c>
      <c r="P3">
        <f>O3/VLOOKUP(B3,Data!$E$2:$G$10,3,FALSE)</f>
        <v>1320.173314419437</v>
      </c>
    </row>
    <row r="4" spans="1:16" x14ac:dyDescent="0.15">
      <c r="A4" t="s">
        <v>45</v>
      </c>
      <c r="B4" t="s">
        <v>27</v>
      </c>
      <c r="C4">
        <v>405</v>
      </c>
      <c r="D4" t="s">
        <v>30</v>
      </c>
      <c r="E4">
        <f>C4*VLOOKUP(B4,Data!$E$2:$F$10,2,FALSE)*VLOOKUP(D4,Data!$I$2:$J$5,2,FALSE)</f>
        <v>874.80000000000007</v>
      </c>
      <c r="F4">
        <v>631</v>
      </c>
      <c r="G4">
        <v>296</v>
      </c>
      <c r="H4">
        <v>2534</v>
      </c>
      <c r="I4">
        <v>63</v>
      </c>
      <c r="J4">
        <v>32</v>
      </c>
      <c r="O4">
        <f>F4*Data!$C$2+G4*Data!$C$3+H4*Data!$C$5+(I4+J4+K4)*Data!$C$6+(L4*Data!$C$5+M4*Data!$C$6)*N4</f>
        <v>1044.5895213130841</v>
      </c>
      <c r="P4">
        <f>O4/VLOOKUP(B4,Data!$E$2:$G$10,3,FALSE)</f>
        <v>874.86559573960142</v>
      </c>
    </row>
    <row r="5" spans="1:16" x14ac:dyDescent="0.15">
      <c r="A5" t="s">
        <v>46</v>
      </c>
      <c r="B5" t="s">
        <v>27</v>
      </c>
      <c r="C5">
        <v>435</v>
      </c>
      <c r="D5" t="s">
        <v>30</v>
      </c>
      <c r="E5">
        <f>C5*VLOOKUP(B5,Data!$E$2:$F$10,2,FALSE)*VLOOKUP(D5,Data!$I$2:$J$5,2,FALSE)</f>
        <v>939.6</v>
      </c>
      <c r="F5">
        <v>677</v>
      </c>
      <c r="G5">
        <v>318</v>
      </c>
      <c r="H5">
        <v>2721</v>
      </c>
      <c r="I5">
        <v>68</v>
      </c>
      <c r="J5">
        <v>34</v>
      </c>
      <c r="O5">
        <f>F5*Data!$C$2+G5*Data!$C$3+H5*Data!$C$5+(I5+J5+K5)*Data!$C$6+(L5*Data!$C$5+M5*Data!$C$6)*N5</f>
        <v>1121.3495675145261</v>
      </c>
      <c r="P5">
        <f>O5/VLOOKUP(B5,Data!$E$2:$G$10,3,FALSE)</f>
        <v>939.15374163695662</v>
      </c>
    </row>
    <row r="6" spans="1:16" x14ac:dyDescent="0.15">
      <c r="A6" t="s">
        <v>47</v>
      </c>
      <c r="B6" t="s">
        <v>27</v>
      </c>
      <c r="C6">
        <v>445</v>
      </c>
      <c r="D6" t="s">
        <v>30</v>
      </c>
      <c r="E6">
        <f>C6*VLOOKUP(B6,Data!$E$2:$F$10,2,FALSE)*VLOOKUP(D6,Data!$I$2:$J$5,2,FALSE)</f>
        <v>961.2</v>
      </c>
      <c r="F6">
        <v>693</v>
      </c>
      <c r="G6">
        <v>326</v>
      </c>
      <c r="H6">
        <v>2784</v>
      </c>
      <c r="I6">
        <v>69</v>
      </c>
      <c r="J6">
        <v>35</v>
      </c>
      <c r="L6">
        <v>2995</v>
      </c>
      <c r="M6">
        <v>480</v>
      </c>
      <c r="N6">
        <v>0.25</v>
      </c>
      <c r="O6">
        <f>F6*Data!$C$2+G6*Data!$C$3+H6*Data!$C$5+(I6+J6+K6)*Data!$C$6+(L6*Data!$C$5+M6*Data!$C$6)*N6</f>
        <v>1267.0333924669389</v>
      </c>
      <c r="P6">
        <f>O6/VLOOKUP(B6,Data!$E$2:$G$10,3,FALSE)</f>
        <v>1061.1669953659455</v>
      </c>
    </row>
    <row r="7" spans="1:16" x14ac:dyDescent="0.15">
      <c r="A7" t="s">
        <v>48</v>
      </c>
      <c r="B7" t="s">
        <v>27</v>
      </c>
      <c r="C7">
        <v>445</v>
      </c>
      <c r="D7" t="s">
        <v>30</v>
      </c>
      <c r="E7">
        <f>C7*VLOOKUP(B7,Data!$E$2:$F$10,2,FALSE)*VLOOKUP(D7,Data!$I$2:$J$5,2,FALSE)</f>
        <v>961.2</v>
      </c>
      <c r="F7">
        <v>693</v>
      </c>
      <c r="G7">
        <v>326</v>
      </c>
      <c r="H7">
        <v>2784</v>
      </c>
      <c r="I7">
        <v>69</v>
      </c>
      <c r="J7">
        <v>35</v>
      </c>
      <c r="O7">
        <f>F7*Data!$C$2+G7*Data!$C$3+H7*Data!$C$5+(I7+J7+K7)*Data!$C$6+(L7*Data!$C$5+M7*Data!$C$6)*N7</f>
        <v>1147.9677791507474</v>
      </c>
      <c r="P7">
        <f>O7/VLOOKUP(B7,Data!$E$2:$G$10,3,FALSE)</f>
        <v>961.44705121503137</v>
      </c>
    </row>
    <row r="8" spans="1:16" x14ac:dyDescent="0.15">
      <c r="A8" t="s">
        <v>49</v>
      </c>
      <c r="B8" t="s">
        <v>27</v>
      </c>
      <c r="C8">
        <v>475</v>
      </c>
      <c r="D8" t="s">
        <v>30</v>
      </c>
      <c r="E8">
        <f>C8*VLOOKUP(B8,Data!$E$2:$F$10,2,FALSE)*VLOOKUP(D8,Data!$I$2:$J$5,2,FALSE)</f>
        <v>1026</v>
      </c>
      <c r="F8">
        <v>740</v>
      </c>
      <c r="G8">
        <v>348</v>
      </c>
      <c r="H8">
        <v>2972</v>
      </c>
      <c r="I8">
        <v>74</v>
      </c>
      <c r="J8">
        <v>37</v>
      </c>
      <c r="O8">
        <f>F8*Data!$C$2+G8*Data!$C$3+H8*Data!$C$5+(I8+J8+K8)*Data!$C$6+(L8*Data!$C$5+M8*Data!$C$6)*N8</f>
        <v>1225.630716008777</v>
      </c>
      <c r="P8">
        <f>O8/VLOOKUP(B8,Data!$E$2:$G$10,3,FALSE)</f>
        <v>1026.4913869420243</v>
      </c>
    </row>
    <row r="9" spans="1:16" x14ac:dyDescent="0.15">
      <c r="A9" t="s">
        <v>50</v>
      </c>
      <c r="B9" t="s">
        <v>27</v>
      </c>
      <c r="C9">
        <v>485</v>
      </c>
      <c r="D9" t="s">
        <v>30</v>
      </c>
      <c r="E9">
        <f>C9*VLOOKUP(B9,Data!$E$2:$F$10,2,FALSE)*VLOOKUP(D9,Data!$I$2:$J$5,2,FALSE)</f>
        <v>1047.6000000000001</v>
      </c>
      <c r="F9">
        <v>755</v>
      </c>
      <c r="G9">
        <v>355</v>
      </c>
      <c r="H9">
        <v>3034</v>
      </c>
      <c r="I9">
        <v>76</v>
      </c>
      <c r="J9">
        <v>38</v>
      </c>
      <c r="O9">
        <f>F9*Data!$C$2+G9*Data!$C$3+H9*Data!$C$5+(I9+J9+K9)*Data!$C$6+(L9*Data!$C$5+M9*Data!$C$6)*N9</f>
        <v>1250.8507862649519</v>
      </c>
      <c r="P9">
        <f>O9/VLOOKUP(B9,Data!$E$2:$G$10,3,FALSE)</f>
        <v>1047.6137238399933</v>
      </c>
    </row>
    <row r="10" spans="1:16" x14ac:dyDescent="0.15">
      <c r="A10" t="s">
        <v>51</v>
      </c>
      <c r="B10" t="s">
        <v>27</v>
      </c>
      <c r="C10">
        <v>495</v>
      </c>
      <c r="D10" t="s">
        <v>30</v>
      </c>
      <c r="E10">
        <f>C10*VLOOKUP(B10,Data!$E$2:$F$10,2,FALSE)*VLOOKUP(D10,Data!$I$2:$J$5,2,FALSE)</f>
        <v>1069.2</v>
      </c>
      <c r="F10">
        <v>771</v>
      </c>
      <c r="G10">
        <v>362</v>
      </c>
      <c r="H10">
        <v>2581</v>
      </c>
      <c r="K10">
        <v>308</v>
      </c>
      <c r="O10">
        <f>F10*Data!$C$2+G10*Data!$C$3+H10*Data!$C$5+(I10+J10+K10)*Data!$C$6+(L10*Data!$C$5+M10*Data!$C$6)*N10</f>
        <v>1276.565539039537</v>
      </c>
      <c r="P10">
        <f>O10/VLOOKUP(B10,Data!$E$2:$G$10,3,FALSE)</f>
        <v>1069.1503677048049</v>
      </c>
    </row>
    <row r="11" spans="1:16" x14ac:dyDescent="0.15">
      <c r="A11" t="s">
        <v>52</v>
      </c>
      <c r="B11" t="s">
        <v>27</v>
      </c>
      <c r="C11">
        <v>525</v>
      </c>
      <c r="D11" t="s">
        <v>30</v>
      </c>
      <c r="E11">
        <f>C11*VLOOKUP(B11,Data!$E$2:$F$10,2,FALSE)*VLOOKUP(D11,Data!$I$2:$J$5,2,FALSE)</f>
        <v>1134</v>
      </c>
      <c r="F11">
        <v>818</v>
      </c>
      <c r="G11">
        <v>384</v>
      </c>
      <c r="H11">
        <v>3284</v>
      </c>
      <c r="I11">
        <v>82</v>
      </c>
      <c r="J11">
        <v>41</v>
      </c>
      <c r="O11">
        <f>F11*Data!$C$2+G11*Data!$C$3+H11*Data!$C$5+(I11+J11+K11)*Data!$C$6+(L11*Data!$C$5+M11*Data!$C$6)*N11</f>
        <v>1354.2271675381489</v>
      </c>
      <c r="P11">
        <f>O11/VLOOKUP(B11,Data!$E$2:$G$10,3,FALSE)</f>
        <v>1134.1936076533912</v>
      </c>
    </row>
    <row r="12" spans="1:16" x14ac:dyDescent="0.15">
      <c r="A12" t="s">
        <v>53</v>
      </c>
      <c r="B12" t="s">
        <v>27</v>
      </c>
      <c r="C12">
        <v>535</v>
      </c>
      <c r="D12" t="s">
        <v>30</v>
      </c>
      <c r="E12">
        <f>C12*VLOOKUP(B12,Data!$E$2:$F$10,2,FALSE)*VLOOKUP(D12,Data!$I$2:$J$5,2,FALSE)</f>
        <v>1155.6000000000001</v>
      </c>
      <c r="F12">
        <v>833</v>
      </c>
      <c r="G12">
        <v>391</v>
      </c>
      <c r="H12">
        <v>2790</v>
      </c>
      <c r="K12">
        <v>333</v>
      </c>
      <c r="O12">
        <f>F12*Data!$C$2+G12*Data!$C$3+H12*Data!$C$5+(I12+J12+K12)*Data!$C$6+(L12*Data!$C$5+M12*Data!$C$6)*N12</f>
        <v>1379.3635027916212</v>
      </c>
      <c r="P12">
        <f>O12/VLOOKUP(B12,Data!$E$2:$G$10,3,FALSE)</f>
        <v>1155.2458147333512</v>
      </c>
    </row>
  </sheetData>
  <phoneticPr fontId="1" type="noConversion"/>
  <dataValidations count="2">
    <dataValidation type="list" allowBlank="1" showInputMessage="1" showErrorMessage="1" sqref="B2:B1048576">
      <formula1>"帽子,衣服,腰带,护手,下装,鞋子,饰品,暗器,武器"</formula1>
    </dataValidation>
    <dataValidation type="list" allowBlank="1" showInputMessage="1" showErrorMessage="1" sqref="D2:D1048576">
      <formula1>"橙,紫,蓝,绿"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6" workbookViewId="0">
      <selection activeCell="A18" sqref="A18"/>
    </sheetView>
  </sheetViews>
  <sheetFormatPr defaultRowHeight="13.5" x14ac:dyDescent="0.15"/>
  <cols>
    <col min="2" max="2" width="15.625" customWidth="1"/>
    <col min="3" max="3" width="15.25" customWidth="1"/>
  </cols>
  <sheetData>
    <row r="1" spans="1:10" x14ac:dyDescent="0.15">
      <c r="B1" t="s">
        <v>41</v>
      </c>
      <c r="C1" t="s">
        <v>42</v>
      </c>
      <c r="E1" t="s">
        <v>18</v>
      </c>
      <c r="F1" t="s">
        <v>36</v>
      </c>
      <c r="G1" t="s">
        <v>40</v>
      </c>
      <c r="I1" t="s">
        <v>29</v>
      </c>
      <c r="J1" t="s">
        <v>35</v>
      </c>
    </row>
    <row r="2" spans="1:10" x14ac:dyDescent="0.15">
      <c r="A2" t="s">
        <v>0</v>
      </c>
      <c r="B2">
        <f>(472-1384*B4)/340</f>
        <v>0.10431462365023629</v>
      </c>
      <c r="C2">
        <f>459/(331+160*1771/1139)</f>
        <v>0.79168010612248607</v>
      </c>
      <c r="E2" t="s">
        <v>19</v>
      </c>
      <c r="F2" s="1">
        <v>0.9</v>
      </c>
      <c r="G2" s="1">
        <v>1</v>
      </c>
      <c r="I2" t="s">
        <v>34</v>
      </c>
      <c r="J2" s="1">
        <v>2.5</v>
      </c>
    </row>
    <row r="3" spans="1:10" x14ac:dyDescent="0.15">
      <c r="A3" t="s">
        <v>43</v>
      </c>
      <c r="B3">
        <f>((473-341*B2-508*B4-(136+85)*B6)/160+(473-341*B2-565*B4-(68+26+85)*B6)/160)/2</f>
        <v>1.1442123363535259</v>
      </c>
      <c r="C3">
        <f>(473-341*C2-684*C5)/160</f>
        <v>0.79355667058871626</v>
      </c>
      <c r="E3" t="s">
        <v>20</v>
      </c>
      <c r="F3" s="1">
        <v>1</v>
      </c>
      <c r="G3" s="1">
        <v>1</v>
      </c>
      <c r="I3" t="s">
        <v>31</v>
      </c>
      <c r="J3" s="1">
        <v>1.8</v>
      </c>
    </row>
    <row r="4" spans="1:10" x14ac:dyDescent="0.15">
      <c r="A4" t="s">
        <v>2</v>
      </c>
      <c r="B4">
        <f>(945*202-561*681)/(2077*202-1506*681)</f>
        <v>0.31541403754257202</v>
      </c>
      <c r="E4" t="s">
        <v>21</v>
      </c>
      <c r="F4" s="1">
        <v>0.7</v>
      </c>
      <c r="G4" s="1">
        <v>1</v>
      </c>
      <c r="I4" t="s">
        <v>32</v>
      </c>
      <c r="J4" s="1">
        <v>1.2</v>
      </c>
    </row>
    <row r="5" spans="1:10" x14ac:dyDescent="0.15">
      <c r="A5" t="s">
        <v>3</v>
      </c>
      <c r="C5">
        <f>459/(1771+331*1139/160)</f>
        <v>0.11121055046496732</v>
      </c>
      <c r="E5" t="s">
        <v>22</v>
      </c>
      <c r="F5" s="1">
        <v>0.7</v>
      </c>
      <c r="G5" s="1">
        <v>1</v>
      </c>
      <c r="I5" t="s">
        <v>33</v>
      </c>
      <c r="J5" s="1">
        <v>0.6</v>
      </c>
    </row>
    <row r="6" spans="1:10" x14ac:dyDescent="0.15">
      <c r="A6" t="s">
        <v>1</v>
      </c>
      <c r="B6">
        <f>(945-2077*B4)/681</f>
        <v>0.42567554188557705</v>
      </c>
      <c r="C6">
        <f>228*C5/85</f>
        <v>0.29830594712955943</v>
      </c>
      <c r="E6" t="s">
        <v>23</v>
      </c>
      <c r="F6" s="1">
        <v>1</v>
      </c>
      <c r="G6" s="1">
        <v>1</v>
      </c>
    </row>
    <row r="7" spans="1:10" x14ac:dyDescent="0.15">
      <c r="E7" t="s">
        <v>24</v>
      </c>
      <c r="F7" s="1">
        <v>0.7</v>
      </c>
      <c r="G7" s="1">
        <v>1</v>
      </c>
    </row>
    <row r="8" spans="1:10" x14ac:dyDescent="0.15">
      <c r="E8" t="s">
        <v>25</v>
      </c>
      <c r="F8" s="1">
        <v>0.5</v>
      </c>
      <c r="G8" s="1">
        <v>1</v>
      </c>
    </row>
    <row r="9" spans="1:10" x14ac:dyDescent="0.15">
      <c r="E9" t="s">
        <v>26</v>
      </c>
      <c r="F9" s="1">
        <v>0.6</v>
      </c>
      <c r="G9" s="1">
        <v>1</v>
      </c>
    </row>
    <row r="10" spans="1:10" x14ac:dyDescent="0.15">
      <c r="E10" t="s">
        <v>28</v>
      </c>
      <c r="F10" s="1">
        <v>1.2</v>
      </c>
      <c r="G10" s="1">
        <v>1.194</v>
      </c>
    </row>
    <row r="15" spans="1:10" x14ac:dyDescent="0.15">
      <c r="A15" t="s">
        <v>37</v>
      </c>
    </row>
    <row r="16" spans="1:10" x14ac:dyDescent="0.15">
      <c r="A1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R21" sqref="R21"/>
    </sheetView>
  </sheetViews>
  <sheetFormatPr defaultRowHeight="13.5" x14ac:dyDescent="0.15"/>
  <sheetData>
    <row r="1" spans="1:19" x14ac:dyDescent="0.15">
      <c r="B1" s="2" t="s">
        <v>102</v>
      </c>
      <c r="C1" s="2"/>
      <c r="D1" s="2"/>
      <c r="E1" s="2"/>
      <c r="F1" s="2"/>
      <c r="G1" s="2"/>
      <c r="H1" s="2"/>
      <c r="I1" s="2"/>
      <c r="L1" s="2" t="s">
        <v>103</v>
      </c>
      <c r="M1" s="2"/>
      <c r="N1" s="2"/>
      <c r="O1" s="2"/>
      <c r="P1" s="2"/>
      <c r="Q1" s="2"/>
      <c r="R1" s="2"/>
      <c r="S1" s="2"/>
    </row>
    <row r="2" spans="1:19" x14ac:dyDescent="0.15">
      <c r="B2" s="2" t="s">
        <v>73</v>
      </c>
      <c r="C2" s="2"/>
      <c r="D2" s="2"/>
      <c r="E2" s="2"/>
      <c r="F2" s="2" t="s">
        <v>74</v>
      </c>
      <c r="G2" s="2"/>
      <c r="H2" s="2"/>
      <c r="I2" s="2"/>
      <c r="L2" s="2" t="s">
        <v>73</v>
      </c>
      <c r="M2" s="2"/>
      <c r="N2" s="2"/>
      <c r="O2" s="2"/>
      <c r="P2" s="2" t="s">
        <v>74</v>
      </c>
      <c r="Q2" s="2"/>
      <c r="R2" s="2"/>
      <c r="S2" s="2"/>
    </row>
    <row r="3" spans="1:19" x14ac:dyDescent="0.15">
      <c r="B3" t="s">
        <v>67</v>
      </c>
      <c r="C3" t="s">
        <v>75</v>
      </c>
      <c r="D3" t="s">
        <v>68</v>
      </c>
      <c r="E3" t="s">
        <v>70</v>
      </c>
      <c r="F3" t="s">
        <v>71</v>
      </c>
      <c r="G3" t="s">
        <v>76</v>
      </c>
      <c r="H3" t="s">
        <v>68</v>
      </c>
      <c r="I3" t="s">
        <v>72</v>
      </c>
      <c r="L3" t="s">
        <v>67</v>
      </c>
      <c r="M3" t="s">
        <v>75</v>
      </c>
      <c r="N3" t="s">
        <v>68</v>
      </c>
      <c r="O3" t="s">
        <v>70</v>
      </c>
      <c r="P3" t="s">
        <v>67</v>
      </c>
      <c r="Q3" t="s">
        <v>75</v>
      </c>
      <c r="R3" t="s">
        <v>68</v>
      </c>
      <c r="S3" t="s">
        <v>70</v>
      </c>
    </row>
    <row r="4" spans="1:19" x14ac:dyDescent="0.15">
      <c r="A4" t="s">
        <v>55</v>
      </c>
      <c r="B4">
        <v>574</v>
      </c>
      <c r="C4">
        <v>30</v>
      </c>
      <c r="F4">
        <v>288</v>
      </c>
      <c r="G4">
        <v>15</v>
      </c>
      <c r="I4">
        <v>14</v>
      </c>
      <c r="K4" t="s">
        <v>19</v>
      </c>
      <c r="L4">
        <v>574</v>
      </c>
      <c r="M4">
        <v>30</v>
      </c>
      <c r="P4">
        <v>288</v>
      </c>
      <c r="Q4">
        <v>15</v>
      </c>
      <c r="S4">
        <v>14</v>
      </c>
    </row>
    <row r="5" spans="1:19" x14ac:dyDescent="0.15">
      <c r="A5" t="s">
        <v>56</v>
      </c>
      <c r="B5">
        <v>1073</v>
      </c>
      <c r="C5">
        <v>56</v>
      </c>
      <c r="D5">
        <v>231</v>
      </c>
      <c r="F5">
        <v>314</v>
      </c>
      <c r="G5">
        <v>16</v>
      </c>
      <c r="I5">
        <v>14</v>
      </c>
      <c r="K5" t="s">
        <v>20</v>
      </c>
      <c r="L5">
        <v>1073</v>
      </c>
      <c r="M5">
        <v>56</v>
      </c>
      <c r="N5">
        <v>231</v>
      </c>
      <c r="P5">
        <v>314</v>
      </c>
      <c r="Q5">
        <v>16</v>
      </c>
      <c r="S5">
        <v>14</v>
      </c>
    </row>
    <row r="6" spans="1:19" x14ac:dyDescent="0.15">
      <c r="A6" t="s">
        <v>57</v>
      </c>
      <c r="B6">
        <v>447</v>
      </c>
      <c r="C6">
        <v>23</v>
      </c>
      <c r="F6">
        <v>224</v>
      </c>
      <c r="G6">
        <v>12</v>
      </c>
      <c r="I6">
        <v>14</v>
      </c>
      <c r="K6" t="s">
        <v>21</v>
      </c>
      <c r="L6">
        <v>447</v>
      </c>
      <c r="M6">
        <v>23</v>
      </c>
      <c r="P6">
        <v>224</v>
      </c>
      <c r="Q6">
        <v>12</v>
      </c>
      <c r="S6">
        <v>14</v>
      </c>
    </row>
    <row r="7" spans="1:19" x14ac:dyDescent="0.15">
      <c r="A7" t="s">
        <v>58</v>
      </c>
      <c r="B7">
        <v>766</v>
      </c>
      <c r="C7">
        <v>39</v>
      </c>
      <c r="F7">
        <v>224</v>
      </c>
      <c r="G7">
        <v>12</v>
      </c>
      <c r="K7" t="s">
        <v>22</v>
      </c>
      <c r="L7">
        <v>766</v>
      </c>
      <c r="M7">
        <v>39</v>
      </c>
      <c r="P7">
        <v>224</v>
      </c>
      <c r="Q7">
        <v>12</v>
      </c>
    </row>
    <row r="8" spans="1:19" x14ac:dyDescent="0.15">
      <c r="A8" t="s">
        <v>59</v>
      </c>
      <c r="B8">
        <v>650</v>
      </c>
      <c r="C8">
        <v>33</v>
      </c>
      <c r="E8">
        <v>104</v>
      </c>
      <c r="F8">
        <v>326</v>
      </c>
      <c r="G8">
        <v>16</v>
      </c>
      <c r="I8">
        <v>14</v>
      </c>
      <c r="K8" t="s">
        <v>23</v>
      </c>
      <c r="L8">
        <v>650</v>
      </c>
      <c r="M8">
        <v>33</v>
      </c>
      <c r="O8">
        <v>104</v>
      </c>
      <c r="P8">
        <v>326</v>
      </c>
      <c r="Q8">
        <v>16</v>
      </c>
      <c r="S8">
        <v>14</v>
      </c>
    </row>
    <row r="9" spans="1:19" x14ac:dyDescent="0.15">
      <c r="A9" t="s">
        <v>60</v>
      </c>
      <c r="B9">
        <v>438</v>
      </c>
      <c r="C9">
        <v>23</v>
      </c>
      <c r="E9">
        <v>104</v>
      </c>
      <c r="F9">
        <v>220</v>
      </c>
      <c r="G9">
        <v>12</v>
      </c>
      <c r="K9" t="s">
        <v>24</v>
      </c>
      <c r="L9">
        <v>438</v>
      </c>
      <c r="M9">
        <v>23</v>
      </c>
      <c r="O9">
        <v>104</v>
      </c>
      <c r="P9">
        <v>220</v>
      </c>
      <c r="Q9">
        <v>12</v>
      </c>
    </row>
    <row r="10" spans="1:19" x14ac:dyDescent="0.15">
      <c r="A10" t="s">
        <v>61</v>
      </c>
      <c r="B10">
        <v>547</v>
      </c>
      <c r="C10">
        <v>28</v>
      </c>
      <c r="F10">
        <v>160</v>
      </c>
      <c r="G10">
        <v>8</v>
      </c>
      <c r="K10" t="s">
        <v>61</v>
      </c>
      <c r="L10">
        <v>547</v>
      </c>
      <c r="M10">
        <v>28</v>
      </c>
      <c r="P10">
        <v>160</v>
      </c>
      <c r="Q10">
        <v>8</v>
      </c>
    </row>
    <row r="11" spans="1:19" x14ac:dyDescent="0.15">
      <c r="A11" t="s">
        <v>62</v>
      </c>
      <c r="B11">
        <v>319</v>
      </c>
      <c r="C11">
        <v>16</v>
      </c>
      <c r="E11">
        <v>104</v>
      </c>
      <c r="F11">
        <v>160</v>
      </c>
      <c r="G11">
        <v>8</v>
      </c>
      <c r="K11" t="s">
        <v>62</v>
      </c>
      <c r="L11">
        <v>319</v>
      </c>
      <c r="M11">
        <v>16</v>
      </c>
      <c r="O11">
        <v>104</v>
      </c>
      <c r="P11">
        <v>160</v>
      </c>
      <c r="Q11">
        <v>8</v>
      </c>
    </row>
    <row r="12" spans="1:19" x14ac:dyDescent="0.15">
      <c r="A12" t="s">
        <v>63</v>
      </c>
      <c r="B12">
        <v>319</v>
      </c>
      <c r="C12">
        <v>16</v>
      </c>
      <c r="F12">
        <v>160</v>
      </c>
      <c r="G12">
        <v>8</v>
      </c>
      <c r="K12" t="s">
        <v>63</v>
      </c>
      <c r="L12">
        <v>319</v>
      </c>
      <c r="M12">
        <v>16</v>
      </c>
      <c r="P12">
        <v>160</v>
      </c>
      <c r="Q12">
        <v>8</v>
      </c>
    </row>
    <row r="13" spans="1:19" x14ac:dyDescent="0.15">
      <c r="A13" t="s">
        <v>64</v>
      </c>
      <c r="B13">
        <v>319</v>
      </c>
      <c r="C13">
        <v>16</v>
      </c>
      <c r="F13">
        <v>160</v>
      </c>
      <c r="G13">
        <v>8</v>
      </c>
      <c r="K13" t="s">
        <v>64</v>
      </c>
      <c r="L13">
        <v>319</v>
      </c>
      <c r="M13">
        <v>16</v>
      </c>
      <c r="P13">
        <v>160</v>
      </c>
      <c r="Q13">
        <v>8</v>
      </c>
    </row>
    <row r="14" spans="1:19" x14ac:dyDescent="0.15">
      <c r="A14" t="s">
        <v>65</v>
      </c>
      <c r="B14">
        <v>383</v>
      </c>
      <c r="C14">
        <v>20</v>
      </c>
      <c r="F14">
        <v>192</v>
      </c>
      <c r="G14">
        <v>10</v>
      </c>
      <c r="K14" t="s">
        <v>26</v>
      </c>
      <c r="L14">
        <v>383</v>
      </c>
      <c r="M14">
        <v>20</v>
      </c>
      <c r="P14">
        <v>192</v>
      </c>
      <c r="Q14">
        <v>10</v>
      </c>
    </row>
    <row r="15" spans="1:19" x14ac:dyDescent="0.15">
      <c r="A15" t="s">
        <v>66</v>
      </c>
      <c r="B15">
        <v>2790</v>
      </c>
      <c r="C15">
        <v>141</v>
      </c>
      <c r="D15">
        <v>347</v>
      </c>
      <c r="E15">
        <v>104</v>
      </c>
      <c r="F15">
        <v>391</v>
      </c>
      <c r="G15">
        <v>20</v>
      </c>
      <c r="I15">
        <v>14</v>
      </c>
      <c r="K15" t="s">
        <v>28</v>
      </c>
      <c r="L15">
        <v>2790</v>
      </c>
      <c r="M15">
        <v>141</v>
      </c>
      <c r="N15">
        <v>347</v>
      </c>
      <c r="O15">
        <v>104</v>
      </c>
      <c r="P15">
        <v>391</v>
      </c>
      <c r="Q15">
        <v>20</v>
      </c>
      <c r="S15">
        <v>14</v>
      </c>
    </row>
    <row r="16" spans="1:19" x14ac:dyDescent="0.15">
      <c r="A16" t="s">
        <v>69</v>
      </c>
      <c r="B16">
        <v>2109</v>
      </c>
      <c r="F16" t="s">
        <v>81</v>
      </c>
      <c r="G16">
        <v>98</v>
      </c>
      <c r="H16">
        <v>183</v>
      </c>
      <c r="K16" t="s">
        <v>69</v>
      </c>
      <c r="L16">
        <v>2109</v>
      </c>
      <c r="P16" t="s">
        <v>81</v>
      </c>
      <c r="Q16">
        <v>98</v>
      </c>
      <c r="R16">
        <v>183</v>
      </c>
    </row>
    <row r="17" spans="1:18" x14ac:dyDescent="0.15">
      <c r="A17" t="s">
        <v>85</v>
      </c>
      <c r="B17">
        <v>0</v>
      </c>
      <c r="F17" t="s">
        <v>77</v>
      </c>
      <c r="G17">
        <f>SUM(F4:I16)</f>
        <v>3315</v>
      </c>
      <c r="K17" t="s">
        <v>85</v>
      </c>
      <c r="L17">
        <v>0</v>
      </c>
      <c r="P17" t="s">
        <v>77</v>
      </c>
      <c r="Q17">
        <f>SUM(P4:S16)</f>
        <v>3315</v>
      </c>
    </row>
    <row r="18" spans="1:18" x14ac:dyDescent="0.15">
      <c r="A18" t="s">
        <v>80</v>
      </c>
      <c r="B18">
        <f>SUM(B4:E17)</f>
        <v>12169</v>
      </c>
      <c r="F18" t="s">
        <v>87</v>
      </c>
      <c r="G18">
        <v>0</v>
      </c>
      <c r="K18" t="s">
        <v>80</v>
      </c>
      <c r="L18">
        <f>SUM(L4:O17)</f>
        <v>12169</v>
      </c>
      <c r="P18" t="s">
        <v>87</v>
      </c>
      <c r="Q18">
        <v>117</v>
      </c>
    </row>
    <row r="19" spans="1:18" x14ac:dyDescent="0.15">
      <c r="A19" t="s">
        <v>83</v>
      </c>
      <c r="B19">
        <v>0.3</v>
      </c>
      <c r="F19" t="s">
        <v>78</v>
      </c>
      <c r="G19">
        <v>0.12</v>
      </c>
      <c r="K19" t="s">
        <v>83</v>
      </c>
      <c r="L19">
        <v>0.3</v>
      </c>
      <c r="P19" t="s">
        <v>78</v>
      </c>
      <c r="Q19">
        <v>0.05</v>
      </c>
    </row>
    <row r="20" spans="1:18" x14ac:dyDescent="0.15">
      <c r="A20" t="s">
        <v>86</v>
      </c>
      <c r="B20">
        <v>0.15</v>
      </c>
      <c r="F20" t="s">
        <v>79</v>
      </c>
      <c r="G20">
        <f>(G17+G18)*(1+G19)</f>
        <v>3712.8</v>
      </c>
      <c r="K20" t="s">
        <v>86</v>
      </c>
      <c r="L20">
        <v>0.15</v>
      </c>
      <c r="P20" t="s">
        <v>79</v>
      </c>
      <c r="Q20">
        <f>(Q17+Q18)*(1+Q19)</f>
        <v>3603.6000000000004</v>
      </c>
    </row>
    <row r="21" spans="1:18" x14ac:dyDescent="0.15">
      <c r="A21" t="s">
        <v>82</v>
      </c>
      <c r="B21">
        <f>G20*5.75</f>
        <v>21348.600000000002</v>
      </c>
      <c r="K21" t="s">
        <v>74</v>
      </c>
      <c r="L21">
        <f>Q20*5.75</f>
        <v>20720.7</v>
      </c>
    </row>
    <row r="22" spans="1:18" x14ac:dyDescent="0.15">
      <c r="A22" t="s">
        <v>84</v>
      </c>
      <c r="B22">
        <f>B18*(1+SUM(B19:B20))+B21</f>
        <v>38993.65</v>
      </c>
      <c r="K22" t="s">
        <v>84</v>
      </c>
      <c r="L22">
        <f>L18*(1+SUM(L19:L20))+L21</f>
        <v>38365.75</v>
      </c>
    </row>
    <row r="23" spans="1:18" x14ac:dyDescent="0.15">
      <c r="A23" t="s">
        <v>99</v>
      </c>
      <c r="B23">
        <v>0</v>
      </c>
      <c r="K23" t="s">
        <v>99</v>
      </c>
      <c r="L23">
        <v>0</v>
      </c>
    </row>
    <row r="24" spans="1:18" x14ac:dyDescent="0.15">
      <c r="A24" t="s">
        <v>89</v>
      </c>
      <c r="B24">
        <v>0</v>
      </c>
      <c r="K24" t="s">
        <v>89</v>
      </c>
      <c r="L24">
        <v>0.08</v>
      </c>
    </row>
    <row r="25" spans="1:18" x14ac:dyDescent="0.15">
      <c r="A25" t="s">
        <v>91</v>
      </c>
      <c r="B25">
        <v>0.6522</v>
      </c>
      <c r="C25">
        <v>0</v>
      </c>
      <c r="F25" t="s">
        <v>97</v>
      </c>
      <c r="G25">
        <f>SUM(B25:E25)</f>
        <v>0.6522</v>
      </c>
      <c r="K25" t="s">
        <v>91</v>
      </c>
      <c r="L25">
        <v>0.61909999999999998</v>
      </c>
      <c r="M25">
        <v>0</v>
      </c>
      <c r="P25" t="s">
        <v>97</v>
      </c>
      <c r="Q25">
        <f>SUM(L25:O25)</f>
        <v>0.61909999999999998</v>
      </c>
    </row>
    <row r="26" spans="1:18" x14ac:dyDescent="0.15">
      <c r="A26" t="s">
        <v>92</v>
      </c>
      <c r="B26">
        <v>2.2671999999999999</v>
      </c>
      <c r="C26">
        <v>0</v>
      </c>
      <c r="D26">
        <v>0.26889999999999997</v>
      </c>
      <c r="E26">
        <v>0.2</v>
      </c>
      <c r="F26" t="s">
        <v>98</v>
      </c>
      <c r="G26">
        <f>SUM(B26:E26)</f>
        <v>2.7361</v>
      </c>
      <c r="K26" t="s">
        <v>92</v>
      </c>
      <c r="L26">
        <v>2.2593999999999999</v>
      </c>
      <c r="M26">
        <v>0</v>
      </c>
      <c r="N26">
        <v>0.26889999999999997</v>
      </c>
      <c r="O26">
        <v>0.2</v>
      </c>
      <c r="P26" t="s">
        <v>98</v>
      </c>
      <c r="Q26">
        <f>SUM(L26:O26)</f>
        <v>2.7282999999999999</v>
      </c>
    </row>
    <row r="28" spans="1:18" x14ac:dyDescent="0.15">
      <c r="B28" t="s">
        <v>101</v>
      </c>
      <c r="C28" t="s">
        <v>93</v>
      </c>
      <c r="D28" t="s">
        <v>94</v>
      </c>
      <c r="F28" t="s">
        <v>95</v>
      </c>
      <c r="G28" t="s">
        <v>96</v>
      </c>
      <c r="H28" t="s">
        <v>100</v>
      </c>
      <c r="L28" t="s">
        <v>101</v>
      </c>
      <c r="M28" t="s">
        <v>93</v>
      </c>
      <c r="N28" t="s">
        <v>94</v>
      </c>
      <c r="P28" t="s">
        <v>95</v>
      </c>
      <c r="Q28" t="s">
        <v>96</v>
      </c>
      <c r="R28" t="s">
        <v>100</v>
      </c>
    </row>
    <row r="29" spans="1:18" x14ac:dyDescent="0.15">
      <c r="A29" t="s">
        <v>90</v>
      </c>
      <c r="B29">
        <v>0.08</v>
      </c>
      <c r="C29">
        <v>8.2988469999999995E-2</v>
      </c>
      <c r="D29">
        <v>200</v>
      </c>
      <c r="E29">
        <v>200</v>
      </c>
      <c r="F29">
        <f>(B$22*C29+(D29+E29)/2)*(1+B29)*(1+B$24)</f>
        <v>3710.9052214727399</v>
      </c>
      <c r="G29">
        <f>F29*G$26</f>
        <v>10153.407776471564</v>
      </c>
      <c r="H29">
        <f>F29*(1-G$25)+G29*G$25</f>
        <v>7912.7053878429733</v>
      </c>
      <c r="K29" t="s">
        <v>90</v>
      </c>
      <c r="L29">
        <v>0.08</v>
      </c>
      <c r="M29">
        <v>8.2988469999999995E-2</v>
      </c>
      <c r="N29">
        <v>200</v>
      </c>
      <c r="O29">
        <v>200</v>
      </c>
      <c r="P29">
        <f>(L$22*M29+(N29+O29)/2)*(1+L29)*(1+L$24)</f>
        <v>3946.9983310814769</v>
      </c>
      <c r="Q29">
        <f>P29*Q$26</f>
        <v>10768.595546689594</v>
      </c>
      <c r="R29">
        <f>P29*(1-Q$25)+Q29*Q$25</f>
        <v>8170.2491672644619</v>
      </c>
    </row>
    <row r="30" spans="1:18" x14ac:dyDescent="0.15">
      <c r="A30" t="s">
        <v>88</v>
      </c>
      <c r="B30">
        <v>0.12</v>
      </c>
      <c r="C30">
        <v>0.2499931</v>
      </c>
      <c r="D30">
        <v>363</v>
      </c>
      <c r="E30">
        <v>401</v>
      </c>
      <c r="F30">
        <f>(B$22*C30+(D30+E30)/2)*(1+B30)*(1+B$24)</f>
        <v>11345.760657072802</v>
      </c>
      <c r="G30">
        <f>F30*G$26</f>
        <v>31043.135733816893</v>
      </c>
      <c r="H30">
        <f>F30*(1-G$25)+G30*G$25</f>
        <v>24192.3886821253</v>
      </c>
      <c r="K30" t="s">
        <v>88</v>
      </c>
      <c r="L30">
        <v>0.12</v>
      </c>
      <c r="M30">
        <v>0.2499931</v>
      </c>
      <c r="N30">
        <v>363</v>
      </c>
      <c r="O30">
        <v>401</v>
      </c>
      <c r="P30">
        <f>(L$22*M30+(N30+O30)/2)*(1+L30)*(1+L$24)</f>
        <v>12063.549790242721</v>
      </c>
      <c r="Q30">
        <f>P30*Q$26</f>
        <v>32912.982892719214</v>
      </c>
      <c r="R30">
        <f>P30*(1-Q$25)+Q30*Q$25</f>
        <v>24971.433823985917</v>
      </c>
    </row>
  </sheetData>
  <mergeCells count="6">
    <mergeCell ref="B2:E2"/>
    <mergeCell ref="F2:I2"/>
    <mergeCell ref="L2:O2"/>
    <mergeCell ref="P2:S2"/>
    <mergeCell ref="B1:I1"/>
    <mergeCell ref="L1:S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Q21" sqref="Q21"/>
    </sheetView>
  </sheetViews>
  <sheetFormatPr defaultRowHeight="13.5" x14ac:dyDescent="0.15"/>
  <sheetData>
    <row r="1" spans="1:19" x14ac:dyDescent="0.15">
      <c r="B1" s="2" t="s">
        <v>102</v>
      </c>
      <c r="C1" s="2"/>
      <c r="D1" s="2"/>
      <c r="E1" s="2"/>
      <c r="F1" s="2"/>
      <c r="G1" s="2"/>
      <c r="H1" s="2"/>
      <c r="I1" s="2"/>
      <c r="L1" s="2" t="s">
        <v>103</v>
      </c>
      <c r="M1" s="2"/>
      <c r="N1" s="2"/>
      <c r="O1" s="2"/>
      <c r="P1" s="2"/>
      <c r="Q1" s="2"/>
      <c r="R1" s="2"/>
      <c r="S1" s="2"/>
    </row>
    <row r="2" spans="1:19" x14ac:dyDescent="0.15">
      <c r="B2" s="2" t="s">
        <v>73</v>
      </c>
      <c r="C2" s="2"/>
      <c r="D2" s="2"/>
      <c r="E2" s="2"/>
      <c r="F2" s="2" t="s">
        <v>74</v>
      </c>
      <c r="G2" s="2"/>
      <c r="H2" s="2"/>
      <c r="I2" s="2"/>
      <c r="L2" s="2" t="s">
        <v>73</v>
      </c>
      <c r="M2" s="2"/>
      <c r="N2" s="2"/>
      <c r="O2" s="2"/>
      <c r="P2" s="2" t="s">
        <v>74</v>
      </c>
      <c r="Q2" s="2"/>
      <c r="R2" s="2"/>
      <c r="S2" s="2"/>
    </row>
    <row r="3" spans="1:19" x14ac:dyDescent="0.15">
      <c r="B3" t="s">
        <v>67</v>
      </c>
      <c r="C3" t="s">
        <v>75</v>
      </c>
      <c r="D3" t="s">
        <v>68</v>
      </c>
      <c r="E3" t="s">
        <v>70</v>
      </c>
      <c r="F3" t="s">
        <v>67</v>
      </c>
      <c r="G3" t="s">
        <v>75</v>
      </c>
      <c r="H3" t="s">
        <v>68</v>
      </c>
      <c r="I3" t="s">
        <v>70</v>
      </c>
      <c r="L3" t="s">
        <v>67</v>
      </c>
      <c r="M3" t="s">
        <v>75</v>
      </c>
      <c r="N3" t="s">
        <v>68</v>
      </c>
      <c r="O3" t="s">
        <v>70</v>
      </c>
      <c r="P3" t="s">
        <v>67</v>
      </c>
      <c r="Q3" t="s">
        <v>75</v>
      </c>
      <c r="R3" t="s">
        <v>68</v>
      </c>
      <c r="S3" t="s">
        <v>70</v>
      </c>
    </row>
    <row r="4" spans="1:19" x14ac:dyDescent="0.15">
      <c r="A4" t="s">
        <v>19</v>
      </c>
      <c r="B4">
        <v>574</v>
      </c>
      <c r="C4">
        <v>30</v>
      </c>
      <c r="F4">
        <v>288</v>
      </c>
      <c r="G4">
        <v>15</v>
      </c>
      <c r="I4">
        <v>14</v>
      </c>
      <c r="K4" t="s">
        <v>19</v>
      </c>
      <c r="L4">
        <v>574</v>
      </c>
      <c r="M4">
        <v>30</v>
      </c>
      <c r="P4">
        <v>288</v>
      </c>
      <c r="Q4">
        <v>15</v>
      </c>
      <c r="S4">
        <v>14</v>
      </c>
    </row>
    <row r="5" spans="1:19" x14ac:dyDescent="0.15">
      <c r="A5" t="s">
        <v>20</v>
      </c>
      <c r="B5">
        <v>1073</v>
      </c>
      <c r="C5">
        <v>56</v>
      </c>
      <c r="D5">
        <v>231</v>
      </c>
      <c r="F5">
        <v>314</v>
      </c>
      <c r="G5">
        <v>16</v>
      </c>
      <c r="I5">
        <v>14</v>
      </c>
      <c r="K5" t="s">
        <v>20</v>
      </c>
      <c r="L5">
        <v>1073</v>
      </c>
      <c r="M5">
        <v>56</v>
      </c>
      <c r="N5">
        <v>231</v>
      </c>
      <c r="P5">
        <v>314</v>
      </c>
      <c r="Q5">
        <v>16</v>
      </c>
      <c r="S5">
        <v>14</v>
      </c>
    </row>
    <row r="6" spans="1:19" x14ac:dyDescent="0.15">
      <c r="A6" t="s">
        <v>21</v>
      </c>
      <c r="B6">
        <v>751</v>
      </c>
      <c r="C6">
        <v>39</v>
      </c>
      <c r="F6">
        <v>224</v>
      </c>
      <c r="G6">
        <v>12</v>
      </c>
      <c r="I6">
        <v>14</v>
      </c>
      <c r="K6" t="s">
        <v>21</v>
      </c>
      <c r="L6">
        <v>751</v>
      </c>
      <c r="M6">
        <v>39</v>
      </c>
      <c r="P6">
        <v>224</v>
      </c>
      <c r="Q6">
        <v>12</v>
      </c>
      <c r="S6">
        <v>14</v>
      </c>
    </row>
    <row r="7" spans="1:19" x14ac:dyDescent="0.15">
      <c r="A7" t="s">
        <v>22</v>
      </c>
      <c r="B7">
        <v>939</v>
      </c>
      <c r="C7">
        <v>49</v>
      </c>
      <c r="F7">
        <v>224</v>
      </c>
      <c r="G7">
        <v>12</v>
      </c>
      <c r="K7" t="s">
        <v>22</v>
      </c>
      <c r="L7">
        <v>939</v>
      </c>
      <c r="M7">
        <v>49</v>
      </c>
      <c r="P7">
        <v>224</v>
      </c>
      <c r="Q7">
        <v>12</v>
      </c>
    </row>
    <row r="8" spans="1:19" x14ac:dyDescent="0.15">
      <c r="A8" t="s">
        <v>23</v>
      </c>
      <c r="B8">
        <v>650</v>
      </c>
      <c r="C8">
        <v>33</v>
      </c>
      <c r="E8">
        <v>104</v>
      </c>
      <c r="F8">
        <v>326</v>
      </c>
      <c r="G8">
        <v>16</v>
      </c>
      <c r="I8">
        <v>14</v>
      </c>
      <c r="K8" t="s">
        <v>23</v>
      </c>
      <c r="L8">
        <v>650</v>
      </c>
      <c r="M8">
        <v>33</v>
      </c>
      <c r="O8">
        <v>104</v>
      </c>
      <c r="P8">
        <v>326</v>
      </c>
      <c r="Q8">
        <v>16</v>
      </c>
      <c r="S8">
        <v>14</v>
      </c>
    </row>
    <row r="9" spans="1:19" x14ac:dyDescent="0.15">
      <c r="A9" t="s">
        <v>24</v>
      </c>
      <c r="B9">
        <v>438</v>
      </c>
      <c r="C9">
        <v>23</v>
      </c>
      <c r="E9">
        <v>104</v>
      </c>
      <c r="F9">
        <v>220</v>
      </c>
      <c r="G9">
        <v>12</v>
      </c>
      <c r="K9" t="s">
        <v>24</v>
      </c>
      <c r="L9">
        <v>438</v>
      </c>
      <c r="M9">
        <v>23</v>
      </c>
      <c r="O9">
        <v>104</v>
      </c>
      <c r="P9">
        <v>220</v>
      </c>
      <c r="Q9">
        <v>12</v>
      </c>
    </row>
    <row r="10" spans="1:19" x14ac:dyDescent="0.15">
      <c r="A10" t="s">
        <v>61</v>
      </c>
      <c r="B10">
        <v>319</v>
      </c>
      <c r="C10">
        <v>16</v>
      </c>
      <c r="F10">
        <v>160</v>
      </c>
      <c r="G10">
        <v>8</v>
      </c>
      <c r="K10" t="s">
        <v>61</v>
      </c>
      <c r="L10">
        <v>319</v>
      </c>
      <c r="M10">
        <v>16</v>
      </c>
      <c r="P10">
        <v>160</v>
      </c>
      <c r="Q10">
        <v>8</v>
      </c>
    </row>
    <row r="11" spans="1:19" x14ac:dyDescent="0.15">
      <c r="A11" t="s">
        <v>62</v>
      </c>
      <c r="B11">
        <v>557</v>
      </c>
      <c r="C11">
        <v>28</v>
      </c>
      <c r="E11">
        <v>104</v>
      </c>
      <c r="F11">
        <v>160</v>
      </c>
      <c r="G11">
        <v>8</v>
      </c>
      <c r="K11" t="s">
        <v>62</v>
      </c>
      <c r="L11">
        <v>557</v>
      </c>
      <c r="M11">
        <v>28</v>
      </c>
      <c r="O11">
        <v>104</v>
      </c>
      <c r="P11">
        <v>160</v>
      </c>
      <c r="Q11">
        <v>8</v>
      </c>
    </row>
    <row r="12" spans="1:19" x14ac:dyDescent="0.15">
      <c r="A12" t="s">
        <v>63</v>
      </c>
      <c r="B12">
        <v>319</v>
      </c>
      <c r="C12">
        <v>16</v>
      </c>
      <c r="F12">
        <v>160</v>
      </c>
      <c r="G12">
        <v>8</v>
      </c>
      <c r="K12" t="s">
        <v>63</v>
      </c>
      <c r="L12">
        <v>319</v>
      </c>
      <c r="M12">
        <v>16</v>
      </c>
      <c r="P12">
        <v>160</v>
      </c>
      <c r="Q12">
        <v>8</v>
      </c>
    </row>
    <row r="13" spans="1:19" x14ac:dyDescent="0.15">
      <c r="A13" t="s">
        <v>64</v>
      </c>
      <c r="B13">
        <v>319</v>
      </c>
      <c r="C13">
        <v>16</v>
      </c>
      <c r="F13">
        <v>160</v>
      </c>
      <c r="G13">
        <v>8</v>
      </c>
      <c r="K13" t="s">
        <v>64</v>
      </c>
      <c r="L13">
        <v>319</v>
      </c>
      <c r="M13">
        <v>16</v>
      </c>
      <c r="P13">
        <v>160</v>
      </c>
      <c r="Q13">
        <v>8</v>
      </c>
    </row>
    <row r="14" spans="1:19" x14ac:dyDescent="0.15">
      <c r="A14" t="s">
        <v>26</v>
      </c>
      <c r="B14">
        <v>383</v>
      </c>
      <c r="C14">
        <v>20</v>
      </c>
      <c r="F14">
        <v>192</v>
      </c>
      <c r="G14">
        <v>10</v>
      </c>
      <c r="K14" t="s">
        <v>26</v>
      </c>
      <c r="L14">
        <v>383</v>
      </c>
      <c r="M14">
        <v>20</v>
      </c>
      <c r="P14">
        <v>192</v>
      </c>
      <c r="Q14">
        <v>10</v>
      </c>
    </row>
    <row r="15" spans="1:19" x14ac:dyDescent="0.15">
      <c r="A15" t="s">
        <v>28</v>
      </c>
      <c r="B15">
        <v>2790</v>
      </c>
      <c r="C15">
        <v>141</v>
      </c>
      <c r="D15">
        <v>347</v>
      </c>
      <c r="E15">
        <v>104</v>
      </c>
      <c r="F15">
        <v>391</v>
      </c>
      <c r="G15">
        <v>20</v>
      </c>
      <c r="I15">
        <v>14</v>
      </c>
      <c r="K15" t="s">
        <v>28</v>
      </c>
      <c r="L15">
        <v>2790</v>
      </c>
      <c r="M15">
        <v>141</v>
      </c>
      <c r="N15">
        <v>347</v>
      </c>
      <c r="O15">
        <v>104</v>
      </c>
      <c r="P15">
        <v>391</v>
      </c>
      <c r="Q15">
        <v>20</v>
      </c>
      <c r="S15">
        <v>14</v>
      </c>
    </row>
    <row r="16" spans="1:19" x14ac:dyDescent="0.15">
      <c r="A16" t="s">
        <v>69</v>
      </c>
      <c r="B16">
        <v>2109</v>
      </c>
      <c r="F16" t="s">
        <v>81</v>
      </c>
      <c r="G16">
        <v>98</v>
      </c>
      <c r="H16">
        <v>183</v>
      </c>
      <c r="K16" t="s">
        <v>69</v>
      </c>
      <c r="L16">
        <v>2109</v>
      </c>
      <c r="P16" t="s">
        <v>81</v>
      </c>
      <c r="Q16">
        <v>98</v>
      </c>
      <c r="S16">
        <v>183</v>
      </c>
    </row>
    <row r="17" spans="1:18" x14ac:dyDescent="0.15">
      <c r="A17" t="s">
        <v>85</v>
      </c>
      <c r="B17">
        <v>1035</v>
      </c>
      <c r="F17" t="s">
        <v>77</v>
      </c>
      <c r="G17">
        <f>SUM(F4:I16)</f>
        <v>3315</v>
      </c>
      <c r="K17" t="s">
        <v>85</v>
      </c>
      <c r="L17">
        <v>1035</v>
      </c>
      <c r="P17" t="s">
        <v>77</v>
      </c>
      <c r="Q17">
        <f>SUM(P4:S16)</f>
        <v>3315</v>
      </c>
    </row>
    <row r="18" spans="1:18" x14ac:dyDescent="0.15">
      <c r="A18" t="s">
        <v>80</v>
      </c>
      <c r="B18">
        <f>SUM(B4:E17)</f>
        <v>13717</v>
      </c>
      <c r="F18" t="s">
        <v>87</v>
      </c>
      <c r="G18">
        <v>0</v>
      </c>
      <c r="K18" t="s">
        <v>80</v>
      </c>
      <c r="L18">
        <f>SUM(L4:O17)</f>
        <v>13717</v>
      </c>
      <c r="P18" t="s">
        <v>104</v>
      </c>
      <c r="Q18">
        <v>117</v>
      </c>
    </row>
    <row r="19" spans="1:18" x14ac:dyDescent="0.15">
      <c r="A19" t="s">
        <v>83</v>
      </c>
      <c r="B19">
        <v>0.3</v>
      </c>
      <c r="F19" t="s">
        <v>78</v>
      </c>
      <c r="G19">
        <v>0.12</v>
      </c>
      <c r="K19" t="s">
        <v>83</v>
      </c>
      <c r="L19">
        <v>0.3</v>
      </c>
      <c r="P19" t="s">
        <v>78</v>
      </c>
      <c r="Q19">
        <v>0.05</v>
      </c>
    </row>
    <row r="20" spans="1:18" x14ac:dyDescent="0.15">
      <c r="A20" t="s">
        <v>86</v>
      </c>
      <c r="B20">
        <v>0.15</v>
      </c>
      <c r="F20" t="s">
        <v>79</v>
      </c>
      <c r="G20">
        <f>(G17+G18)*(1+G19)</f>
        <v>3712.8</v>
      </c>
      <c r="K20" t="s">
        <v>86</v>
      </c>
      <c r="L20">
        <v>0.15</v>
      </c>
      <c r="P20" t="s">
        <v>79</v>
      </c>
      <c r="Q20">
        <f>(Q17+Q18)*(1+Q19)</f>
        <v>3603.6000000000004</v>
      </c>
    </row>
    <row r="21" spans="1:18" x14ac:dyDescent="0.15">
      <c r="A21" t="s">
        <v>74</v>
      </c>
      <c r="B21">
        <f>G20*5.75</f>
        <v>21348.600000000002</v>
      </c>
      <c r="K21" t="s">
        <v>74</v>
      </c>
      <c r="L21">
        <f>Q20*5.75</f>
        <v>20720.7</v>
      </c>
    </row>
    <row r="22" spans="1:18" x14ac:dyDescent="0.15">
      <c r="A22" t="s">
        <v>84</v>
      </c>
      <c r="B22">
        <f>B18*(1+SUM(B19:B20))+B21</f>
        <v>41238.25</v>
      </c>
      <c r="K22" t="s">
        <v>84</v>
      </c>
      <c r="L22">
        <f>L18*(1+SUM(L19:L20))+L21</f>
        <v>40610.35</v>
      </c>
    </row>
    <row r="23" spans="1:18" x14ac:dyDescent="0.15">
      <c r="A23" t="s">
        <v>99</v>
      </c>
      <c r="B23">
        <v>0</v>
      </c>
      <c r="K23" t="s">
        <v>99</v>
      </c>
      <c r="L23">
        <v>0</v>
      </c>
    </row>
    <row r="24" spans="1:18" x14ac:dyDescent="0.15">
      <c r="A24" t="s">
        <v>89</v>
      </c>
      <c r="B24">
        <v>0</v>
      </c>
      <c r="K24" t="s">
        <v>89</v>
      </c>
      <c r="L24">
        <v>0.08</v>
      </c>
    </row>
    <row r="25" spans="1:18" x14ac:dyDescent="0.15">
      <c r="A25" t="s">
        <v>91</v>
      </c>
      <c r="B25">
        <v>0.60980000000000001</v>
      </c>
      <c r="C25">
        <v>0</v>
      </c>
      <c r="F25" t="s">
        <v>97</v>
      </c>
      <c r="G25">
        <f>SUM(B25:E25)</f>
        <v>0.60980000000000001</v>
      </c>
      <c r="K25" t="s">
        <v>91</v>
      </c>
      <c r="L25">
        <v>0.57709999999999995</v>
      </c>
      <c r="M25">
        <v>0</v>
      </c>
      <c r="P25" t="s">
        <v>97</v>
      </c>
      <c r="Q25">
        <f>SUM(L25:O25)</f>
        <v>0.57709999999999995</v>
      </c>
    </row>
    <row r="26" spans="1:18" x14ac:dyDescent="0.15">
      <c r="A26" t="s">
        <v>92</v>
      </c>
      <c r="B26">
        <v>2.2938999999999998</v>
      </c>
      <c r="C26">
        <v>0</v>
      </c>
      <c r="D26">
        <v>0.26889999999999997</v>
      </c>
      <c r="E26">
        <v>0.2</v>
      </c>
      <c r="F26" t="s">
        <v>98</v>
      </c>
      <c r="G26">
        <f>SUM(B26:E26)</f>
        <v>2.7627999999999999</v>
      </c>
      <c r="K26" t="s">
        <v>92</v>
      </c>
      <c r="L26">
        <v>2.2850000000000001</v>
      </c>
      <c r="M26">
        <v>0</v>
      </c>
      <c r="N26">
        <v>0.26889999999999997</v>
      </c>
      <c r="O26">
        <v>0.2</v>
      </c>
      <c r="P26" t="s">
        <v>98</v>
      </c>
      <c r="Q26">
        <f>SUM(L26:O26)</f>
        <v>2.7539000000000002</v>
      </c>
    </row>
    <row r="28" spans="1:18" x14ac:dyDescent="0.15">
      <c r="B28" t="s">
        <v>101</v>
      </c>
      <c r="C28" t="s">
        <v>93</v>
      </c>
      <c r="D28" t="s">
        <v>94</v>
      </c>
      <c r="F28" t="s">
        <v>95</v>
      </c>
      <c r="G28" t="s">
        <v>96</v>
      </c>
      <c r="H28" t="s">
        <v>100</v>
      </c>
      <c r="L28" t="s">
        <v>101</v>
      </c>
      <c r="M28" t="s">
        <v>93</v>
      </c>
      <c r="N28" t="s">
        <v>94</v>
      </c>
      <c r="P28" t="s">
        <v>95</v>
      </c>
      <c r="Q28" t="s">
        <v>96</v>
      </c>
      <c r="R28" t="s">
        <v>100</v>
      </c>
    </row>
    <row r="29" spans="1:18" x14ac:dyDescent="0.15">
      <c r="A29" t="s">
        <v>90</v>
      </c>
      <c r="B29">
        <v>0.08</v>
      </c>
      <c r="C29">
        <v>8.2988469999999995E-2</v>
      </c>
      <c r="D29">
        <v>200</v>
      </c>
      <c r="E29">
        <v>200</v>
      </c>
      <c r="F29">
        <f>(B$22*C29+(D29+E29)/2)*(1+B29)*(1+B$24)</f>
        <v>3912.0832148156996</v>
      </c>
      <c r="G29">
        <f>F29*G$26</f>
        <v>10808.303505892814</v>
      </c>
      <c r="H29">
        <f>F29*(1-G$25)+G29*G$25</f>
        <v>8117.3983483145239</v>
      </c>
      <c r="K29" t="s">
        <v>90</v>
      </c>
      <c r="L29">
        <v>0.08</v>
      </c>
      <c r="M29">
        <v>8.2988469999999995E-2</v>
      </c>
      <c r="N29">
        <v>200</v>
      </c>
      <c r="O29">
        <v>200</v>
      </c>
      <c r="P29">
        <f>(L$22*M29+(N29+O29)/2)*(1+L29)*(1+L$24)</f>
        <v>4164.2705638918733</v>
      </c>
      <c r="Q29">
        <f>P29*Q$26</f>
        <v>11467.98470590183</v>
      </c>
      <c r="R29">
        <f>P29*(1-Q$25)+Q29*Q$25</f>
        <v>8379.243995245819</v>
      </c>
    </row>
    <row r="30" spans="1:18" x14ac:dyDescent="0.15">
      <c r="A30" t="s">
        <v>88</v>
      </c>
      <c r="B30">
        <v>0.12</v>
      </c>
      <c r="C30">
        <v>0.2499931</v>
      </c>
      <c r="D30">
        <v>363</v>
      </c>
      <c r="E30">
        <v>401</v>
      </c>
      <c r="F30">
        <f>(B$22*C30+(D30+E30)/2)*(1+B30)*(1+B$24)</f>
        <v>11974.231310804002</v>
      </c>
      <c r="G30">
        <f>F30*G$26</f>
        <v>33082.406265489291</v>
      </c>
      <c r="H30">
        <f>F30*(1-G$25)+G30*G$25</f>
        <v>24845.996398171093</v>
      </c>
      <c r="K30" t="s">
        <v>88</v>
      </c>
      <c r="L30">
        <v>0.12</v>
      </c>
      <c r="M30">
        <v>0.2499931</v>
      </c>
      <c r="N30">
        <v>363</v>
      </c>
      <c r="O30">
        <v>401</v>
      </c>
      <c r="P30">
        <f>(L$22*M30+(N30+O30)/2)*(1+L30)*(1+L$24)</f>
        <v>12742.298096272418</v>
      </c>
      <c r="Q30">
        <f>P30*Q$26</f>
        <v>35091.014727324611</v>
      </c>
      <c r="R30">
        <f>P30*(1-Q$25)+Q30*Q$25</f>
        <v>25639.742464052637</v>
      </c>
    </row>
  </sheetData>
  <mergeCells count="6">
    <mergeCell ref="B1:I1"/>
    <mergeCell ref="L1:S1"/>
    <mergeCell ref="B2:E2"/>
    <mergeCell ref="F2:I2"/>
    <mergeCell ref="L2:O2"/>
    <mergeCell ref="P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Weapon</vt:lpstr>
      <vt:lpstr>Data</vt:lpstr>
      <vt:lpstr>BaseHealth</vt:lpstr>
      <vt:lpstr>BaseHealth 4QF</vt:lpstr>
    </vt:vector>
  </TitlesOfParts>
  <Company>Shanghai Advanced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 Zhang</dc:creator>
  <cp:lastModifiedBy>红诗</cp:lastModifiedBy>
  <dcterms:created xsi:type="dcterms:W3CDTF">2014-11-04T06:46:10Z</dcterms:created>
  <dcterms:modified xsi:type="dcterms:W3CDTF">2014-11-09T16:14:22Z</dcterms:modified>
</cp:coreProperties>
</file>